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580" windowHeight="10845"/>
  </bookViews>
  <sheets>
    <sheet name="კრებსითი" sheetId="6" r:id="rId1"/>
    <sheet name="1-1" sheetId="11" r:id="rId2"/>
    <sheet name="2-1" sheetId="12" r:id="rId3"/>
    <sheet name="3-1" sheetId="8" r:id="rId4"/>
    <sheet name="4-1" sheetId="9" r:id="rId5"/>
    <sheet name="S" sheetId="4" state="veryHidden" r:id="rId6"/>
    <sheet name="M" sheetId="1" state="veryHidden" r:id="rId7"/>
    <sheet name="E" sheetId="2" state="veryHidden" r:id="rId8"/>
    <sheet name="N" sheetId="3" state="veryHidden" r:id="rId9"/>
    <sheet name="SN" sheetId="18" state="veryHidden" r:id="rId10"/>
    <sheet name="4-2" sheetId="14" r:id="rId11"/>
  </sheets>
  <externalReferences>
    <externalReference r:id="rId12"/>
    <externalReference r:id="rId13"/>
    <externalReference r:id="rId14"/>
  </externalReferences>
  <definedNames>
    <definedName name="არმატურაა310">[1]ტრანსპორტირება!$J$33</definedName>
    <definedName name="არმატურაა311">[1]ტრანსპორტირება!$K$33</definedName>
    <definedName name="ბეტონიბ2510">[1]ტრანსპორტირება!$J$29</definedName>
    <definedName name="ბეტონიბ2511">[1]ტრანსპორტირება!$K$29</definedName>
    <definedName name="ბეტონიბ3010">[1]ტრანსპორტირება!$J$31</definedName>
    <definedName name="ბეტონიბ3011">[1]ტრანსპორტირება!$K$31</definedName>
    <definedName name="ბიტუმინავთობის10">[2]ტრანსპორტირება!$J$45</definedName>
    <definedName name="ბიტუმინავთობის11">[2]ტრანსპორტირება!$K$45</definedName>
    <definedName name="ბიტუმისემულსია10">[1]ტრანსპორტირება!$J$48</definedName>
    <definedName name="ბიტუმისემულსია11">[1]ტრანსპორტირება!$K$48</definedName>
    <definedName name="კუთხოვანა608011">[1]ტრანსპორტირება!$K$51</definedName>
    <definedName name="ფიცარიჩამოგანილი10">[1]ტრანსპორტირება!$J$44</definedName>
    <definedName name="ფიცარიჩამოგანილი11">[1]ტრანსპორტირება!$K$44</definedName>
    <definedName name="ფოლადისზოლოვანა6010">[1]ტრანსპორტირება!$J$52</definedName>
    <definedName name="ფოლადისზოლოვანა6011">[1]ტრანსპორტირება!$K$52</definedName>
    <definedName name="ქვიშაშავი10">[2]ტრანსპორტირება!$J$37</definedName>
    <definedName name="ყორექვა11">[3]ტრანსპორტირება!$K$40</definedName>
    <definedName name="ცემენტისსხნარიმ20010">[1]ტრანსპორტირება!$J$22</definedName>
    <definedName name="ცემენტისხსნარიმ20011">[1]ტრანსპორტირება!$K$22</definedName>
    <definedName name="ხისმორი10">[1]ტრანსპორტირება!$J$46</definedName>
    <definedName name="ხისმორი11">[1]ტრანსპორტირება!$K$46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1" l="1"/>
  <c r="D49" i="11"/>
  <c r="E49" i="11" s="1"/>
  <c r="D48" i="11"/>
  <c r="E48" i="11" s="1"/>
  <c r="D47" i="11"/>
  <c r="E47" i="11" s="1"/>
  <c r="D18" i="14" l="1"/>
  <c r="D18" i="9"/>
  <c r="D25" i="8"/>
  <c r="E71" i="11" l="1"/>
  <c r="E74" i="11" s="1"/>
  <c r="E53" i="11"/>
  <c r="E52" i="11"/>
  <c r="E51" i="11"/>
  <c r="E45" i="11"/>
  <c r="E73" i="11" l="1"/>
  <c r="E72" i="11"/>
  <c r="E76" i="11"/>
  <c r="E75" i="11"/>
  <c r="E22" i="14" l="1"/>
  <c r="E37" i="8"/>
  <c r="A1" i="14"/>
  <c r="A1" i="9"/>
  <c r="A1" i="8"/>
  <c r="A1" i="12"/>
  <c r="B8" i="6" l="1"/>
  <c r="D29" i="14"/>
  <c r="E29" i="14" s="1"/>
  <c r="D28" i="14"/>
  <c r="E28" i="14" s="1"/>
  <c r="E27" i="14"/>
  <c r="E26" i="14"/>
  <c r="E25" i="14"/>
  <c r="E24" i="14"/>
  <c r="D23" i="14"/>
  <c r="E23" i="14" s="1"/>
  <c r="E21" i="14"/>
  <c r="E20" i="14"/>
  <c r="E18" i="14"/>
  <c r="D17" i="14"/>
  <c r="E17" i="14" s="1"/>
  <c r="D16" i="14"/>
  <c r="E16" i="14" s="1"/>
  <c r="E15" i="14"/>
  <c r="D14" i="14"/>
  <c r="E14" i="14" s="1"/>
  <c r="D13" i="14"/>
  <c r="E13" i="14" s="1"/>
  <c r="E12" i="14"/>
  <c r="D11" i="14"/>
  <c r="E11" i="14" s="1"/>
  <c r="D10" i="14"/>
  <c r="E10" i="14" s="1"/>
  <c r="D29" i="9"/>
  <c r="E29" i="9" s="1"/>
  <c r="D28" i="9"/>
  <c r="E28" i="9" s="1"/>
  <c r="E27" i="9"/>
  <c r="E26" i="9"/>
  <c r="E25" i="9"/>
  <c r="E24" i="9"/>
  <c r="D23" i="9"/>
  <c r="E23" i="9" s="1"/>
  <c r="E21" i="9"/>
  <c r="E20" i="9"/>
  <c r="E18" i="9"/>
  <c r="D17" i="9"/>
  <c r="E17" i="9" s="1"/>
  <c r="D16" i="9"/>
  <c r="E16" i="9" s="1"/>
  <c r="E15" i="9"/>
  <c r="D14" i="9"/>
  <c r="E14" i="9" s="1"/>
  <c r="D13" i="9"/>
  <c r="E13" i="9" s="1"/>
  <c r="E12" i="9"/>
  <c r="D11" i="9"/>
  <c r="E11" i="9" s="1"/>
  <c r="D10" i="9"/>
  <c r="E10" i="9" s="1"/>
  <c r="E14" i="12"/>
  <c r="E13" i="12"/>
  <c r="E11" i="12"/>
  <c r="D10" i="12"/>
  <c r="E10" i="12" s="1"/>
  <c r="M191" i="4" l="1"/>
  <c r="F191" i="4"/>
  <c r="E191" i="4"/>
  <c r="G191" i="4" s="1"/>
  <c r="L191" i="4" s="1"/>
  <c r="M190" i="4"/>
  <c r="J190" i="4"/>
  <c r="F190" i="4"/>
  <c r="E190" i="4"/>
  <c r="G190" i="4" s="1"/>
  <c r="M189" i="4"/>
  <c r="J189" i="4"/>
  <c r="F189" i="4"/>
  <c r="G189" i="4" s="1"/>
  <c r="E189" i="4"/>
  <c r="M188" i="4"/>
  <c r="J188" i="4"/>
  <c r="F188" i="4"/>
  <c r="G188" i="4" s="1"/>
  <c r="E188" i="4"/>
  <c r="M187" i="4"/>
  <c r="J187" i="4"/>
  <c r="F187" i="4"/>
  <c r="E187" i="4"/>
  <c r="G187" i="4" s="1"/>
  <c r="M186" i="4"/>
  <c r="J186" i="4"/>
  <c r="K186" i="4" s="1"/>
  <c r="L186" i="4" s="1"/>
  <c r="E186" i="4"/>
  <c r="M185" i="4"/>
  <c r="I185" i="4"/>
  <c r="L185" i="4" s="1"/>
  <c r="H185" i="4"/>
  <c r="E185" i="4"/>
  <c r="K188" i="4" l="1"/>
  <c r="L188" i="4" s="1"/>
  <c r="K189" i="4"/>
  <c r="L189" i="4" s="1"/>
  <c r="K187" i="4"/>
  <c r="L187" i="4" s="1"/>
  <c r="K190" i="4"/>
  <c r="L190" i="4" s="1"/>
  <c r="L184" i="4" l="1"/>
  <c r="F710" i="1"/>
  <c r="F709" i="1"/>
  <c r="F708" i="1"/>
  <c r="F707" i="1"/>
  <c r="F706" i="1"/>
  <c r="F705" i="1"/>
  <c r="F704" i="1"/>
  <c r="F703" i="1"/>
  <c r="F702" i="1"/>
  <c r="F701" i="1"/>
  <c r="E702" i="1"/>
  <c r="E703" i="1"/>
  <c r="E704" i="1"/>
  <c r="E705" i="1"/>
  <c r="E706" i="1"/>
  <c r="E707" i="1"/>
  <c r="E708" i="1"/>
  <c r="E709" i="1"/>
  <c r="E710" i="1"/>
  <c r="E701" i="1"/>
  <c r="E88" i="11"/>
  <c r="E87" i="11"/>
  <c r="E86" i="11"/>
  <c r="E85" i="11"/>
  <c r="D84" i="11"/>
  <c r="E84" i="11" s="1"/>
  <c r="E83" i="11"/>
  <c r="E82" i="11"/>
  <c r="E81" i="11"/>
  <c r="E80" i="11"/>
  <c r="E79" i="11"/>
  <c r="E78" i="11"/>
  <c r="D70" i="11"/>
  <c r="E70" i="11" s="1"/>
  <c r="D69" i="11"/>
  <c r="E69" i="11" s="1"/>
  <c r="D68" i="11"/>
  <c r="E68" i="11" s="1"/>
  <c r="D67" i="11"/>
  <c r="E67" i="11" s="1"/>
  <c r="E65" i="11"/>
  <c r="E64" i="11"/>
  <c r="E63" i="11"/>
  <c r="E62" i="11"/>
  <c r="D34" i="11"/>
  <c r="E34" i="11" s="1"/>
  <c r="D33" i="11"/>
  <c r="E33" i="11" s="1"/>
  <c r="D32" i="11"/>
  <c r="E32" i="11" s="1"/>
  <c r="E25" i="11"/>
  <c r="E30" i="11" s="1"/>
  <c r="E24" i="11"/>
  <c r="E23" i="11"/>
  <c r="E16" i="11"/>
  <c r="H207" i="1" l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06" i="1"/>
  <c r="H204" i="1"/>
  <c r="G204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150" i="1"/>
  <c r="H150" i="1" l="1"/>
  <c r="D335" i="4"/>
  <c r="E335" i="4" s="1"/>
  <c r="D334" i="4"/>
  <c r="E334" i="4" s="1"/>
  <c r="D333" i="4"/>
  <c r="E333" i="4" s="1"/>
  <c r="D332" i="4"/>
  <c r="E332" i="4" s="1"/>
  <c r="M331" i="4"/>
  <c r="H332" i="4" s="1"/>
  <c r="M335" i="4"/>
  <c r="F335" i="4"/>
  <c r="F334" i="4"/>
  <c r="M333" i="4"/>
  <c r="J333" i="4"/>
  <c r="M332" i="4"/>
  <c r="G334" i="4" l="1"/>
  <c r="K333" i="4"/>
  <c r="L333" i="4" s="1"/>
  <c r="G335" i="4"/>
  <c r="L335" i="4" s="1"/>
  <c r="I332" i="4"/>
  <c r="L332" i="4" s="1"/>
  <c r="E14" i="4"/>
  <c r="E13" i="4"/>
  <c r="M14" i="4"/>
  <c r="J14" i="4"/>
  <c r="M13" i="4"/>
  <c r="H13" i="4"/>
  <c r="K14" i="4" l="1"/>
  <c r="L14" i="4" s="1"/>
  <c r="I13" i="4"/>
  <c r="L13" i="4" s="1"/>
  <c r="L12" i="4" l="1"/>
  <c r="F252" i="4"/>
  <c r="E252" i="4"/>
  <c r="E251" i="4"/>
  <c r="G251" i="4" s="1"/>
  <c r="L251" i="4" s="1"/>
  <c r="M250" i="4"/>
  <c r="J250" i="4"/>
  <c r="E250" i="4"/>
  <c r="M249" i="4"/>
  <c r="H249" i="4"/>
  <c r="E249" i="4"/>
  <c r="E270" i="4"/>
  <c r="E271" i="4"/>
  <c r="E272" i="4"/>
  <c r="E273" i="4"/>
  <c r="M271" i="4"/>
  <c r="J271" i="4"/>
  <c r="M270" i="4"/>
  <c r="H270" i="4"/>
  <c r="K271" i="4" l="1"/>
  <c r="L271" i="4" s="1"/>
  <c r="K250" i="4"/>
  <c r="L250" i="4" s="1"/>
  <c r="G252" i="4"/>
  <c r="L252" i="4" s="1"/>
  <c r="I249" i="4"/>
  <c r="L249" i="4" s="1"/>
  <c r="G273" i="4"/>
  <c r="L273" i="4" s="1"/>
  <c r="I270" i="4"/>
  <c r="L270" i="4" s="1"/>
  <c r="G272" i="4"/>
  <c r="L272" i="4" s="1"/>
  <c r="E279" i="4"/>
  <c r="E278" i="4"/>
  <c r="G278" i="4" s="1"/>
  <c r="L278" i="4" s="1"/>
  <c r="E277" i="4"/>
  <c r="M279" i="4"/>
  <c r="G279" i="4"/>
  <c r="L279" i="4" s="1"/>
  <c r="M278" i="4"/>
  <c r="D275" i="4"/>
  <c r="M280" i="4"/>
  <c r="F280" i="4"/>
  <c r="E280" i="4"/>
  <c r="M277" i="4"/>
  <c r="M276" i="4"/>
  <c r="J276" i="4"/>
  <c r="E276" i="4"/>
  <c r="M275" i="4"/>
  <c r="H275" i="4"/>
  <c r="E275" i="4"/>
  <c r="D267" i="4"/>
  <c r="E267" i="4" s="1"/>
  <c r="D266" i="4"/>
  <c r="E266" i="4" s="1"/>
  <c r="M266" i="4"/>
  <c r="J266" i="4"/>
  <c r="D265" i="4"/>
  <c r="E268" i="4"/>
  <c r="E265" i="4"/>
  <c r="M268" i="4"/>
  <c r="F268" i="4"/>
  <c r="F267" i="4"/>
  <c r="M265" i="4"/>
  <c r="H265" i="4"/>
  <c r="H541" i="1"/>
  <c r="M328" i="4" s="1"/>
  <c r="I541" i="1"/>
  <c r="G541" i="1"/>
  <c r="M329" i="4"/>
  <c r="F329" i="4"/>
  <c r="E329" i="4"/>
  <c r="F328" i="4"/>
  <c r="E328" i="4"/>
  <c r="F327" i="4"/>
  <c r="E327" i="4"/>
  <c r="M326" i="4"/>
  <c r="E326" i="4"/>
  <c r="K326" i="4" s="1"/>
  <c r="L326" i="4" s="1"/>
  <c r="M325" i="4"/>
  <c r="H325" i="4"/>
  <c r="E325" i="4"/>
  <c r="E313" i="4"/>
  <c r="M313" i="4"/>
  <c r="F313" i="4"/>
  <c r="F312" i="4"/>
  <c r="G312" i="4" s="1"/>
  <c r="M311" i="4"/>
  <c r="J311" i="4"/>
  <c r="E311" i="4"/>
  <c r="M310" i="4"/>
  <c r="J310" i="4"/>
  <c r="E310" i="4"/>
  <c r="M309" i="4"/>
  <c r="H309" i="4"/>
  <c r="E309" i="4"/>
  <c r="G327" i="4" l="1"/>
  <c r="L327" i="4" s="1"/>
  <c r="G268" i="4"/>
  <c r="L268" i="4" s="1"/>
  <c r="G328" i="4"/>
  <c r="L328" i="4" s="1"/>
  <c r="L248" i="4"/>
  <c r="L269" i="4"/>
  <c r="K276" i="4"/>
  <c r="L276" i="4" s="1"/>
  <c r="I275" i="4"/>
  <c r="L275" i="4" s="1"/>
  <c r="G280" i="4"/>
  <c r="L280" i="4" s="1"/>
  <c r="G277" i="4"/>
  <c r="K266" i="4"/>
  <c r="L266" i="4" s="1"/>
  <c r="G267" i="4"/>
  <c r="I265" i="4"/>
  <c r="L265" i="4" s="1"/>
  <c r="G329" i="4"/>
  <c r="L329" i="4" s="1"/>
  <c r="I325" i="4"/>
  <c r="L325" i="4" s="1"/>
  <c r="K310" i="4"/>
  <c r="L310" i="4" s="1"/>
  <c r="G313" i="4"/>
  <c r="L313" i="4" s="1"/>
  <c r="I309" i="4"/>
  <c r="L309" i="4" s="1"/>
  <c r="K311" i="4"/>
  <c r="L311" i="4" s="1"/>
  <c r="L277" i="4" l="1"/>
  <c r="L274" i="4" s="1"/>
  <c r="L324" i="4"/>
  <c r="E195" i="4" l="1"/>
  <c r="E56" i="4"/>
  <c r="E55" i="4"/>
  <c r="H55" i="4"/>
  <c r="J56" i="4"/>
  <c r="M56" i="4"/>
  <c r="M55" i="4"/>
  <c r="G725" i="1"/>
  <c r="I55" i="4" l="1"/>
  <c r="L55" i="4" s="1"/>
  <c r="K56" i="4"/>
  <c r="L56" i="4" s="1"/>
  <c r="E692" i="4"/>
  <c r="E703" i="4"/>
  <c r="E702" i="4"/>
  <c r="E701" i="4"/>
  <c r="E700" i="4"/>
  <c r="E699" i="4"/>
  <c r="I699" i="4" s="1"/>
  <c r="L699" i="4" s="1"/>
  <c r="E50" i="2"/>
  <c r="F703" i="4"/>
  <c r="F692" i="4"/>
  <c r="F687" i="4"/>
  <c r="M703" i="4"/>
  <c r="M702" i="4"/>
  <c r="M701" i="4"/>
  <c r="M700" i="4"/>
  <c r="M699" i="4"/>
  <c r="M697" i="4"/>
  <c r="M696" i="4"/>
  <c r="M695" i="4"/>
  <c r="M694" i="4"/>
  <c r="M692" i="4"/>
  <c r="M691" i="4"/>
  <c r="M690" i="4"/>
  <c r="M689" i="4"/>
  <c r="M685" i="4"/>
  <c r="M686" i="4"/>
  <c r="M687" i="4"/>
  <c r="M684" i="4"/>
  <c r="J701" i="4"/>
  <c r="K701" i="4" s="1"/>
  <c r="L701" i="4" s="1"/>
  <c r="J702" i="4"/>
  <c r="J700" i="4"/>
  <c r="J696" i="4"/>
  <c r="J697" i="4"/>
  <c r="J695" i="4"/>
  <c r="J691" i="4"/>
  <c r="J690" i="4"/>
  <c r="J686" i="4"/>
  <c r="J685" i="4"/>
  <c r="H684" i="4"/>
  <c r="D697" i="4"/>
  <c r="E697" i="4" s="1"/>
  <c r="D696" i="4"/>
  <c r="E696" i="4" s="1"/>
  <c r="D695" i="4"/>
  <c r="E695" i="4" s="1"/>
  <c r="D694" i="4"/>
  <c r="E694" i="4" s="1"/>
  <c r="E691" i="4"/>
  <c r="E690" i="4"/>
  <c r="E689" i="4"/>
  <c r="I689" i="4" s="1"/>
  <c r="L689" i="4" s="1"/>
  <c r="D687" i="4"/>
  <c r="E687" i="4" s="1"/>
  <c r="D686" i="4"/>
  <c r="E686" i="4" s="1"/>
  <c r="D685" i="4"/>
  <c r="E685" i="4" s="1"/>
  <c r="D684" i="4"/>
  <c r="E684" i="4" s="1"/>
  <c r="L54" i="4" l="1"/>
  <c r="K691" i="4"/>
  <c r="L691" i="4" s="1"/>
  <c r="G703" i="4"/>
  <c r="L703" i="4" s="1"/>
  <c r="I694" i="4"/>
  <c r="L694" i="4" s="1"/>
  <c r="G687" i="4"/>
  <c r="L687" i="4" s="1"/>
  <c r="K702" i="4"/>
  <c r="L702" i="4" s="1"/>
  <c r="K700" i="4"/>
  <c r="L700" i="4" s="1"/>
  <c r="K696" i="4"/>
  <c r="L696" i="4" s="1"/>
  <c r="K697" i="4"/>
  <c r="L697" i="4" s="1"/>
  <c r="K695" i="4"/>
  <c r="L695" i="4" s="1"/>
  <c r="K690" i="4"/>
  <c r="L690" i="4" s="1"/>
  <c r="K686" i="4"/>
  <c r="L686" i="4" s="1"/>
  <c r="I684" i="4"/>
  <c r="L684" i="4" s="1"/>
  <c r="K685" i="4"/>
  <c r="L685" i="4" s="1"/>
  <c r="G692" i="4"/>
  <c r="L692" i="4" s="1"/>
  <c r="L688" i="4" l="1"/>
  <c r="L698" i="4"/>
  <c r="L693" i="4"/>
  <c r="L683" i="4"/>
  <c r="E100" i="4" l="1"/>
  <c r="G100" i="4" s="1"/>
  <c r="L100" i="4" s="1"/>
  <c r="E99" i="4"/>
  <c r="G99" i="4" s="1"/>
  <c r="L99" i="4" s="1"/>
  <c r="E98" i="4"/>
  <c r="G98" i="4" s="1"/>
  <c r="L98" i="4" s="1"/>
  <c r="E97" i="4"/>
  <c r="E96" i="4"/>
  <c r="K96" i="4" s="1"/>
  <c r="L96" i="4" s="1"/>
  <c r="E95" i="4"/>
  <c r="E94" i="4"/>
  <c r="J97" i="4"/>
  <c r="J95" i="4"/>
  <c r="J94" i="4"/>
  <c r="M95" i="4"/>
  <c r="M97" i="4"/>
  <c r="M94" i="4"/>
  <c r="K94" i="4" l="1"/>
  <c r="L94" i="4" s="1"/>
  <c r="K97" i="4"/>
  <c r="L97" i="4" s="1"/>
  <c r="K95" i="4"/>
  <c r="L95" i="4" s="1"/>
  <c r="L93" i="4" l="1"/>
  <c r="M618" i="4" l="1"/>
  <c r="M619" i="4"/>
  <c r="M620" i="4"/>
  <c r="M621" i="4"/>
  <c r="M624" i="4"/>
  <c r="M626" i="4"/>
  <c r="F624" i="4"/>
  <c r="F621" i="4"/>
  <c r="I712" i="1"/>
  <c r="G724" i="1"/>
  <c r="G723" i="1"/>
  <c r="F623" i="4"/>
  <c r="F626" i="4"/>
  <c r="F625" i="4"/>
  <c r="H617" i="4"/>
  <c r="J619" i="4"/>
  <c r="J620" i="4"/>
  <c r="J618" i="4"/>
  <c r="M617" i="4"/>
  <c r="E626" i="4"/>
  <c r="E625" i="4"/>
  <c r="E624" i="4"/>
  <c r="E623" i="4"/>
  <c r="E622" i="4"/>
  <c r="G622" i="4" s="1"/>
  <c r="L622" i="4" s="1"/>
  <c r="E621" i="4"/>
  <c r="E620" i="4"/>
  <c r="E619" i="4"/>
  <c r="E618" i="4"/>
  <c r="E617" i="4"/>
  <c r="I617" i="4" l="1"/>
  <c r="L617" i="4" s="1"/>
  <c r="G626" i="4"/>
  <c r="L626" i="4" s="1"/>
  <c r="G621" i="4"/>
  <c r="K619" i="4"/>
  <c r="L619" i="4" s="1"/>
  <c r="G624" i="4"/>
  <c r="G623" i="4"/>
  <c r="G625" i="4"/>
  <c r="K620" i="4"/>
  <c r="L620" i="4" s="1"/>
  <c r="K618" i="4"/>
  <c r="L618" i="4" s="1"/>
  <c r="F595" i="4" l="1"/>
  <c r="H593" i="4"/>
  <c r="H595" i="4"/>
  <c r="E595" i="4"/>
  <c r="E594" i="4"/>
  <c r="G594" i="4" s="1"/>
  <c r="L594" i="4" s="1"/>
  <c r="M593" i="4"/>
  <c r="E593" i="4"/>
  <c r="G595" i="4" l="1"/>
  <c r="I593" i="4"/>
  <c r="L593" i="4" s="1"/>
  <c r="E553" i="4" l="1"/>
  <c r="M553" i="4"/>
  <c r="F553" i="4"/>
  <c r="M550" i="4"/>
  <c r="J550" i="4"/>
  <c r="E550" i="4"/>
  <c r="E552" i="4"/>
  <c r="M551" i="4"/>
  <c r="J551" i="4"/>
  <c r="E551" i="4"/>
  <c r="M549" i="4"/>
  <c r="H549" i="4"/>
  <c r="E549" i="4"/>
  <c r="E546" i="4"/>
  <c r="M546" i="4"/>
  <c r="J546" i="4"/>
  <c r="F547" i="4"/>
  <c r="E547" i="4"/>
  <c r="M545" i="4"/>
  <c r="H545" i="4"/>
  <c r="E545" i="4"/>
  <c r="G553" i="4" l="1"/>
  <c r="L553" i="4" s="1"/>
  <c r="K546" i="4"/>
  <c r="L546" i="4" s="1"/>
  <c r="I549" i="4"/>
  <c r="L549" i="4" s="1"/>
  <c r="K550" i="4"/>
  <c r="L550" i="4" s="1"/>
  <c r="K551" i="4"/>
  <c r="L551" i="4" s="1"/>
  <c r="I545" i="4"/>
  <c r="L545" i="4" s="1"/>
  <c r="G547" i="4"/>
  <c r="M24" i="4" l="1"/>
  <c r="J24" i="4"/>
  <c r="F24" i="4"/>
  <c r="E24" i="4"/>
  <c r="M23" i="4"/>
  <c r="J23" i="4"/>
  <c r="E23" i="4"/>
  <c r="M22" i="4"/>
  <c r="J22" i="4"/>
  <c r="E22" i="4"/>
  <c r="M21" i="4"/>
  <c r="J21" i="4"/>
  <c r="H21" i="4"/>
  <c r="E21" i="4"/>
  <c r="M19" i="4"/>
  <c r="J19" i="4"/>
  <c r="F19" i="4"/>
  <c r="E19" i="4"/>
  <c r="M18" i="4"/>
  <c r="J18" i="4"/>
  <c r="E18" i="4"/>
  <c r="M17" i="4"/>
  <c r="J17" i="4"/>
  <c r="E17" i="4"/>
  <c r="M16" i="4"/>
  <c r="J16" i="4"/>
  <c r="H16" i="4"/>
  <c r="E16" i="4"/>
  <c r="K22" i="4" l="1"/>
  <c r="L22" i="4" s="1"/>
  <c r="G24" i="4"/>
  <c r="L24" i="4" s="1"/>
  <c r="K23" i="4"/>
  <c r="L23" i="4" s="1"/>
  <c r="K18" i="4"/>
  <c r="L18" i="4" s="1"/>
  <c r="G19" i="4"/>
  <c r="L19" i="4" s="1"/>
  <c r="I16" i="4"/>
  <c r="L16" i="4" s="1"/>
  <c r="I21" i="4"/>
  <c r="L21" i="4" s="1"/>
  <c r="K17" i="4"/>
  <c r="L17" i="4" s="1"/>
  <c r="L20" i="4" l="1"/>
  <c r="L15" i="4"/>
  <c r="M53" i="4"/>
  <c r="H53" i="4"/>
  <c r="E53" i="4"/>
  <c r="I53" i="4" l="1"/>
  <c r="L53" i="4" s="1"/>
  <c r="L52" i="4" s="1"/>
  <c r="F219" i="4"/>
  <c r="H217" i="4"/>
  <c r="J218" i="4"/>
  <c r="F220" i="4"/>
  <c r="M217" i="4"/>
  <c r="M218" i="4"/>
  <c r="M220" i="4"/>
  <c r="E220" i="4"/>
  <c r="E219" i="4"/>
  <c r="E218" i="4"/>
  <c r="E217" i="4"/>
  <c r="I217" i="4" l="1"/>
  <c r="L217" i="4" s="1"/>
  <c r="K218" i="4"/>
  <c r="L218" i="4" s="1"/>
  <c r="G220" i="4"/>
  <c r="L220" i="4" s="1"/>
  <c r="G219" i="4"/>
  <c r="F567" i="4" l="1"/>
  <c r="E567" i="4"/>
  <c r="E566" i="4"/>
  <c r="M566" i="4"/>
  <c r="H566" i="4"/>
  <c r="F563" i="4"/>
  <c r="E563" i="4"/>
  <c r="D559" i="4"/>
  <c r="E559" i="4" s="1"/>
  <c r="M564" i="4"/>
  <c r="F564" i="4"/>
  <c r="E564" i="4"/>
  <c r="F562" i="4"/>
  <c r="E562" i="4"/>
  <c r="F561" i="4"/>
  <c r="E561" i="4"/>
  <c r="F560" i="4"/>
  <c r="E560" i="4"/>
  <c r="F559" i="4"/>
  <c r="E558" i="4"/>
  <c r="M557" i="4"/>
  <c r="J557" i="4"/>
  <c r="E557" i="4"/>
  <c r="M556" i="4"/>
  <c r="J556" i="4"/>
  <c r="E556" i="4"/>
  <c r="M555" i="4"/>
  <c r="H555" i="4"/>
  <c r="E555" i="4"/>
  <c r="G567" i="4" l="1"/>
  <c r="I566" i="4"/>
  <c r="L566" i="4" s="1"/>
  <c r="G564" i="4"/>
  <c r="L564" i="4" s="1"/>
  <c r="G563" i="4"/>
  <c r="K557" i="4"/>
  <c r="L557" i="4" s="1"/>
  <c r="G562" i="4"/>
  <c r="G560" i="4"/>
  <c r="G559" i="4"/>
  <c r="K556" i="4"/>
  <c r="L556" i="4" s="1"/>
  <c r="I555" i="4"/>
  <c r="L555" i="4" s="1"/>
  <c r="G561" i="4"/>
  <c r="H338" i="1"/>
  <c r="G338" i="1"/>
  <c r="H337" i="1"/>
  <c r="G337" i="1"/>
  <c r="J605" i="4"/>
  <c r="J606" i="4"/>
  <c r="G722" i="1"/>
  <c r="M604" i="4"/>
  <c r="M605" i="4"/>
  <c r="M606" i="4"/>
  <c r="M607" i="4"/>
  <c r="M608" i="4"/>
  <c r="M609" i="4"/>
  <c r="E609" i="4"/>
  <c r="E608" i="4"/>
  <c r="E607" i="4"/>
  <c r="E606" i="4"/>
  <c r="E605" i="4"/>
  <c r="E604" i="4"/>
  <c r="E603" i="4"/>
  <c r="E131" i="2"/>
  <c r="E132" i="2"/>
  <c r="E133" i="2"/>
  <c r="F609" i="4"/>
  <c r="J608" i="4"/>
  <c r="F608" i="4"/>
  <c r="J607" i="4"/>
  <c r="J604" i="4"/>
  <c r="K604" i="4" s="1"/>
  <c r="L604" i="4" s="1"/>
  <c r="M603" i="4"/>
  <c r="H603" i="4"/>
  <c r="G721" i="1"/>
  <c r="M652" i="4"/>
  <c r="M653" i="4"/>
  <c r="J652" i="4"/>
  <c r="J653" i="4"/>
  <c r="F652" i="4"/>
  <c r="F653" i="4"/>
  <c r="F654" i="4"/>
  <c r="F655" i="4"/>
  <c r="E653" i="4"/>
  <c r="E652" i="4"/>
  <c r="E654" i="4"/>
  <c r="K653" i="4" l="1"/>
  <c r="K652" i="4"/>
  <c r="K606" i="4"/>
  <c r="L606" i="4" s="1"/>
  <c r="I603" i="4"/>
  <c r="L603" i="4" s="1"/>
  <c r="K605" i="4"/>
  <c r="L605" i="4" s="1"/>
  <c r="G609" i="4"/>
  <c r="L609" i="4" s="1"/>
  <c r="K607" i="4"/>
  <c r="L607" i="4" s="1"/>
  <c r="K608" i="4"/>
  <c r="G652" i="4"/>
  <c r="G653" i="4"/>
  <c r="E651" i="4"/>
  <c r="E655" i="4"/>
  <c r="E650" i="4"/>
  <c r="E649" i="4"/>
  <c r="E648" i="4"/>
  <c r="M615" i="4"/>
  <c r="F615" i="4"/>
  <c r="E615" i="4"/>
  <c r="F614" i="4"/>
  <c r="E614" i="4"/>
  <c r="M613" i="4"/>
  <c r="J613" i="4"/>
  <c r="E613" i="4"/>
  <c r="J612" i="4"/>
  <c r="E612" i="4"/>
  <c r="M611" i="4"/>
  <c r="H611" i="4"/>
  <c r="E611" i="4"/>
  <c r="L652" i="4" l="1"/>
  <c r="L653" i="4"/>
  <c r="G608" i="4"/>
  <c r="G615" i="4"/>
  <c r="L615" i="4" s="1"/>
  <c r="K613" i="4"/>
  <c r="L613" i="4" s="1"/>
  <c r="G614" i="4"/>
  <c r="K612" i="4"/>
  <c r="L612" i="4" s="1"/>
  <c r="I611" i="4"/>
  <c r="L611" i="4" s="1"/>
  <c r="L608" i="4" l="1"/>
  <c r="L602" i="4" s="1"/>
  <c r="E639" i="4" l="1"/>
  <c r="G639" i="4" s="1"/>
  <c r="L639" i="4" s="1"/>
  <c r="E640" i="4"/>
  <c r="G640" i="4" s="1"/>
  <c r="L640" i="4" s="1"/>
  <c r="E638" i="4"/>
  <c r="E637" i="4"/>
  <c r="E636" i="4"/>
  <c r="K636" i="4" s="1"/>
  <c r="L636" i="4" s="1"/>
  <c r="E635" i="4"/>
  <c r="I635" i="4" s="1"/>
  <c r="L635" i="4" s="1"/>
  <c r="F263" i="4"/>
  <c r="H261" i="4"/>
  <c r="M263" i="4"/>
  <c r="M261" i="4"/>
  <c r="E263" i="4"/>
  <c r="E262" i="4"/>
  <c r="E261" i="4"/>
  <c r="H597" i="4"/>
  <c r="F601" i="4"/>
  <c r="J599" i="4"/>
  <c r="J600" i="4"/>
  <c r="J598" i="4"/>
  <c r="M600" i="4"/>
  <c r="M601" i="4"/>
  <c r="M597" i="4"/>
  <c r="E601" i="4"/>
  <c r="E600" i="4"/>
  <c r="E599" i="4"/>
  <c r="E598" i="4"/>
  <c r="E597" i="4"/>
  <c r="J650" i="4"/>
  <c r="J649" i="4"/>
  <c r="M650" i="4"/>
  <c r="M654" i="4"/>
  <c r="M655" i="4"/>
  <c r="M648" i="4"/>
  <c r="G655" i="4"/>
  <c r="L655" i="4" s="1"/>
  <c r="G654" i="4"/>
  <c r="I648" i="4"/>
  <c r="L648" i="4" s="1"/>
  <c r="E579" i="4"/>
  <c r="E578" i="4"/>
  <c r="E577" i="4"/>
  <c r="E576" i="4"/>
  <c r="E575" i="4"/>
  <c r="E574" i="4"/>
  <c r="E572" i="4"/>
  <c r="E571" i="4"/>
  <c r="E570" i="4"/>
  <c r="E569" i="4"/>
  <c r="E591" i="4"/>
  <c r="E590" i="4"/>
  <c r="E589" i="4"/>
  <c r="E588" i="4"/>
  <c r="E587" i="4"/>
  <c r="E586" i="4"/>
  <c r="E584" i="4"/>
  <c r="E583" i="4"/>
  <c r="E582" i="4"/>
  <c r="E581" i="4"/>
  <c r="E633" i="4"/>
  <c r="E632" i="4"/>
  <c r="E631" i="4"/>
  <c r="E630" i="4"/>
  <c r="E629" i="4"/>
  <c r="E628" i="4"/>
  <c r="J571" i="4"/>
  <c r="J570" i="4"/>
  <c r="H569" i="4"/>
  <c r="F573" i="4"/>
  <c r="G573" i="4" s="1"/>
  <c r="F574" i="4"/>
  <c r="F575" i="4"/>
  <c r="F576" i="4"/>
  <c r="F577" i="4"/>
  <c r="F578" i="4"/>
  <c r="F579" i="4"/>
  <c r="M571" i="4"/>
  <c r="M579" i="4"/>
  <c r="M569" i="4"/>
  <c r="J583" i="4"/>
  <c r="J582" i="4"/>
  <c r="H581" i="4"/>
  <c r="F585" i="4"/>
  <c r="G585" i="4" s="1"/>
  <c r="F586" i="4"/>
  <c r="F587" i="4"/>
  <c r="G587" i="4" s="1"/>
  <c r="F588" i="4"/>
  <c r="F589" i="4"/>
  <c r="F590" i="4"/>
  <c r="F591" i="4"/>
  <c r="M583" i="4"/>
  <c r="M591" i="4"/>
  <c r="M581" i="4"/>
  <c r="M124" i="4"/>
  <c r="M132" i="4"/>
  <c r="M119" i="4"/>
  <c r="J121" i="4"/>
  <c r="J122" i="4"/>
  <c r="J123" i="4"/>
  <c r="J124" i="4"/>
  <c r="J125" i="4"/>
  <c r="J126" i="4"/>
  <c r="J127" i="4"/>
  <c r="J120" i="4"/>
  <c r="H119" i="4"/>
  <c r="F129" i="4"/>
  <c r="F130" i="4"/>
  <c r="G130" i="4" s="1"/>
  <c r="F131" i="4"/>
  <c r="F132" i="4"/>
  <c r="F134" i="4"/>
  <c r="G134" i="4" s="1"/>
  <c r="F128" i="4"/>
  <c r="E99" i="2"/>
  <c r="M127" i="4" s="1"/>
  <c r="E102" i="2"/>
  <c r="M125" i="4" s="1"/>
  <c r="E101" i="2"/>
  <c r="E150" i="2"/>
  <c r="E52" i="2"/>
  <c r="M122" i="4" s="1"/>
  <c r="E141" i="2"/>
  <c r="E133" i="4"/>
  <c r="E132" i="4"/>
  <c r="E131" i="4"/>
  <c r="E129" i="4"/>
  <c r="E128" i="4"/>
  <c r="E127" i="4"/>
  <c r="E126" i="4"/>
  <c r="E125" i="4"/>
  <c r="E124" i="4"/>
  <c r="E123" i="4"/>
  <c r="E122" i="4"/>
  <c r="E121" i="4"/>
  <c r="E120" i="4"/>
  <c r="E119" i="4"/>
  <c r="E529" i="4"/>
  <c r="E528" i="4"/>
  <c r="E527" i="4"/>
  <c r="E526" i="4"/>
  <c r="E525" i="4"/>
  <c r="E524" i="4"/>
  <c r="E523" i="4"/>
  <c r="E522" i="4"/>
  <c r="J524" i="4"/>
  <c r="J525" i="4"/>
  <c r="J523" i="4"/>
  <c r="H522" i="4"/>
  <c r="F527" i="4"/>
  <c r="F528" i="4"/>
  <c r="F529" i="4"/>
  <c r="F526" i="4"/>
  <c r="M522" i="4"/>
  <c r="M525" i="4"/>
  <c r="M529" i="4"/>
  <c r="G529" i="4" l="1"/>
  <c r="G638" i="4"/>
  <c r="G576" i="4"/>
  <c r="G527" i="4"/>
  <c r="L527" i="4" s="1"/>
  <c r="K600" i="4"/>
  <c r="L600" i="4" s="1"/>
  <c r="G578" i="4"/>
  <c r="L578" i="4" s="1"/>
  <c r="G574" i="4"/>
  <c r="K523" i="4"/>
  <c r="L523" i="4" s="1"/>
  <c r="K121" i="4"/>
  <c r="L121" i="4" s="1"/>
  <c r="K583" i="4"/>
  <c r="L583" i="4" s="1"/>
  <c r="G577" i="4"/>
  <c r="K123" i="4"/>
  <c r="L123" i="4" s="1"/>
  <c r="K127" i="4"/>
  <c r="L127" i="4" s="1"/>
  <c r="I569" i="4"/>
  <c r="L569" i="4" s="1"/>
  <c r="K650" i="4"/>
  <c r="L650" i="4" s="1"/>
  <c r="I597" i="4"/>
  <c r="L597" i="4" s="1"/>
  <c r="I261" i="4"/>
  <c r="L261" i="4" s="1"/>
  <c r="K571" i="4"/>
  <c r="L571" i="4" s="1"/>
  <c r="G601" i="4"/>
  <c r="L601" i="4" s="1"/>
  <c r="K638" i="4"/>
  <c r="L638" i="4" s="1"/>
  <c r="K124" i="4"/>
  <c r="L124" i="4" s="1"/>
  <c r="K598" i="4"/>
  <c r="L598" i="4" s="1"/>
  <c r="K649" i="4"/>
  <c r="L649" i="4" s="1"/>
  <c r="G637" i="4"/>
  <c r="K637" i="4"/>
  <c r="G263" i="4"/>
  <c r="L263" i="4" s="1"/>
  <c r="K599" i="4"/>
  <c r="L599" i="4" s="1"/>
  <c r="L654" i="4"/>
  <c r="K570" i="4"/>
  <c r="L570" i="4" s="1"/>
  <c r="G526" i="4"/>
  <c r="I119" i="4"/>
  <c r="L119" i="4" s="1"/>
  <c r="K122" i="4"/>
  <c r="L122" i="4" s="1"/>
  <c r="G129" i="4"/>
  <c r="I581" i="4"/>
  <c r="L581" i="4" s="1"/>
  <c r="G590" i="4"/>
  <c r="L590" i="4" s="1"/>
  <c r="K582" i="4"/>
  <c r="L582" i="4" s="1"/>
  <c r="K524" i="4"/>
  <c r="L524" i="4" s="1"/>
  <c r="K126" i="4"/>
  <c r="L126" i="4" s="1"/>
  <c r="G579" i="4"/>
  <c r="L579" i="4" s="1"/>
  <c r="G575" i="4"/>
  <c r="K525" i="4"/>
  <c r="L525" i="4" s="1"/>
  <c r="K125" i="4"/>
  <c r="L125" i="4" s="1"/>
  <c r="I522" i="4"/>
  <c r="L522" i="4" s="1"/>
  <c r="G591" i="4"/>
  <c r="L591" i="4" s="1"/>
  <c r="G586" i="4"/>
  <c r="G589" i="4"/>
  <c r="G588" i="4"/>
  <c r="G128" i="4"/>
  <c r="G131" i="4"/>
  <c r="K120" i="4"/>
  <c r="L120" i="4" s="1"/>
  <c r="G132" i="4"/>
  <c r="L132" i="4" s="1"/>
  <c r="G528" i="4"/>
  <c r="L529" i="4"/>
  <c r="L596" i="4" l="1"/>
  <c r="L637" i="4"/>
  <c r="L634" i="4" s="1"/>
  <c r="E51" i="4" l="1"/>
  <c r="K51" i="4" s="1"/>
  <c r="L51" i="4" s="1"/>
  <c r="L50" i="4" s="1"/>
  <c r="E722" i="4" l="1"/>
  <c r="E721" i="4"/>
  <c r="E720" i="4"/>
  <c r="E718" i="4"/>
  <c r="E717" i="4"/>
  <c r="E716" i="4"/>
  <c r="E715" i="4"/>
  <c r="E714" i="4"/>
  <c r="E713" i="4"/>
  <c r="J715" i="4"/>
  <c r="K715" i="4" s="1"/>
  <c r="L715" i="4" s="1"/>
  <c r="J714" i="4"/>
  <c r="H713" i="4"/>
  <c r="F717" i="4"/>
  <c r="F718" i="4"/>
  <c r="G718" i="4" s="1"/>
  <c r="F719" i="4"/>
  <c r="F720" i="4"/>
  <c r="F721" i="4"/>
  <c r="F722" i="4"/>
  <c r="M715" i="4"/>
  <c r="M722" i="4"/>
  <c r="M713" i="4"/>
  <c r="D719" i="4"/>
  <c r="E719" i="4" s="1"/>
  <c r="K714" i="4" l="1"/>
  <c r="L714" i="4" s="1"/>
  <c r="G719" i="4"/>
  <c r="G721" i="4"/>
  <c r="G722" i="4"/>
  <c r="L722" i="4" s="1"/>
  <c r="G717" i="4"/>
  <c r="G720" i="4"/>
  <c r="I713" i="4"/>
  <c r="L713" i="4" s="1"/>
  <c r="M670" i="4" l="1"/>
  <c r="F670" i="4"/>
  <c r="E670" i="4"/>
  <c r="F669" i="4"/>
  <c r="E669" i="4"/>
  <c r="F668" i="4"/>
  <c r="G668" i="4" s="1"/>
  <c r="J667" i="4"/>
  <c r="E667" i="4"/>
  <c r="M666" i="4"/>
  <c r="H666" i="4"/>
  <c r="E666" i="4"/>
  <c r="F664" i="4"/>
  <c r="F663" i="4"/>
  <c r="F662" i="4"/>
  <c r="G662" i="4" s="1"/>
  <c r="H660" i="4"/>
  <c r="J661" i="4"/>
  <c r="M664" i="4"/>
  <c r="M660" i="4"/>
  <c r="E664" i="4"/>
  <c r="E663" i="4"/>
  <c r="E661" i="4"/>
  <c r="E660" i="4"/>
  <c r="G669" i="4" l="1"/>
  <c r="I666" i="4"/>
  <c r="L666" i="4" s="1"/>
  <c r="I660" i="4"/>
  <c r="L660" i="4" s="1"/>
  <c r="G670" i="4"/>
  <c r="L670" i="4" s="1"/>
  <c r="K667" i="4"/>
  <c r="L667" i="4" s="1"/>
  <c r="K661" i="4"/>
  <c r="L661" i="4" s="1"/>
  <c r="G663" i="4"/>
  <c r="G664" i="4"/>
  <c r="L664" i="4" s="1"/>
  <c r="D44" i="4" l="1"/>
  <c r="E44" i="4" s="1"/>
  <c r="J44" i="4"/>
  <c r="E104" i="4"/>
  <c r="E103" i="4"/>
  <c r="K103" i="4" s="1"/>
  <c r="L103" i="4" s="1"/>
  <c r="E102" i="4"/>
  <c r="F104" i="4"/>
  <c r="H102" i="4"/>
  <c r="M103" i="4"/>
  <c r="M102" i="4"/>
  <c r="F785" i="4"/>
  <c r="M784" i="4"/>
  <c r="E785" i="4"/>
  <c r="E784" i="4"/>
  <c r="I784" i="4" s="1"/>
  <c r="L784" i="4" s="1"/>
  <c r="H628" i="4"/>
  <c r="F631" i="4"/>
  <c r="F630" i="4"/>
  <c r="J629" i="4"/>
  <c r="K629" i="4" s="1"/>
  <c r="M629" i="4"/>
  <c r="M633" i="4"/>
  <c r="M628" i="4"/>
  <c r="G633" i="4"/>
  <c r="G632" i="4"/>
  <c r="F781" i="4"/>
  <c r="M780" i="4"/>
  <c r="E782" i="4"/>
  <c r="G782" i="4" s="1"/>
  <c r="L782" i="4" s="1"/>
  <c r="E781" i="4"/>
  <c r="E780" i="4"/>
  <c r="I780" i="4" s="1"/>
  <c r="L780" i="4" s="1"/>
  <c r="E745" i="4"/>
  <c r="E744" i="4"/>
  <c r="E743" i="4"/>
  <c r="E742" i="4"/>
  <c r="E741" i="4"/>
  <c r="E740" i="4"/>
  <c r="E739" i="4"/>
  <c r="E738" i="4"/>
  <c r="E737" i="4"/>
  <c r="E736" i="4"/>
  <c r="J749" i="4"/>
  <c r="J748" i="4"/>
  <c r="J738" i="4"/>
  <c r="J737" i="4"/>
  <c r="H747" i="4"/>
  <c r="H736" i="4"/>
  <c r="F751" i="4"/>
  <c r="G751" i="4" s="1"/>
  <c r="F752" i="4"/>
  <c r="F750" i="4"/>
  <c r="F740" i="4"/>
  <c r="F741" i="4"/>
  <c r="G741" i="4" s="1"/>
  <c r="F742" i="4"/>
  <c r="F743" i="4"/>
  <c r="F744" i="4"/>
  <c r="F745" i="4"/>
  <c r="M749" i="4"/>
  <c r="M752" i="4"/>
  <c r="M747" i="4"/>
  <c r="M738" i="4"/>
  <c r="M745" i="4"/>
  <c r="M736" i="4"/>
  <c r="E752" i="4"/>
  <c r="E750" i="4"/>
  <c r="E749" i="4"/>
  <c r="E748" i="4"/>
  <c r="E747" i="4"/>
  <c r="G744" i="4" l="1"/>
  <c r="K749" i="4"/>
  <c r="L749" i="4" s="1"/>
  <c r="K737" i="4"/>
  <c r="L737" i="4" s="1"/>
  <c r="I102" i="4"/>
  <c r="L102" i="4" s="1"/>
  <c r="G631" i="4"/>
  <c r="K44" i="4"/>
  <c r="L44" i="4" s="1"/>
  <c r="L43" i="4" s="1"/>
  <c r="G104" i="4"/>
  <c r="G785" i="4"/>
  <c r="L785" i="4" s="1"/>
  <c r="L783" i="4" s="1"/>
  <c r="I628" i="4"/>
  <c r="L628" i="4" s="1"/>
  <c r="G630" i="4"/>
  <c r="L632" i="4"/>
  <c r="L633" i="4"/>
  <c r="L629" i="4"/>
  <c r="G781" i="4"/>
  <c r="G740" i="4"/>
  <c r="I747" i="4"/>
  <c r="L747" i="4" s="1"/>
  <c r="G752" i="4"/>
  <c r="L752" i="4" s="1"/>
  <c r="G745" i="4"/>
  <c r="L745" i="4" s="1"/>
  <c r="G743" i="4"/>
  <c r="K748" i="4"/>
  <c r="L748" i="4" s="1"/>
  <c r="K738" i="4"/>
  <c r="L738" i="4" s="1"/>
  <c r="I736" i="4"/>
  <c r="L736" i="4" s="1"/>
  <c r="G750" i="4"/>
  <c r="G742" i="4"/>
  <c r="J71" i="4" l="1"/>
  <c r="E71" i="4"/>
  <c r="J70" i="4"/>
  <c r="E70" i="4"/>
  <c r="M69" i="4"/>
  <c r="H69" i="4"/>
  <c r="E69" i="4"/>
  <c r="K70" i="4" l="1"/>
  <c r="L70" i="4" s="1"/>
  <c r="K71" i="4"/>
  <c r="L71" i="4" s="1"/>
  <c r="I69" i="4"/>
  <c r="L69" i="4" s="1"/>
  <c r="L68" i="4" l="1"/>
  <c r="F538" i="4" l="1"/>
  <c r="E538" i="4"/>
  <c r="E156" i="2"/>
  <c r="E155" i="2"/>
  <c r="E154" i="2"/>
  <c r="E172" i="2"/>
  <c r="E171" i="2"/>
  <c r="E181" i="2"/>
  <c r="E182" i="2"/>
  <c r="E183" i="2"/>
  <c r="E184" i="2"/>
  <c r="E185" i="2"/>
  <c r="E186" i="2"/>
  <c r="E187" i="2"/>
  <c r="E537" i="4"/>
  <c r="I537" i="4" s="1"/>
  <c r="L537" i="4" s="1"/>
  <c r="M537" i="4"/>
  <c r="J537" i="4"/>
  <c r="G538" i="4" l="1"/>
  <c r="M90" i="4" l="1"/>
  <c r="F67" i="4"/>
  <c r="E67" i="4"/>
  <c r="M66" i="4"/>
  <c r="H66" i="4"/>
  <c r="E66" i="4"/>
  <c r="I66" i="4" l="1"/>
  <c r="L66" i="4" s="1"/>
  <c r="G67" i="4"/>
  <c r="M304" i="4" l="1"/>
  <c r="M315" i="4"/>
  <c r="M323" i="4"/>
  <c r="M319" i="4"/>
  <c r="M321" i="4"/>
  <c r="H321" i="4"/>
  <c r="H315" i="4"/>
  <c r="F319" i="4"/>
  <c r="F322" i="4"/>
  <c r="F323" i="4"/>
  <c r="F318" i="4" l="1"/>
  <c r="F317" i="4"/>
  <c r="F307" i="4"/>
  <c r="M316" i="4"/>
  <c r="M306" i="4"/>
  <c r="J306" i="4"/>
  <c r="J305" i="4"/>
  <c r="H304" i="4"/>
  <c r="E150" i="4" l="1"/>
  <c r="E149" i="4"/>
  <c r="E148" i="4"/>
  <c r="E147" i="4"/>
  <c r="E146" i="4"/>
  <c r="E145" i="4"/>
  <c r="F148" i="4"/>
  <c r="G148" i="4" s="1"/>
  <c r="F149" i="4"/>
  <c r="F150" i="4"/>
  <c r="J146" i="4"/>
  <c r="M146" i="4"/>
  <c r="M150" i="4"/>
  <c r="M145" i="4"/>
  <c r="H145" i="4"/>
  <c r="E323" i="4"/>
  <c r="E322" i="4"/>
  <c r="E321" i="4"/>
  <c r="I321" i="4" s="1"/>
  <c r="L321" i="4" s="1"/>
  <c r="E301" i="4"/>
  <c r="E300" i="4"/>
  <c r="E317" i="4"/>
  <c r="E318" i="4"/>
  <c r="E319" i="4"/>
  <c r="G319" i="4" s="1"/>
  <c r="L319" i="4" s="1"/>
  <c r="E316" i="4"/>
  <c r="K316" i="4" s="1"/>
  <c r="L316" i="4" s="1"/>
  <c r="E315" i="4"/>
  <c r="I315" i="4" s="1"/>
  <c r="L315" i="4" s="1"/>
  <c r="F257" i="4"/>
  <c r="F258" i="4"/>
  <c r="F256" i="4"/>
  <c r="F243" i="4"/>
  <c r="F244" i="4"/>
  <c r="F245" i="4"/>
  <c r="F246" i="4"/>
  <c r="F247" i="4"/>
  <c r="F242" i="4"/>
  <c r="H254" i="4"/>
  <c r="H240" i="4"/>
  <c r="J258" i="4"/>
  <c r="J255" i="4"/>
  <c r="J247" i="4"/>
  <c r="J241" i="4"/>
  <c r="M255" i="4"/>
  <c r="M258" i="4"/>
  <c r="M254" i="4"/>
  <c r="M241" i="4"/>
  <c r="M247" i="4"/>
  <c r="M240" i="4"/>
  <c r="E258" i="4"/>
  <c r="E257" i="4"/>
  <c r="E256" i="4"/>
  <c r="E255" i="4"/>
  <c r="E254" i="4"/>
  <c r="E247" i="4"/>
  <c r="E246" i="4"/>
  <c r="E245" i="4"/>
  <c r="E244" i="4"/>
  <c r="E243" i="4"/>
  <c r="E242" i="4"/>
  <c r="E241" i="4"/>
  <c r="E240" i="4"/>
  <c r="E183" i="4"/>
  <c r="E182" i="4"/>
  <c r="E181" i="4"/>
  <c r="E180" i="4"/>
  <c r="E179" i="4"/>
  <c r="E178" i="4"/>
  <c r="E177" i="4"/>
  <c r="F180" i="4"/>
  <c r="F181" i="4"/>
  <c r="F182" i="4"/>
  <c r="F183" i="4"/>
  <c r="H177" i="4"/>
  <c r="J178" i="4"/>
  <c r="M178" i="4"/>
  <c r="M183" i="4"/>
  <c r="M177" i="4"/>
  <c r="F173" i="4"/>
  <c r="F174" i="4"/>
  <c r="F175" i="4"/>
  <c r="H170" i="4"/>
  <c r="J171" i="4"/>
  <c r="M171" i="4"/>
  <c r="M175" i="4"/>
  <c r="M170" i="4"/>
  <c r="E175" i="4"/>
  <c r="E174" i="4"/>
  <c r="E173" i="4"/>
  <c r="E172" i="4"/>
  <c r="E171" i="4"/>
  <c r="E170" i="4"/>
  <c r="F225" i="4"/>
  <c r="F226" i="4"/>
  <c r="F224" i="4"/>
  <c r="H222" i="4"/>
  <c r="J223" i="4"/>
  <c r="M223" i="4"/>
  <c r="M226" i="4"/>
  <c r="M222" i="4"/>
  <c r="E226" i="4"/>
  <c r="E225" i="4"/>
  <c r="E224" i="4"/>
  <c r="E223" i="4"/>
  <c r="E222" i="4"/>
  <c r="E156" i="4"/>
  <c r="E157" i="4"/>
  <c r="E155" i="4"/>
  <c r="E154" i="4"/>
  <c r="E153" i="4"/>
  <c r="E152" i="4"/>
  <c r="F155" i="4"/>
  <c r="F156" i="4"/>
  <c r="F157" i="4"/>
  <c r="H152" i="4"/>
  <c r="J153" i="4"/>
  <c r="M153" i="4"/>
  <c r="M157" i="4"/>
  <c r="M152" i="4"/>
  <c r="I286" i="1"/>
  <c r="H286" i="1"/>
  <c r="F288" i="4"/>
  <c r="F289" i="4"/>
  <c r="F290" i="4"/>
  <c r="F291" i="4"/>
  <c r="F292" i="4"/>
  <c r="F287" i="4"/>
  <c r="J286" i="4"/>
  <c r="J285" i="4"/>
  <c r="E292" i="4"/>
  <c r="E291" i="4"/>
  <c r="E290" i="4"/>
  <c r="E289" i="4"/>
  <c r="E288" i="4"/>
  <c r="E287" i="4"/>
  <c r="E286" i="4"/>
  <c r="G286" i="4" s="1"/>
  <c r="E285" i="4"/>
  <c r="E284" i="4"/>
  <c r="H284" i="4"/>
  <c r="M285" i="4"/>
  <c r="M286" i="4"/>
  <c r="M292" i="4"/>
  <c r="M284" i="4"/>
  <c r="K146" i="4" l="1"/>
  <c r="L146" i="4" s="1"/>
  <c r="I145" i="4"/>
  <c r="L145" i="4" s="1"/>
  <c r="G287" i="4"/>
  <c r="G289" i="4"/>
  <c r="K241" i="4"/>
  <c r="L241" i="4" s="1"/>
  <c r="K285" i="4"/>
  <c r="L285" i="4" s="1"/>
  <c r="G181" i="4"/>
  <c r="I284" i="4"/>
  <c r="L284" i="4" s="1"/>
  <c r="I254" i="4"/>
  <c r="L254" i="4" s="1"/>
  <c r="G318" i="4"/>
  <c r="L318" i="4" s="1"/>
  <c r="G322" i="4"/>
  <c r="L322" i="4" s="1"/>
  <c r="G317" i="4"/>
  <c r="L317" i="4" s="1"/>
  <c r="G323" i="4"/>
  <c r="L323" i="4" s="1"/>
  <c r="G150" i="4"/>
  <c r="L150" i="4" s="1"/>
  <c r="G244" i="4"/>
  <c r="K258" i="4"/>
  <c r="G149" i="4"/>
  <c r="G292" i="4"/>
  <c r="L292" i="4" s="1"/>
  <c r="G256" i="4"/>
  <c r="G288" i="4"/>
  <c r="G175" i="4"/>
  <c r="L175" i="4" s="1"/>
  <c r="K247" i="4"/>
  <c r="G245" i="4"/>
  <c r="I222" i="4"/>
  <c r="L222" i="4" s="1"/>
  <c r="I240" i="4"/>
  <c r="L240" i="4" s="1"/>
  <c r="K286" i="4"/>
  <c r="L286" i="4" s="1"/>
  <c r="G290" i="4"/>
  <c r="K171" i="4"/>
  <c r="L171" i="4" s="1"/>
  <c r="I170" i="4"/>
  <c r="L170" i="4" s="1"/>
  <c r="G173" i="4"/>
  <c r="G243" i="4"/>
  <c r="G257" i="4"/>
  <c r="G258" i="4"/>
  <c r="G246" i="4"/>
  <c r="G247" i="4"/>
  <c r="G242" i="4"/>
  <c r="K255" i="4"/>
  <c r="L255" i="4" s="1"/>
  <c r="G180" i="4"/>
  <c r="G183" i="4"/>
  <c r="L183" i="4" s="1"/>
  <c r="I177" i="4"/>
  <c r="L177" i="4" s="1"/>
  <c r="K178" i="4"/>
  <c r="L178" i="4" s="1"/>
  <c r="G182" i="4"/>
  <c r="G174" i="4"/>
  <c r="G225" i="4"/>
  <c r="G226" i="4"/>
  <c r="L226" i="4" s="1"/>
  <c r="G224" i="4"/>
  <c r="K223" i="4"/>
  <c r="L223" i="4" s="1"/>
  <c r="I152" i="4"/>
  <c r="L152" i="4" s="1"/>
  <c r="G155" i="4"/>
  <c r="G157" i="4"/>
  <c r="L157" i="4" s="1"/>
  <c r="K153" i="4"/>
  <c r="L153" i="4" s="1"/>
  <c r="G156" i="4"/>
  <c r="G291" i="4"/>
  <c r="L314" i="4" l="1"/>
  <c r="L320" i="4"/>
  <c r="L258" i="4"/>
  <c r="L247" i="4"/>
  <c r="E168" i="4" l="1"/>
  <c r="E167" i="4"/>
  <c r="E166" i="4"/>
  <c r="E165" i="4"/>
  <c r="E164" i="4"/>
  <c r="E162" i="4"/>
  <c r="E161" i="4"/>
  <c r="E160" i="4"/>
  <c r="E159" i="4"/>
  <c r="F163" i="4"/>
  <c r="G163" i="4" s="1"/>
  <c r="F164" i="4"/>
  <c r="F165" i="4"/>
  <c r="F166" i="4"/>
  <c r="F167" i="4"/>
  <c r="F168" i="4"/>
  <c r="J161" i="4"/>
  <c r="J160" i="4"/>
  <c r="H159" i="4"/>
  <c r="M161" i="4"/>
  <c r="M168" i="4"/>
  <c r="M159" i="4"/>
  <c r="G166" i="4" l="1"/>
  <c r="L166" i="4" s="1"/>
  <c r="G165" i="4"/>
  <c r="K161" i="4"/>
  <c r="L161" i="4" s="1"/>
  <c r="G167" i="4"/>
  <c r="L167" i="4" s="1"/>
  <c r="G168" i="4"/>
  <c r="L168" i="4" s="1"/>
  <c r="K160" i="4"/>
  <c r="L160" i="4" s="1"/>
  <c r="I159" i="4"/>
  <c r="L159" i="4" s="1"/>
  <c r="G164" i="4"/>
  <c r="E756" i="4" l="1"/>
  <c r="E755" i="4"/>
  <c r="H755" i="4"/>
  <c r="J756" i="4"/>
  <c r="M756" i="4"/>
  <c r="M755" i="4"/>
  <c r="I755" i="4" l="1"/>
  <c r="L755" i="4" s="1"/>
  <c r="K756" i="4"/>
  <c r="L756" i="4" s="1"/>
  <c r="L754" i="4" l="1"/>
  <c r="H90" i="4" l="1"/>
  <c r="J92" i="4"/>
  <c r="J91" i="4"/>
  <c r="E90" i="4"/>
  <c r="E92" i="4"/>
  <c r="I90" i="4" l="1"/>
  <c r="L90" i="4" s="1"/>
  <c r="K92" i="4"/>
  <c r="L92" i="4" s="1"/>
  <c r="E91" i="4"/>
  <c r="K91" i="4" s="1"/>
  <c r="L91" i="4" s="1"/>
  <c r="L89" i="4" l="1"/>
  <c r="F231" i="4" l="1"/>
  <c r="F230" i="4"/>
  <c r="J229" i="4"/>
  <c r="H228" i="4"/>
  <c r="M229" i="4"/>
  <c r="M231" i="4"/>
  <c r="M228" i="4"/>
  <c r="E231" i="4"/>
  <c r="E230" i="4"/>
  <c r="E229" i="4"/>
  <c r="E228" i="4"/>
  <c r="H194" i="4"/>
  <c r="F196" i="4"/>
  <c r="F195" i="4"/>
  <c r="G195" i="4" s="1"/>
  <c r="M194" i="4"/>
  <c r="E196" i="4"/>
  <c r="E194" i="4"/>
  <c r="G307" i="4"/>
  <c r="E306" i="4"/>
  <c r="E305" i="4"/>
  <c r="E304" i="4"/>
  <c r="K229" i="4" l="1"/>
  <c r="L229" i="4" s="1"/>
  <c r="K306" i="4"/>
  <c r="L306" i="4" s="1"/>
  <c r="I304" i="4"/>
  <c r="L304" i="4" s="1"/>
  <c r="G231" i="4"/>
  <c r="L231" i="4" s="1"/>
  <c r="G230" i="4"/>
  <c r="L230" i="4" s="1"/>
  <c r="I228" i="4"/>
  <c r="L228" i="4" s="1"/>
  <c r="I194" i="4"/>
  <c r="L194" i="4" s="1"/>
  <c r="G196" i="4"/>
  <c r="L196" i="4" s="1"/>
  <c r="K305" i="4"/>
  <c r="L305" i="4" s="1"/>
  <c r="L227" i="4" l="1"/>
  <c r="F675" i="4" l="1"/>
  <c r="F674" i="4"/>
  <c r="H672" i="4"/>
  <c r="J673" i="4"/>
  <c r="M673" i="4"/>
  <c r="M674" i="4"/>
  <c r="M675" i="4"/>
  <c r="M672" i="4"/>
  <c r="E675" i="4"/>
  <c r="E674" i="4"/>
  <c r="E673" i="4"/>
  <c r="E672" i="4"/>
  <c r="F680" i="4"/>
  <c r="F681" i="4"/>
  <c r="F679" i="4"/>
  <c r="J678" i="4"/>
  <c r="H677" i="4"/>
  <c r="H657" i="4"/>
  <c r="J658" i="4"/>
  <c r="M678" i="4"/>
  <c r="M681" i="4"/>
  <c r="M677" i="4"/>
  <c r="E681" i="4"/>
  <c r="E680" i="4"/>
  <c r="E679" i="4"/>
  <c r="E678" i="4"/>
  <c r="E677" i="4"/>
  <c r="K673" i="4" l="1"/>
  <c r="L673" i="4" s="1"/>
  <c r="G679" i="4"/>
  <c r="L679" i="4" s="1"/>
  <c r="G675" i="4"/>
  <c r="L675" i="4" s="1"/>
  <c r="G674" i="4"/>
  <c r="L674" i="4" s="1"/>
  <c r="I672" i="4"/>
  <c r="L672" i="4" s="1"/>
  <c r="G680" i="4"/>
  <c r="L680" i="4" s="1"/>
  <c r="G681" i="4"/>
  <c r="L681" i="4" s="1"/>
  <c r="K678" i="4"/>
  <c r="L678" i="4" s="1"/>
  <c r="I677" i="4"/>
  <c r="L677" i="4" s="1"/>
  <c r="L671" i="4" l="1"/>
  <c r="L676" i="4"/>
  <c r="M205" i="4" l="1"/>
  <c r="F205" i="4"/>
  <c r="E205" i="4"/>
  <c r="F204" i="4"/>
  <c r="E204" i="4"/>
  <c r="F203" i="4"/>
  <c r="E203" i="4"/>
  <c r="F202" i="4"/>
  <c r="G202" i="4" s="1"/>
  <c r="E201" i="4"/>
  <c r="M200" i="4"/>
  <c r="J200" i="4"/>
  <c r="E200" i="4"/>
  <c r="J199" i="4"/>
  <c r="E199" i="4"/>
  <c r="M198" i="4"/>
  <c r="H198" i="4"/>
  <c r="E198" i="4"/>
  <c r="E60" i="11"/>
  <c r="E59" i="11"/>
  <c r="E42" i="11"/>
  <c r="E43" i="11" s="1"/>
  <c r="D54" i="11"/>
  <c r="D57" i="11"/>
  <c r="D56" i="11"/>
  <c r="D55" i="11"/>
  <c r="D21" i="11"/>
  <c r="D20" i="11"/>
  <c r="D19" i="11"/>
  <c r="D18" i="11"/>
  <c r="D41" i="11"/>
  <c r="E41" i="11" s="1"/>
  <c r="D39" i="11"/>
  <c r="E39" i="11" s="1"/>
  <c r="D38" i="11"/>
  <c r="E38" i="11" s="1"/>
  <c r="D37" i="11"/>
  <c r="E37" i="11" s="1"/>
  <c r="D36" i="11"/>
  <c r="E36" i="11" s="1"/>
  <c r="D15" i="11"/>
  <c r="D14" i="11"/>
  <c r="D13" i="11"/>
  <c r="D12" i="11"/>
  <c r="D10" i="11"/>
  <c r="E10" i="11" s="1"/>
  <c r="D42" i="4"/>
  <c r="J40" i="4"/>
  <c r="D40" i="4"/>
  <c r="E40" i="4" s="1"/>
  <c r="E15" i="11" l="1"/>
  <c r="E57" i="11"/>
  <c r="K40" i="4"/>
  <c r="L40" i="4" s="1"/>
  <c r="L39" i="4" s="1"/>
  <c r="I198" i="4"/>
  <c r="L198" i="4" s="1"/>
  <c r="K199" i="4"/>
  <c r="L199" i="4" s="1"/>
  <c r="G204" i="4"/>
  <c r="G205" i="4"/>
  <c r="L205" i="4" s="1"/>
  <c r="K200" i="4"/>
  <c r="L200" i="4" s="1"/>
  <c r="G203" i="4"/>
  <c r="E14" i="11"/>
  <c r="E17" i="11"/>
  <c r="E21" i="11" s="1"/>
  <c r="E13" i="11"/>
  <c r="E12" i="11"/>
  <c r="E56" i="11"/>
  <c r="E55" i="11"/>
  <c r="E54" i="11"/>
  <c r="E27" i="11"/>
  <c r="E28" i="11"/>
  <c r="E26" i="11"/>
  <c r="E29" i="11"/>
  <c r="E18" i="11" l="1"/>
  <c r="E19" i="11"/>
  <c r="E20" i="11"/>
  <c r="J42" i="4" l="1"/>
  <c r="E42" i="4"/>
  <c r="J28" i="4"/>
  <c r="K42" i="4" l="1"/>
  <c r="L42" i="4" s="1"/>
  <c r="L41" i="4" s="1"/>
  <c r="E771" i="4" l="1"/>
  <c r="F770" i="4"/>
  <c r="G770" i="4" s="1"/>
  <c r="F771" i="4"/>
  <c r="F769" i="4"/>
  <c r="G769" i="4" s="1"/>
  <c r="F768" i="4"/>
  <c r="G768" i="4" s="1"/>
  <c r="M767" i="4"/>
  <c r="E767" i="4"/>
  <c r="I767" i="4" s="1"/>
  <c r="L767" i="4" s="1"/>
  <c r="G771" i="4" l="1"/>
  <c r="E507" i="4" l="1"/>
  <c r="E510" i="4" s="1"/>
  <c r="F513" i="4"/>
  <c r="F512" i="4"/>
  <c r="J510" i="4"/>
  <c r="J511" i="4"/>
  <c r="J509" i="4"/>
  <c r="H508" i="4"/>
  <c r="M511" i="4"/>
  <c r="M513" i="4"/>
  <c r="M508" i="4"/>
  <c r="F301" i="4"/>
  <c r="F302" i="4"/>
  <c r="F300" i="4"/>
  <c r="E302" i="4"/>
  <c r="E299" i="4"/>
  <c r="E298" i="4"/>
  <c r="J299" i="4"/>
  <c r="H298" i="4"/>
  <c r="M299" i="4"/>
  <c r="M302" i="4"/>
  <c r="M298" i="4"/>
  <c r="E508" i="4" l="1"/>
  <c r="I508" i="4" s="1"/>
  <c r="L508" i="4" s="1"/>
  <c r="E512" i="4"/>
  <c r="G512" i="4" s="1"/>
  <c r="L512" i="4" s="1"/>
  <c r="E509" i="4"/>
  <c r="K509" i="4" s="1"/>
  <c r="L509" i="4" s="1"/>
  <c r="E513" i="4"/>
  <c r="G513" i="4" s="1"/>
  <c r="L513" i="4" s="1"/>
  <c r="E511" i="4"/>
  <c r="K511" i="4" s="1"/>
  <c r="L511" i="4" s="1"/>
  <c r="K510" i="4"/>
  <c r="L510" i="4" s="1"/>
  <c r="G301" i="4"/>
  <c r="L301" i="4" s="1"/>
  <c r="G302" i="4"/>
  <c r="L302" i="4" s="1"/>
  <c r="G300" i="4"/>
  <c r="L300" i="4" s="1"/>
  <c r="K299" i="4"/>
  <c r="L299" i="4" s="1"/>
  <c r="I298" i="4"/>
  <c r="L298" i="4" s="1"/>
  <c r="L507" i="4" l="1"/>
  <c r="L297" i="4"/>
  <c r="F506" i="4" l="1"/>
  <c r="J501" i="4"/>
  <c r="J502" i="4"/>
  <c r="J500" i="4"/>
  <c r="E506" i="4"/>
  <c r="E502" i="4"/>
  <c r="E501" i="4"/>
  <c r="E500" i="4"/>
  <c r="E499" i="4"/>
  <c r="M502" i="4"/>
  <c r="M505" i="4"/>
  <c r="M506" i="4"/>
  <c r="M499" i="4"/>
  <c r="H499" i="4"/>
  <c r="G504" i="4"/>
  <c r="L504" i="4" s="1"/>
  <c r="G503" i="4"/>
  <c r="L503" i="4" s="1"/>
  <c r="G506" i="4" l="1"/>
  <c r="L506" i="4" s="1"/>
  <c r="K501" i="4"/>
  <c r="L501" i="4" s="1"/>
  <c r="K502" i="4"/>
  <c r="L502" i="4" s="1"/>
  <c r="K500" i="4"/>
  <c r="L500" i="4" s="1"/>
  <c r="I499" i="4"/>
  <c r="L499" i="4" s="1"/>
  <c r="M497" i="4" l="1"/>
  <c r="J497" i="4"/>
  <c r="F497" i="4"/>
  <c r="E497" i="4"/>
  <c r="F496" i="4"/>
  <c r="E496" i="4"/>
  <c r="M495" i="4"/>
  <c r="M494" i="4"/>
  <c r="M493" i="4"/>
  <c r="G492" i="4"/>
  <c r="L492" i="4" s="1"/>
  <c r="G491" i="4"/>
  <c r="L491" i="4" s="1"/>
  <c r="G490" i="4"/>
  <c r="L490" i="4" s="1"/>
  <c r="G489" i="4"/>
  <c r="L489" i="4" s="1"/>
  <c r="F488" i="4"/>
  <c r="G488" i="4" s="1"/>
  <c r="L488" i="4" s="1"/>
  <c r="E487" i="4"/>
  <c r="J486" i="4"/>
  <c r="E486" i="4"/>
  <c r="J485" i="4"/>
  <c r="E485" i="4"/>
  <c r="E484" i="4"/>
  <c r="I484" i="4" s="1"/>
  <c r="L484" i="4" s="1"/>
  <c r="M483" i="4"/>
  <c r="H483" i="4"/>
  <c r="E483" i="4"/>
  <c r="E77" i="4"/>
  <c r="J77" i="4"/>
  <c r="E59" i="4"/>
  <c r="E58" i="4"/>
  <c r="J59" i="4"/>
  <c r="H58" i="4"/>
  <c r="M58" i="4"/>
  <c r="G497" i="4" l="1"/>
  <c r="L497" i="4" s="1"/>
  <c r="G496" i="4"/>
  <c r="L496" i="4" s="1"/>
  <c r="K486" i="4"/>
  <c r="L486" i="4" s="1"/>
  <c r="I483" i="4"/>
  <c r="L483" i="4" s="1"/>
  <c r="K485" i="4"/>
  <c r="L485" i="4" s="1"/>
  <c r="K77" i="4"/>
  <c r="L77" i="4" s="1"/>
  <c r="L76" i="4" s="1"/>
  <c r="K59" i="4"/>
  <c r="L59" i="4" s="1"/>
  <c r="I58" i="4"/>
  <c r="L58" i="4" s="1"/>
  <c r="D46" i="4"/>
  <c r="E46" i="4" s="1"/>
  <c r="J46" i="4"/>
  <c r="J773" i="4"/>
  <c r="J621" i="4" l="1"/>
  <c r="K621" i="4" s="1"/>
  <c r="L621" i="4" s="1"/>
  <c r="J624" i="4"/>
  <c r="K624" i="4" s="1"/>
  <c r="L624" i="4" s="1"/>
  <c r="L57" i="4"/>
  <c r="K46" i="4"/>
  <c r="L46" i="4" s="1"/>
  <c r="L45" i="4" s="1"/>
  <c r="M110" i="4" l="1"/>
  <c r="M114" i="4"/>
  <c r="M115" i="4"/>
  <c r="M108" i="4"/>
  <c r="G715" i="1"/>
  <c r="G714" i="1"/>
  <c r="E115" i="4"/>
  <c r="E114" i="4"/>
  <c r="E113" i="4"/>
  <c r="E112" i="4"/>
  <c r="E111" i="4"/>
  <c r="E110" i="4"/>
  <c r="E109" i="4"/>
  <c r="E108" i="4"/>
  <c r="J110" i="4"/>
  <c r="J109" i="4"/>
  <c r="F112" i="4"/>
  <c r="F113" i="4"/>
  <c r="F114" i="4"/>
  <c r="F115" i="4"/>
  <c r="F111" i="4"/>
  <c r="H108" i="4"/>
  <c r="J38" i="4"/>
  <c r="J36" i="4"/>
  <c r="D38" i="4"/>
  <c r="E38" i="4" s="1"/>
  <c r="D36" i="4"/>
  <c r="E36" i="4" s="1"/>
  <c r="G113" i="4" l="1"/>
  <c r="L113" i="4" s="1"/>
  <c r="K110" i="4"/>
  <c r="L110" i="4" s="1"/>
  <c r="K109" i="4"/>
  <c r="L109" i="4" s="1"/>
  <c r="G114" i="4"/>
  <c r="L114" i="4" s="1"/>
  <c r="G112" i="4"/>
  <c r="L112" i="4" s="1"/>
  <c r="G115" i="4"/>
  <c r="L115" i="4" s="1"/>
  <c r="G111" i="4"/>
  <c r="L111" i="4" s="1"/>
  <c r="I108" i="4"/>
  <c r="L108" i="4" s="1"/>
  <c r="K36" i="4"/>
  <c r="L36" i="4" s="1"/>
  <c r="L35" i="4" s="1"/>
  <c r="K38" i="4"/>
  <c r="L38" i="4" s="1"/>
  <c r="L37" i="4" s="1"/>
  <c r="L107" i="4" l="1"/>
  <c r="M88" i="4"/>
  <c r="M87" i="4"/>
  <c r="J85" i="4"/>
  <c r="J86" i="4"/>
  <c r="J87" i="4"/>
  <c r="J84" i="4"/>
  <c r="F88" i="4"/>
  <c r="E94" i="2"/>
  <c r="H83" i="4"/>
  <c r="E88" i="4"/>
  <c r="E87" i="4"/>
  <c r="E86" i="4"/>
  <c r="E85" i="4"/>
  <c r="E84" i="4"/>
  <c r="E83" i="4"/>
  <c r="M85" i="4" l="1"/>
  <c r="K85" i="4"/>
  <c r="L85" i="4" s="1"/>
  <c r="K86" i="4"/>
  <c r="L86" i="4" s="1"/>
  <c r="K87" i="4"/>
  <c r="L87" i="4" s="1"/>
  <c r="K84" i="4"/>
  <c r="L84" i="4" s="1"/>
  <c r="G88" i="4"/>
  <c r="L88" i="4" s="1"/>
  <c r="I83" i="4"/>
  <c r="L83" i="4" s="1"/>
  <c r="E64" i="4"/>
  <c r="E63" i="4"/>
  <c r="H63" i="4"/>
  <c r="F64" i="4"/>
  <c r="M63" i="4"/>
  <c r="L82" i="4" l="1"/>
  <c r="G64" i="4"/>
  <c r="I63" i="4"/>
  <c r="L63" i="4" s="1"/>
  <c r="M389" i="4" l="1"/>
  <c r="F389" i="4"/>
  <c r="E389" i="4"/>
  <c r="F388" i="4"/>
  <c r="E388" i="4"/>
  <c r="F387" i="4"/>
  <c r="E387" i="4"/>
  <c r="F386" i="4"/>
  <c r="E386" i="4"/>
  <c r="F385" i="4"/>
  <c r="E385" i="4"/>
  <c r="M384" i="4"/>
  <c r="J384" i="4"/>
  <c r="E384" i="4"/>
  <c r="M383" i="4"/>
  <c r="H383" i="4"/>
  <c r="E383" i="4"/>
  <c r="J373" i="4"/>
  <c r="E375" i="4"/>
  <c r="E376" i="4"/>
  <c r="E377" i="4"/>
  <c r="E378" i="4"/>
  <c r="E379" i="4"/>
  <c r="E380" i="4"/>
  <c r="E381" i="4"/>
  <c r="F370" i="4"/>
  <c r="G370" i="4" s="1"/>
  <c r="F380" i="4"/>
  <c r="F379" i="4"/>
  <c r="G379" i="4" s="1"/>
  <c r="M381" i="4"/>
  <c r="F381" i="4"/>
  <c r="F378" i="4"/>
  <c r="F377" i="4"/>
  <c r="M376" i="4"/>
  <c r="J376" i="4"/>
  <c r="M375" i="4"/>
  <c r="H375" i="4"/>
  <c r="F372" i="4"/>
  <c r="F371" i="4"/>
  <c r="F369" i="4"/>
  <c r="G369" i="4" s="1"/>
  <c r="I333" i="1"/>
  <c r="I334" i="1"/>
  <c r="I335" i="1"/>
  <c r="H333" i="1"/>
  <c r="H334" i="1"/>
  <c r="H335" i="1"/>
  <c r="G333" i="1"/>
  <c r="G334" i="1"/>
  <c r="G335" i="1"/>
  <c r="I332" i="1"/>
  <c r="H332" i="1"/>
  <c r="I331" i="1"/>
  <c r="J369" i="4" s="1"/>
  <c r="K369" i="4" s="1"/>
  <c r="H331" i="1"/>
  <c r="M369" i="4" s="1"/>
  <c r="G332" i="1"/>
  <c r="G331" i="1"/>
  <c r="I322" i="1"/>
  <c r="H322" i="1"/>
  <c r="G322" i="1"/>
  <c r="I321" i="1"/>
  <c r="H321" i="1"/>
  <c r="G321" i="1"/>
  <c r="I320" i="1"/>
  <c r="J370" i="4" s="1"/>
  <c r="K370" i="4" s="1"/>
  <c r="H320" i="1"/>
  <c r="M370" i="4" s="1"/>
  <c r="G320" i="1"/>
  <c r="I319" i="1"/>
  <c r="H319" i="1"/>
  <c r="G319" i="1"/>
  <c r="I318" i="1"/>
  <c r="H318" i="1"/>
  <c r="G318" i="1"/>
  <c r="I313" i="1"/>
  <c r="I314" i="1"/>
  <c r="I315" i="1"/>
  <c r="I316" i="1"/>
  <c r="I317" i="1"/>
  <c r="H313" i="1"/>
  <c r="H314" i="1"/>
  <c r="H315" i="1"/>
  <c r="H316" i="1"/>
  <c r="H317" i="1"/>
  <c r="G313" i="1"/>
  <c r="G314" i="1"/>
  <c r="G315" i="1"/>
  <c r="G316" i="1"/>
  <c r="G317" i="1"/>
  <c r="I312" i="1"/>
  <c r="H312" i="1"/>
  <c r="I311" i="1"/>
  <c r="H311" i="1"/>
  <c r="G312" i="1"/>
  <c r="G311" i="1"/>
  <c r="E365" i="4"/>
  <c r="E373" i="4" s="1"/>
  <c r="M373" i="4"/>
  <c r="F373" i="4"/>
  <c r="F368" i="4"/>
  <c r="M367" i="4"/>
  <c r="J367" i="4"/>
  <c r="M366" i="4"/>
  <c r="H366" i="4"/>
  <c r="E237" i="4"/>
  <c r="E236" i="4"/>
  <c r="E235" i="4"/>
  <c r="E234" i="4"/>
  <c r="M235" i="4"/>
  <c r="J235" i="4"/>
  <c r="M237" i="4"/>
  <c r="F237" i="4"/>
  <c r="F236" i="4"/>
  <c r="M234" i="4"/>
  <c r="H234" i="4"/>
  <c r="M364" i="4"/>
  <c r="F364" i="4"/>
  <c r="E364" i="4"/>
  <c r="F363" i="4"/>
  <c r="E363" i="4"/>
  <c r="J362" i="4"/>
  <c r="E362" i="4"/>
  <c r="J361" i="4"/>
  <c r="E361" i="4"/>
  <c r="J360" i="4"/>
  <c r="E360" i="4"/>
  <c r="J359" i="4"/>
  <c r="E359" i="4"/>
  <c r="M358" i="4"/>
  <c r="H358" i="4"/>
  <c r="E358" i="4"/>
  <c r="M356" i="4"/>
  <c r="F356" i="4"/>
  <c r="E356" i="4"/>
  <c r="F355" i="4"/>
  <c r="E355" i="4"/>
  <c r="J354" i="4"/>
  <c r="E354" i="4"/>
  <c r="J353" i="4"/>
  <c r="E353" i="4"/>
  <c r="J352" i="4"/>
  <c r="E352" i="4"/>
  <c r="J351" i="4"/>
  <c r="E351" i="4"/>
  <c r="M350" i="4"/>
  <c r="H350" i="4"/>
  <c r="E350" i="4"/>
  <c r="F347" i="4"/>
  <c r="F348" i="4"/>
  <c r="J344" i="4"/>
  <c r="J345" i="4"/>
  <c r="J346" i="4"/>
  <c r="J343" i="4"/>
  <c r="H342" i="4"/>
  <c r="M348" i="4"/>
  <c r="M342" i="4"/>
  <c r="E348" i="4"/>
  <c r="E347" i="4"/>
  <c r="L369" i="4" l="1"/>
  <c r="L370" i="4"/>
  <c r="G380" i="4"/>
  <c r="K384" i="4"/>
  <c r="L384" i="4" s="1"/>
  <c r="G386" i="4"/>
  <c r="E366" i="4"/>
  <c r="I366" i="4" s="1"/>
  <c r="L366" i="4" s="1"/>
  <c r="G388" i="4"/>
  <c r="G389" i="4"/>
  <c r="L389" i="4" s="1"/>
  <c r="G381" i="4"/>
  <c r="L381" i="4" s="1"/>
  <c r="G387" i="4"/>
  <c r="I383" i="4"/>
  <c r="L383" i="4" s="1"/>
  <c r="G385" i="4"/>
  <c r="G363" i="4"/>
  <c r="L363" i="4" s="1"/>
  <c r="E371" i="4"/>
  <c r="G371" i="4" s="1"/>
  <c r="E372" i="4"/>
  <c r="G372" i="4" s="1"/>
  <c r="G348" i="4"/>
  <c r="L348" i="4" s="1"/>
  <c r="G377" i="4"/>
  <c r="I375" i="4"/>
  <c r="L375" i="4" s="1"/>
  <c r="G378" i="4"/>
  <c r="K376" i="4"/>
  <c r="L376" i="4" s="1"/>
  <c r="I234" i="4"/>
  <c r="L234" i="4" s="1"/>
  <c r="G373" i="4"/>
  <c r="L373" i="4" s="1"/>
  <c r="E367" i="4"/>
  <c r="K367" i="4" s="1"/>
  <c r="L367" i="4" s="1"/>
  <c r="G368" i="4"/>
  <c r="G355" i="4"/>
  <c r="L355" i="4" s="1"/>
  <c r="G236" i="4"/>
  <c r="L236" i="4" s="1"/>
  <c r="K351" i="4"/>
  <c r="L351" i="4" s="1"/>
  <c r="I350" i="4"/>
  <c r="L350" i="4" s="1"/>
  <c r="K235" i="4"/>
  <c r="L235" i="4" s="1"/>
  <c r="G237" i="4"/>
  <c r="L237" i="4" s="1"/>
  <c r="G347" i="4"/>
  <c r="L347" i="4" s="1"/>
  <c r="K361" i="4"/>
  <c r="L361" i="4" s="1"/>
  <c r="K354" i="4"/>
  <c r="L354" i="4" s="1"/>
  <c r="K360" i="4"/>
  <c r="L360" i="4" s="1"/>
  <c r="G364" i="4"/>
  <c r="L364" i="4" s="1"/>
  <c r="K353" i="4"/>
  <c r="L353" i="4" s="1"/>
  <c r="K359" i="4"/>
  <c r="L359" i="4" s="1"/>
  <c r="I358" i="4"/>
  <c r="L358" i="4" s="1"/>
  <c r="K362" i="4"/>
  <c r="L362" i="4" s="1"/>
  <c r="K352" i="4"/>
  <c r="L352" i="4" s="1"/>
  <c r="G356" i="4"/>
  <c r="L356" i="4" s="1"/>
  <c r="I265" i="1"/>
  <c r="H265" i="1"/>
  <c r="G265" i="1"/>
  <c r="I264" i="1"/>
  <c r="H264" i="1"/>
  <c r="G264" i="1"/>
  <c r="I263" i="1"/>
  <c r="H263" i="1"/>
  <c r="G263" i="1"/>
  <c r="I262" i="1"/>
  <c r="H262" i="1"/>
  <c r="G262" i="1"/>
  <c r="I261" i="1"/>
  <c r="H261" i="1"/>
  <c r="G261" i="1"/>
  <c r="I246" i="1"/>
  <c r="H246" i="1"/>
  <c r="G246" i="1"/>
  <c r="I244" i="1"/>
  <c r="I245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43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5" i="1"/>
  <c r="G245" i="1"/>
  <c r="H244" i="1"/>
  <c r="G244" i="1"/>
  <c r="G243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1" i="1"/>
  <c r="G271" i="1"/>
  <c r="H270" i="1"/>
  <c r="G270" i="1"/>
  <c r="H273" i="1"/>
  <c r="H269" i="1"/>
  <c r="G269" i="1"/>
  <c r="H272" i="1"/>
  <c r="G272" i="1"/>
  <c r="H268" i="1"/>
  <c r="G268" i="1"/>
  <c r="H267" i="1"/>
  <c r="G267" i="1"/>
  <c r="H266" i="1"/>
  <c r="G273" i="1"/>
  <c r="G282" i="1"/>
  <c r="G266" i="1"/>
  <c r="E346" i="4"/>
  <c r="K346" i="4" s="1"/>
  <c r="L346" i="4" s="1"/>
  <c r="E345" i="4"/>
  <c r="K345" i="4" s="1"/>
  <c r="L345" i="4" s="1"/>
  <c r="E142" i="2"/>
  <c r="E343" i="4"/>
  <c r="K343" i="4" s="1"/>
  <c r="L343" i="4" s="1"/>
  <c r="E344" i="4"/>
  <c r="K344" i="4" s="1"/>
  <c r="L344" i="4" s="1"/>
  <c r="E342" i="4"/>
  <c r="I342" i="4" s="1"/>
  <c r="L342" i="4" s="1"/>
  <c r="M345" i="4" l="1"/>
  <c r="M361" i="4"/>
  <c r="M353" i="4"/>
  <c r="M347" i="4"/>
  <c r="M236" i="4"/>
  <c r="M355" i="4"/>
  <c r="M363" i="4"/>
  <c r="L341" i="4"/>
  <c r="L233" i="4"/>
  <c r="L357" i="4"/>
  <c r="L349" i="4"/>
  <c r="F340" i="4"/>
  <c r="H339" i="4"/>
  <c r="M339" i="4"/>
  <c r="E340" i="4"/>
  <c r="E339" i="4"/>
  <c r="E81" i="4"/>
  <c r="E80" i="4"/>
  <c r="E79" i="4"/>
  <c r="J80" i="4"/>
  <c r="J81" i="4"/>
  <c r="J79" i="4"/>
  <c r="E75" i="4"/>
  <c r="E74" i="4"/>
  <c r="E73" i="4"/>
  <c r="M73" i="4"/>
  <c r="J75" i="4"/>
  <c r="J74" i="4"/>
  <c r="H73" i="4"/>
  <c r="M658" i="4"/>
  <c r="M657" i="4"/>
  <c r="E658" i="4"/>
  <c r="K658" i="4" s="1"/>
  <c r="L658" i="4" s="1"/>
  <c r="E657" i="4"/>
  <c r="I657" i="4" s="1"/>
  <c r="L657" i="4" s="1"/>
  <c r="L656" i="4" l="1"/>
  <c r="G340" i="4"/>
  <c r="I339" i="4"/>
  <c r="L339" i="4" s="1"/>
  <c r="K81" i="4"/>
  <c r="L81" i="4" s="1"/>
  <c r="K79" i="4"/>
  <c r="L79" i="4" s="1"/>
  <c r="K80" i="4"/>
  <c r="L80" i="4" s="1"/>
  <c r="K75" i="4"/>
  <c r="L75" i="4" s="1"/>
  <c r="K74" i="4"/>
  <c r="L74" i="4" s="1"/>
  <c r="I73" i="4"/>
  <c r="L73" i="4" s="1"/>
  <c r="L78" i="4" l="1"/>
  <c r="L72" i="4"/>
  <c r="D450" i="4"/>
  <c r="M60" i="4" l="1"/>
  <c r="D61" i="4"/>
  <c r="F49" i="4" l="1"/>
  <c r="E49" i="4"/>
  <c r="J48" i="4"/>
  <c r="D48" i="4"/>
  <c r="E48" i="4" s="1"/>
  <c r="G49" i="4" l="1"/>
  <c r="K48" i="4"/>
  <c r="L48" i="4" s="1"/>
  <c r="M61" i="4" l="1"/>
  <c r="H61" i="4"/>
  <c r="E61" i="4"/>
  <c r="M30" i="4"/>
  <c r="D34" i="4"/>
  <c r="E34" i="4" s="1"/>
  <c r="D33" i="4"/>
  <c r="E33" i="4" s="1"/>
  <c r="D32" i="4"/>
  <c r="E32" i="4" s="1"/>
  <c r="D31" i="4"/>
  <c r="E31" i="4" s="1"/>
  <c r="M25" i="4"/>
  <c r="D29" i="4"/>
  <c r="D28" i="4"/>
  <c r="D27" i="4"/>
  <c r="D26" i="4"/>
  <c r="I61" i="4" l="1"/>
  <c r="L61" i="4" s="1"/>
  <c r="L60" i="4" s="1"/>
  <c r="E29" i="4" l="1"/>
  <c r="E28" i="4"/>
  <c r="E27" i="4"/>
  <c r="E26" i="4"/>
  <c r="E11" i="4"/>
  <c r="E10" i="4"/>
  <c r="E9" i="4"/>
  <c r="E8" i="4"/>
  <c r="B15" i="6" l="1"/>
  <c r="B10" i="6"/>
  <c r="D715" i="1"/>
  <c r="D714" i="1"/>
  <c r="D713" i="1"/>
  <c r="F715" i="1"/>
  <c r="F714" i="1"/>
  <c r="F713" i="1"/>
  <c r="E715" i="1"/>
  <c r="E714" i="1"/>
  <c r="E713" i="1"/>
  <c r="E152" i="2"/>
  <c r="M523" i="4" s="1"/>
  <c r="M734" i="4"/>
  <c r="J734" i="4"/>
  <c r="F734" i="4"/>
  <c r="E734" i="4"/>
  <c r="M733" i="4"/>
  <c r="F733" i="4"/>
  <c r="E733" i="4"/>
  <c r="F732" i="4"/>
  <c r="E732" i="4"/>
  <c r="F731" i="4"/>
  <c r="E731" i="4"/>
  <c r="F730" i="4"/>
  <c r="D730" i="4"/>
  <c r="E730" i="4" s="1"/>
  <c r="F729" i="4"/>
  <c r="E729" i="4"/>
  <c r="F728" i="4"/>
  <c r="E728" i="4"/>
  <c r="E727" i="4"/>
  <c r="M726" i="4"/>
  <c r="J726" i="4"/>
  <c r="E726" i="4"/>
  <c r="J725" i="4"/>
  <c r="E725" i="4"/>
  <c r="M724" i="4"/>
  <c r="H724" i="4"/>
  <c r="E724" i="4"/>
  <c r="M646" i="4"/>
  <c r="F646" i="4"/>
  <c r="E646" i="4"/>
  <c r="F645" i="4"/>
  <c r="E645" i="4"/>
  <c r="F644" i="4"/>
  <c r="E644" i="4"/>
  <c r="M643" i="4"/>
  <c r="J643" i="4"/>
  <c r="E643" i="4"/>
  <c r="M642" i="4"/>
  <c r="H642" i="4"/>
  <c r="E642" i="4"/>
  <c r="F494" i="4" l="1"/>
  <c r="G494" i="4" s="1"/>
  <c r="F505" i="4"/>
  <c r="G505" i="4" s="1"/>
  <c r="F495" i="4"/>
  <c r="G495" i="4" s="1"/>
  <c r="J493" i="4"/>
  <c r="K493" i="4" s="1"/>
  <c r="J494" i="4"/>
  <c r="K494" i="4" s="1"/>
  <c r="L494" i="4" s="1"/>
  <c r="J132" i="4"/>
  <c r="F493" i="4"/>
  <c r="G493" i="4" s="1"/>
  <c r="J505" i="4"/>
  <c r="K505" i="4" s="1"/>
  <c r="J495" i="4"/>
  <c r="K495" i="4" s="1"/>
  <c r="G733" i="4"/>
  <c r="M509" i="4"/>
  <c r="M500" i="4"/>
  <c r="M485" i="4"/>
  <c r="G734" i="4"/>
  <c r="G713" i="1"/>
  <c r="I724" i="4"/>
  <c r="L724" i="4" s="1"/>
  <c r="K726" i="4"/>
  <c r="L726" i="4" s="1"/>
  <c r="G646" i="4"/>
  <c r="L646" i="4" s="1"/>
  <c r="K725" i="4"/>
  <c r="L725" i="4" s="1"/>
  <c r="G729" i="4"/>
  <c r="G728" i="4"/>
  <c r="G732" i="4"/>
  <c r="G644" i="4"/>
  <c r="G731" i="4"/>
  <c r="K734" i="4"/>
  <c r="G730" i="4"/>
  <c r="K643" i="4"/>
  <c r="L643" i="4" s="1"/>
  <c r="G645" i="4"/>
  <c r="I642" i="4"/>
  <c r="L642" i="4" s="1"/>
  <c r="L495" i="4" l="1"/>
  <c r="L505" i="4"/>
  <c r="L498" i="4" s="1"/>
  <c r="L493" i="4"/>
  <c r="L734" i="4"/>
  <c r="M778" i="4" l="1"/>
  <c r="F778" i="4"/>
  <c r="E778" i="4"/>
  <c r="E777" i="4"/>
  <c r="M776" i="4"/>
  <c r="J776" i="4"/>
  <c r="E776" i="4"/>
  <c r="M775" i="4"/>
  <c r="E775" i="4"/>
  <c r="I775" i="4" s="1"/>
  <c r="L775" i="4" s="1"/>
  <c r="K776" i="4" l="1"/>
  <c r="L776" i="4" s="1"/>
  <c r="G778" i="4"/>
  <c r="L778" i="4" s="1"/>
  <c r="D15" i="6" l="1"/>
  <c r="E15" i="6"/>
  <c r="E481" i="4" l="1"/>
  <c r="E480" i="4"/>
  <c r="H478" i="4"/>
  <c r="M478" i="4"/>
  <c r="F480" i="4"/>
  <c r="F481" i="4"/>
  <c r="F479" i="4"/>
  <c r="D479" i="4"/>
  <c r="E479" i="4" s="1"/>
  <c r="D478" i="4"/>
  <c r="E478" i="4" s="1"/>
  <c r="G481" i="4" l="1"/>
  <c r="I478" i="4"/>
  <c r="L478" i="4" s="1"/>
  <c r="G479" i="4"/>
  <c r="G480" i="4"/>
  <c r="E476" i="4" l="1"/>
  <c r="E470" i="4"/>
  <c r="J470" i="4"/>
  <c r="M476" i="4"/>
  <c r="F476" i="4"/>
  <c r="G476" i="4" s="1"/>
  <c r="L476" i="4" s="1"/>
  <c r="E473" i="4"/>
  <c r="E475" i="4"/>
  <c r="E474" i="4"/>
  <c r="F475" i="4"/>
  <c r="F474" i="4"/>
  <c r="E469" i="4"/>
  <c r="E472" i="4"/>
  <c r="M473" i="4"/>
  <c r="F473" i="4"/>
  <c r="H466" i="4"/>
  <c r="M466" i="4"/>
  <c r="M467" i="4"/>
  <c r="J467" i="4"/>
  <c r="F472" i="4"/>
  <c r="E471" i="4"/>
  <c r="M471" i="4"/>
  <c r="J471" i="4"/>
  <c r="E466" i="4"/>
  <c r="E467" i="4"/>
  <c r="E468" i="4"/>
  <c r="J469" i="4"/>
  <c r="J468" i="4"/>
  <c r="I466" i="4" l="1"/>
  <c r="L466" i="4" s="1"/>
  <c r="K471" i="4"/>
  <c r="L471" i="4" s="1"/>
  <c r="K467" i="4"/>
  <c r="L467" i="4" s="1"/>
  <c r="K470" i="4"/>
  <c r="L470" i="4" s="1"/>
  <c r="G475" i="4"/>
  <c r="G474" i="4"/>
  <c r="G473" i="4"/>
  <c r="L473" i="4" s="1"/>
  <c r="G472" i="4"/>
  <c r="K469" i="4"/>
  <c r="L469" i="4" s="1"/>
  <c r="K468" i="4"/>
  <c r="L468" i="4" s="1"/>
  <c r="E43" i="8" l="1"/>
  <c r="E42" i="8"/>
  <c r="E41" i="8"/>
  <c r="E40" i="8"/>
  <c r="E39" i="8"/>
  <c r="E38" i="8"/>
  <c r="E157" i="2" l="1"/>
  <c r="M305" i="4" l="1"/>
  <c r="J534" i="4"/>
  <c r="E10" i="6" l="1"/>
  <c r="E8" i="6" l="1"/>
  <c r="D8" i="6" l="1"/>
  <c r="J733" i="4" l="1"/>
  <c r="K733" i="4" s="1"/>
  <c r="L733" i="4" s="1"/>
  <c r="J473" i="4"/>
  <c r="B14" i="6"/>
  <c r="B12" i="6"/>
  <c r="M517" i="4"/>
  <c r="M520" i="4"/>
  <c r="M515" i="4"/>
  <c r="M464" i="4"/>
  <c r="M460" i="4"/>
  <c r="M535" i="4"/>
  <c r="M531" i="4"/>
  <c r="M457" i="4"/>
  <c r="M453" i="4"/>
  <c r="M449" i="4"/>
  <c r="M451" i="4"/>
  <c r="M445" i="4"/>
  <c r="M441" i="4"/>
  <c r="M443" i="4"/>
  <c r="M437" i="4"/>
  <c r="M429" i="4"/>
  <c r="M432" i="4"/>
  <c r="M428" i="4"/>
  <c r="M417" i="4"/>
  <c r="M420" i="4"/>
  <c r="M416" i="4"/>
  <c r="M411" i="4"/>
  <c r="M404" i="4"/>
  <c r="M399" i="4"/>
  <c r="M396" i="4"/>
  <c r="M392" i="4"/>
  <c r="M213" i="4"/>
  <c r="M215" i="4"/>
  <c r="M212" i="4"/>
  <c r="M141" i="4"/>
  <c r="M143" i="4"/>
  <c r="M140" i="4"/>
  <c r="M33" i="4"/>
  <c r="M31" i="4"/>
  <c r="M28" i="4"/>
  <c r="M26" i="4"/>
  <c r="M11" i="4"/>
  <c r="M8" i="4"/>
  <c r="H424" i="1"/>
  <c r="I424" i="1"/>
  <c r="G424" i="1"/>
  <c r="E464" i="4"/>
  <c r="E463" i="4"/>
  <c r="E462" i="4"/>
  <c r="E461" i="4"/>
  <c r="E460" i="4"/>
  <c r="F464" i="4"/>
  <c r="F463" i="4"/>
  <c r="H460" i="4"/>
  <c r="F462" i="4"/>
  <c r="I419" i="1"/>
  <c r="H419" i="1"/>
  <c r="M462" i="4" s="1"/>
  <c r="G419" i="1"/>
  <c r="J461" i="4"/>
  <c r="K461" i="4" l="1"/>
  <c r="L461" i="4" s="1"/>
  <c r="G464" i="4"/>
  <c r="L464" i="4" s="1"/>
  <c r="G463" i="4"/>
  <c r="L463" i="4" s="1"/>
  <c r="I460" i="4"/>
  <c r="L460" i="4" s="1"/>
  <c r="G462" i="4"/>
  <c r="L462" i="4" s="1"/>
  <c r="L459" i="4" l="1"/>
  <c r="J392" i="4" l="1"/>
  <c r="J393" i="4"/>
  <c r="J394" i="4"/>
  <c r="J395" i="4"/>
  <c r="J396" i="4"/>
  <c r="J399" i="4"/>
  <c r="J400" i="4"/>
  <c r="J401" i="4"/>
  <c r="J402" i="4"/>
  <c r="J404" i="4"/>
  <c r="J405" i="4"/>
  <c r="J406" i="4"/>
  <c r="J407" i="4"/>
  <c r="J408" i="4"/>
  <c r="J409" i="4"/>
  <c r="J410" i="4"/>
  <c r="J411" i="4"/>
  <c r="J413" i="4"/>
  <c r="J416" i="4"/>
  <c r="J417" i="4"/>
  <c r="J420" i="4"/>
  <c r="J428" i="4"/>
  <c r="J429" i="4"/>
  <c r="J432" i="4"/>
  <c r="J434" i="4"/>
  <c r="J437" i="4"/>
  <c r="J438" i="4"/>
  <c r="J439" i="4"/>
  <c r="J440" i="4"/>
  <c r="J441" i="4"/>
  <c r="J443" i="4"/>
  <c r="J445" i="4"/>
  <c r="J446" i="4"/>
  <c r="J447" i="4"/>
  <c r="J448" i="4"/>
  <c r="J449" i="4"/>
  <c r="J451" i="4"/>
  <c r="J453" i="4"/>
  <c r="J454" i="4"/>
  <c r="J455" i="4"/>
  <c r="J456" i="4"/>
  <c r="J457" i="4"/>
  <c r="J531" i="4"/>
  <c r="J532" i="4"/>
  <c r="J533" i="4"/>
  <c r="J535" i="4"/>
  <c r="J516" i="4"/>
  <c r="J517" i="4"/>
  <c r="J520" i="4"/>
  <c r="J212" i="4"/>
  <c r="J213" i="4"/>
  <c r="J215" i="4"/>
  <c r="J140" i="4"/>
  <c r="J141" i="4"/>
  <c r="J143" i="4"/>
  <c r="J9" i="4"/>
  <c r="J10" i="4"/>
  <c r="J11" i="4"/>
  <c r="J26" i="4"/>
  <c r="J27" i="4"/>
  <c r="J31" i="4"/>
  <c r="J32" i="4"/>
  <c r="J33" i="4"/>
  <c r="J8" i="4"/>
  <c r="F520" i="4"/>
  <c r="H515" i="4"/>
  <c r="E519" i="4"/>
  <c r="E520" i="4"/>
  <c r="F519" i="4"/>
  <c r="D518" i="4"/>
  <c r="E518" i="4" s="1"/>
  <c r="E516" i="4"/>
  <c r="E517" i="4"/>
  <c r="E515" i="4"/>
  <c r="G520" i="4" l="1"/>
  <c r="L520" i="4" s="1"/>
  <c r="K517" i="4"/>
  <c r="L517" i="4" s="1"/>
  <c r="K516" i="4"/>
  <c r="L516" i="4" s="1"/>
  <c r="I515" i="4"/>
  <c r="L515" i="4" s="1"/>
  <c r="G519" i="4"/>
  <c r="D442" i="4" l="1"/>
  <c r="D35" i="8"/>
  <c r="I351" i="1"/>
  <c r="I350" i="1"/>
  <c r="H351" i="1"/>
  <c r="H350" i="1"/>
  <c r="D351" i="1"/>
  <c r="D350" i="1"/>
  <c r="D344" i="1"/>
  <c r="D345" i="1"/>
  <c r="I352" i="1"/>
  <c r="H140" i="4"/>
  <c r="F143" i="4"/>
  <c r="E143" i="4"/>
  <c r="E142" i="4"/>
  <c r="E141" i="4"/>
  <c r="E140" i="4"/>
  <c r="F215" i="4"/>
  <c r="F214" i="4"/>
  <c r="H212" i="4"/>
  <c r="E215" i="4"/>
  <c r="E214" i="4"/>
  <c r="E213" i="4"/>
  <c r="E212" i="4"/>
  <c r="M418" i="4" l="1"/>
  <c r="J418" i="4"/>
  <c r="G143" i="4"/>
  <c r="L143" i="4" s="1"/>
  <c r="K141" i="4"/>
  <c r="L141" i="4" s="1"/>
  <c r="I140" i="4"/>
  <c r="L140" i="4" s="1"/>
  <c r="G215" i="4"/>
  <c r="L215" i="4" s="1"/>
  <c r="G214" i="4"/>
  <c r="K213" i="4"/>
  <c r="L213" i="4" s="1"/>
  <c r="I212" i="4"/>
  <c r="L212" i="4" s="1"/>
  <c r="E432" i="4"/>
  <c r="E431" i="4"/>
  <c r="E430" i="4"/>
  <c r="E429" i="4"/>
  <c r="E428" i="4"/>
  <c r="E420" i="4"/>
  <c r="E419" i="4"/>
  <c r="E418" i="4"/>
  <c r="E417" i="4"/>
  <c r="E416" i="4"/>
  <c r="F432" i="4"/>
  <c r="F431" i="4"/>
  <c r="F430" i="4"/>
  <c r="H428" i="4"/>
  <c r="F420" i="4"/>
  <c r="F419" i="4"/>
  <c r="F418" i="4"/>
  <c r="H416" i="4"/>
  <c r="K418" i="4" l="1"/>
  <c r="G432" i="4"/>
  <c r="L432" i="4" s="1"/>
  <c r="K429" i="4"/>
  <c r="L429" i="4" s="1"/>
  <c r="G430" i="4"/>
  <c r="G431" i="4"/>
  <c r="G420" i="4"/>
  <c r="L420" i="4" s="1"/>
  <c r="G418" i="4"/>
  <c r="I428" i="4"/>
  <c r="L428" i="4" s="1"/>
  <c r="K417" i="4"/>
  <c r="L417" i="4" s="1"/>
  <c r="G419" i="4"/>
  <c r="I416" i="4"/>
  <c r="L416" i="4" s="1"/>
  <c r="L418" i="4" l="1"/>
  <c r="E35" i="8" l="1"/>
  <c r="D36" i="8"/>
  <c r="E34" i="8"/>
  <c r="E33" i="8"/>
  <c r="E32" i="8"/>
  <c r="E31" i="8"/>
  <c r="D30" i="8"/>
  <c r="E28" i="8"/>
  <c r="E27" i="8"/>
  <c r="E25" i="8"/>
  <c r="D24" i="8"/>
  <c r="E24" i="8" s="1"/>
  <c r="D23" i="8"/>
  <c r="E23" i="8" s="1"/>
  <c r="E22" i="8"/>
  <c r="D21" i="8"/>
  <c r="E21" i="8" s="1"/>
  <c r="D20" i="8"/>
  <c r="E20" i="8" s="1"/>
  <c r="E19" i="8"/>
  <c r="D18" i="8"/>
  <c r="E18" i="8" s="1"/>
  <c r="D17" i="8"/>
  <c r="E17" i="8" s="1"/>
  <c r="E15" i="8"/>
  <c r="E14" i="8"/>
  <c r="E13" i="8"/>
  <c r="E12" i="8"/>
  <c r="E11" i="8"/>
  <c r="E10" i="8"/>
  <c r="E165" i="2"/>
  <c r="E166" i="2"/>
  <c r="E167" i="2"/>
  <c r="E168" i="2"/>
  <c r="E169" i="2"/>
  <c r="E160" i="2"/>
  <c r="E161" i="2"/>
  <c r="E162" i="2"/>
  <c r="E163" i="2"/>
  <c r="E164" i="2"/>
  <c r="E159" i="2"/>
  <c r="H399" i="4"/>
  <c r="F535" i="4"/>
  <c r="H453" i="4"/>
  <c r="F458" i="4"/>
  <c r="F457" i="4"/>
  <c r="D765" i="4"/>
  <c r="E765" i="4" s="1"/>
  <c r="M362" i="4" l="1"/>
  <c r="M354" i="4"/>
  <c r="M346" i="4"/>
  <c r="E30" i="8"/>
  <c r="I765" i="4"/>
  <c r="L765" i="4" s="1"/>
  <c r="L764" i="4" s="1"/>
  <c r="K773" i="4"/>
  <c r="L773" i="4" s="1"/>
  <c r="E36" i="8"/>
  <c r="M534" i="4"/>
  <c r="D14" i="6" l="1"/>
  <c r="E14" i="6" l="1"/>
  <c r="E12" i="6"/>
  <c r="E16" i="6" s="1"/>
  <c r="E17" i="6" l="1"/>
  <c r="E18" i="6" s="1"/>
  <c r="E19" i="6" s="1"/>
  <c r="E20" i="6" s="1"/>
  <c r="H763" i="4"/>
  <c r="H761" i="4"/>
  <c r="H759" i="4"/>
  <c r="H531" i="4"/>
  <c r="E763" i="4"/>
  <c r="E761" i="4"/>
  <c r="E759" i="4"/>
  <c r="D12" i="6" l="1"/>
  <c r="I759" i="4"/>
  <c r="L759" i="4" s="1"/>
  <c r="I763" i="4"/>
  <c r="L763" i="4" s="1"/>
  <c r="I761" i="4"/>
  <c r="L761" i="4" s="1"/>
  <c r="E535" i="4" l="1"/>
  <c r="E534" i="4"/>
  <c r="K534" i="4" s="1"/>
  <c r="L534" i="4" s="1"/>
  <c r="E533" i="4"/>
  <c r="K533" i="4" s="1"/>
  <c r="L533" i="4" s="1"/>
  <c r="E532" i="4"/>
  <c r="K532" i="4" s="1"/>
  <c r="L532" i="4" s="1"/>
  <c r="E531" i="4"/>
  <c r="I531" i="4" s="1"/>
  <c r="L531" i="4" s="1"/>
  <c r="E402" i="4"/>
  <c r="K402" i="4" s="1"/>
  <c r="L402" i="4" s="1"/>
  <c r="E401" i="4"/>
  <c r="K401" i="4" s="1"/>
  <c r="L401" i="4" s="1"/>
  <c r="E400" i="4"/>
  <c r="E399" i="4"/>
  <c r="E458" i="4"/>
  <c r="E457" i="4"/>
  <c r="G457" i="4" s="1"/>
  <c r="L457" i="4" s="1"/>
  <c r="E456" i="4"/>
  <c r="K456" i="4" s="1"/>
  <c r="L456" i="4" s="1"/>
  <c r="E455" i="4"/>
  <c r="K455" i="4" s="1"/>
  <c r="L455" i="4" s="1"/>
  <c r="E454" i="4"/>
  <c r="K454" i="4" s="1"/>
  <c r="L454" i="4" s="1"/>
  <c r="E453" i="4"/>
  <c r="I453" i="4" s="1"/>
  <c r="L453" i="4" s="1"/>
  <c r="K400" i="4"/>
  <c r="L400" i="4" s="1"/>
  <c r="I399" i="4"/>
  <c r="L399" i="4" s="1"/>
  <c r="M436" i="4"/>
  <c r="H437" i="4" s="1"/>
  <c r="M444" i="4"/>
  <c r="H445" i="4" s="1"/>
  <c r="E441" i="4"/>
  <c r="K441" i="4" s="1"/>
  <c r="L441" i="4" s="1"/>
  <c r="E440" i="4"/>
  <c r="K440" i="4" s="1"/>
  <c r="L440" i="4" s="1"/>
  <c r="E439" i="4"/>
  <c r="K439" i="4" s="1"/>
  <c r="L439" i="4" s="1"/>
  <c r="E438" i="4"/>
  <c r="F443" i="4"/>
  <c r="F442" i="4"/>
  <c r="D443" i="4"/>
  <c r="E443" i="4" s="1"/>
  <c r="E442" i="4"/>
  <c r="D437" i="4"/>
  <c r="E437" i="4" s="1"/>
  <c r="E449" i="4"/>
  <c r="E448" i="4"/>
  <c r="E447" i="4"/>
  <c r="E446" i="4"/>
  <c r="F451" i="4"/>
  <c r="F450" i="4"/>
  <c r="E450" i="4"/>
  <c r="D451" i="4"/>
  <c r="E451" i="4" s="1"/>
  <c r="D445" i="4"/>
  <c r="E445" i="4" s="1"/>
  <c r="E397" i="4"/>
  <c r="E396" i="4"/>
  <c r="E395" i="4"/>
  <c r="E394" i="4"/>
  <c r="E393" i="4"/>
  <c r="E392" i="4"/>
  <c r="E409" i="4"/>
  <c r="E406" i="4"/>
  <c r="F435" i="4"/>
  <c r="E435" i="4"/>
  <c r="E434" i="4"/>
  <c r="M403" i="4"/>
  <c r="H404" i="4" s="1"/>
  <c r="F412" i="4"/>
  <c r="F413" i="4"/>
  <c r="F414" i="4"/>
  <c r="F411" i="4"/>
  <c r="D412" i="4"/>
  <c r="E412" i="4" s="1"/>
  <c r="D411" i="4"/>
  <c r="E411" i="4" s="1"/>
  <c r="D410" i="4"/>
  <c r="E410" i="4" s="1"/>
  <c r="D408" i="4"/>
  <c r="E408" i="4" s="1"/>
  <c r="D407" i="4"/>
  <c r="E407" i="4" s="1"/>
  <c r="D405" i="4"/>
  <c r="E405" i="4" s="1"/>
  <c r="D404" i="4"/>
  <c r="E404" i="4" s="1"/>
  <c r="G535" i="4" l="1"/>
  <c r="L535" i="4" s="1"/>
  <c r="L530" i="4" s="1"/>
  <c r="K447" i="4"/>
  <c r="L447" i="4" s="1"/>
  <c r="K449" i="4"/>
  <c r="L449" i="4" s="1"/>
  <c r="G458" i="4"/>
  <c r="L398" i="4"/>
  <c r="I437" i="4"/>
  <c r="L437" i="4" s="1"/>
  <c r="K438" i="4"/>
  <c r="L438" i="4" s="1"/>
  <c r="G443" i="4"/>
  <c r="L443" i="4" s="1"/>
  <c r="K451" i="4"/>
  <c r="G442" i="4"/>
  <c r="I445" i="4"/>
  <c r="L445" i="4" s="1"/>
  <c r="K448" i="4"/>
  <c r="L448" i="4" s="1"/>
  <c r="K446" i="4"/>
  <c r="L446" i="4" s="1"/>
  <c r="G451" i="4"/>
  <c r="G450" i="4"/>
  <c r="E414" i="4"/>
  <c r="G414" i="4" s="1"/>
  <c r="E413" i="4"/>
  <c r="G413" i="4" s="1"/>
  <c r="K408" i="4"/>
  <c r="L408" i="4" s="1"/>
  <c r="K409" i="4"/>
  <c r="L409" i="4" s="1"/>
  <c r="G435" i="4"/>
  <c r="K434" i="4"/>
  <c r="L434" i="4" s="1"/>
  <c r="K405" i="4"/>
  <c r="L405" i="4" s="1"/>
  <c r="I404" i="4"/>
  <c r="L404" i="4" s="1"/>
  <c r="K411" i="4"/>
  <c r="K406" i="4"/>
  <c r="L406" i="4" s="1"/>
  <c r="K410" i="4"/>
  <c r="L410" i="4" s="1"/>
  <c r="K407" i="4"/>
  <c r="L407" i="4" s="1"/>
  <c r="G411" i="4"/>
  <c r="G412" i="4"/>
  <c r="L411" i="4" l="1"/>
  <c r="L451" i="4"/>
  <c r="K413" i="4"/>
  <c r="L413" i="4" s="1"/>
  <c r="F397" i="4" l="1"/>
  <c r="F396" i="4"/>
  <c r="H392" i="4"/>
  <c r="K395" i="4" l="1"/>
  <c r="L395" i="4" s="1"/>
  <c r="K394" i="4"/>
  <c r="L394" i="4" s="1"/>
  <c r="K393" i="4"/>
  <c r="L393" i="4" s="1"/>
  <c r="G397" i="4"/>
  <c r="G396" i="4"/>
  <c r="L396" i="4" s="1"/>
  <c r="I392" i="4"/>
  <c r="L392" i="4" s="1"/>
  <c r="F34" i="4" l="1"/>
  <c r="H31" i="4"/>
  <c r="H26" i="4"/>
  <c r="F29" i="4"/>
  <c r="H8" i="4"/>
  <c r="F11" i="4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6" i="1"/>
  <c r="I28" i="1"/>
  <c r="I29" i="1"/>
  <c r="I30" i="1"/>
  <c r="I31" i="1"/>
  <c r="I32" i="1"/>
  <c r="I33" i="1"/>
  <c r="I27" i="1"/>
  <c r="I36" i="1"/>
  <c r="I37" i="1"/>
  <c r="I38" i="1"/>
  <c r="I39" i="1"/>
  <c r="I40" i="1"/>
  <c r="I41" i="1"/>
  <c r="I42" i="1"/>
  <c r="I43" i="1"/>
  <c r="I46" i="1"/>
  <c r="I35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45" i="1"/>
  <c r="I66" i="1"/>
  <c r="J768" i="4" s="1"/>
  <c r="K768" i="4" s="1"/>
  <c r="L768" i="4" s="1"/>
  <c r="I67" i="1"/>
  <c r="J769" i="4" s="1"/>
  <c r="K769" i="4" s="1"/>
  <c r="L769" i="4" s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J770" i="4" s="1"/>
  <c r="K770" i="4" s="1"/>
  <c r="L770" i="4" s="1"/>
  <c r="I93" i="1"/>
  <c r="I6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J562" i="4" s="1"/>
  <c r="K562" i="4" s="1"/>
  <c r="L562" i="4" s="1"/>
  <c r="I127" i="1"/>
  <c r="I128" i="1"/>
  <c r="I129" i="1"/>
  <c r="I130" i="1"/>
  <c r="I131" i="1"/>
  <c r="J625" i="4" s="1"/>
  <c r="K625" i="4" s="1"/>
  <c r="L625" i="4" s="1"/>
  <c r="I95" i="1"/>
  <c r="I134" i="1"/>
  <c r="I135" i="1"/>
  <c r="I136" i="1"/>
  <c r="I137" i="1"/>
  <c r="I138" i="1"/>
  <c r="I139" i="1"/>
  <c r="I140" i="1"/>
  <c r="J128" i="4" s="1"/>
  <c r="K128" i="4" s="1"/>
  <c r="L128" i="4" s="1"/>
  <c r="I141" i="1"/>
  <c r="J563" i="4" s="1"/>
  <c r="K563" i="4" s="1"/>
  <c r="L563" i="4" s="1"/>
  <c r="I142" i="1"/>
  <c r="I143" i="1"/>
  <c r="I144" i="1"/>
  <c r="I145" i="1"/>
  <c r="I146" i="1"/>
  <c r="I133" i="1"/>
  <c r="I149" i="1"/>
  <c r="I233" i="1"/>
  <c r="I234" i="1"/>
  <c r="I235" i="1"/>
  <c r="J129" i="4" s="1"/>
  <c r="K129" i="4" s="1"/>
  <c r="L129" i="4" s="1"/>
  <c r="I236" i="1"/>
  <c r="I237" i="1"/>
  <c r="J334" i="4" s="1"/>
  <c r="K334" i="4" s="1"/>
  <c r="L334" i="4" s="1"/>
  <c r="L331" i="4" s="1"/>
  <c r="I238" i="1"/>
  <c r="I239" i="1"/>
  <c r="J130" i="4" s="1"/>
  <c r="K130" i="4" s="1"/>
  <c r="L130" i="4" s="1"/>
  <c r="I148" i="1"/>
  <c r="I241" i="1"/>
  <c r="I287" i="1"/>
  <c r="I288" i="1"/>
  <c r="I289" i="1"/>
  <c r="I290" i="1"/>
  <c r="I284" i="1"/>
  <c r="I293" i="1"/>
  <c r="I294" i="1"/>
  <c r="I292" i="1"/>
  <c r="I297" i="1"/>
  <c r="I298" i="1"/>
  <c r="I299" i="1"/>
  <c r="I300" i="1"/>
  <c r="I301" i="1"/>
  <c r="I302" i="1"/>
  <c r="I303" i="1"/>
  <c r="J662" i="4" s="1"/>
  <c r="K662" i="4" s="1"/>
  <c r="L662" i="4" s="1"/>
  <c r="I304" i="1"/>
  <c r="J668" i="4" s="1"/>
  <c r="K668" i="4" s="1"/>
  <c r="L668" i="4" s="1"/>
  <c r="I305" i="1"/>
  <c r="I306" i="1"/>
  <c r="I307" i="1"/>
  <c r="I308" i="1"/>
  <c r="I309" i="1"/>
  <c r="I310" i="1"/>
  <c r="I323" i="1"/>
  <c r="I324" i="1"/>
  <c r="I325" i="1"/>
  <c r="I326" i="1"/>
  <c r="I327" i="1"/>
  <c r="I328" i="1"/>
  <c r="I329" i="1"/>
  <c r="I340" i="1"/>
  <c r="I341" i="1"/>
  <c r="I342" i="1"/>
  <c r="I343" i="1"/>
  <c r="I344" i="1"/>
  <c r="I345" i="1"/>
  <c r="I346" i="1"/>
  <c r="I347" i="1"/>
  <c r="I348" i="1"/>
  <c r="I349" i="1"/>
  <c r="I296" i="1"/>
  <c r="I370" i="1"/>
  <c r="I371" i="1"/>
  <c r="I372" i="1"/>
  <c r="I373" i="1"/>
  <c r="I374" i="1"/>
  <c r="I375" i="1"/>
  <c r="I376" i="1"/>
  <c r="I377" i="1"/>
  <c r="J623" i="4" s="1"/>
  <c r="K623" i="4" s="1"/>
  <c r="L623" i="4" s="1"/>
  <c r="L616" i="4" s="1"/>
  <c r="I378" i="1"/>
  <c r="I379" i="1"/>
  <c r="I380" i="1"/>
  <c r="I381" i="1"/>
  <c r="J64" i="4" s="1"/>
  <c r="K64" i="4" s="1"/>
  <c r="L64" i="4" s="1"/>
  <c r="L62" i="4" s="1"/>
  <c r="I382" i="1"/>
  <c r="J771" i="4" s="1"/>
  <c r="K771" i="4" s="1"/>
  <c r="L771" i="4" s="1"/>
  <c r="I383" i="1"/>
  <c r="J104" i="4" s="1"/>
  <c r="K104" i="4" s="1"/>
  <c r="L104" i="4" s="1"/>
  <c r="L101" i="4" s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369" i="1"/>
  <c r="J219" i="4" s="1"/>
  <c r="K219" i="4" s="1"/>
  <c r="L219" i="4" s="1"/>
  <c r="L216" i="4" s="1"/>
  <c r="I368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55" i="1"/>
  <c r="I420" i="1"/>
  <c r="I421" i="1"/>
  <c r="I422" i="1"/>
  <c r="I425" i="1"/>
  <c r="I418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27" i="1"/>
  <c r="I442" i="1"/>
  <c r="I443" i="1"/>
  <c r="I444" i="1"/>
  <c r="I445" i="1"/>
  <c r="I446" i="1"/>
  <c r="I447" i="1"/>
  <c r="I448" i="1"/>
  <c r="I449" i="1"/>
  <c r="I450" i="1"/>
  <c r="I451" i="1"/>
  <c r="J312" i="4" s="1"/>
  <c r="K312" i="4" s="1"/>
  <c r="L312" i="4" s="1"/>
  <c r="L308" i="4" s="1"/>
  <c r="I452" i="1"/>
  <c r="I453" i="1"/>
  <c r="I454" i="1"/>
  <c r="I455" i="1"/>
  <c r="I456" i="1"/>
  <c r="I457" i="1"/>
  <c r="I458" i="1"/>
  <c r="I459" i="1"/>
  <c r="I44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61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J781" i="4" s="1"/>
  <c r="K781" i="4" s="1"/>
  <c r="L781" i="4" s="1"/>
  <c r="L779" i="4" s="1"/>
  <c r="I508" i="1"/>
  <c r="I509" i="1"/>
  <c r="I510" i="1"/>
  <c r="I511" i="1"/>
  <c r="I512" i="1"/>
  <c r="I490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2" i="1"/>
  <c r="I514" i="1"/>
  <c r="I545" i="1"/>
  <c r="I546" i="1"/>
  <c r="I547" i="1"/>
  <c r="I548" i="1"/>
  <c r="I549" i="1"/>
  <c r="I544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51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578" i="1"/>
  <c r="I607" i="1"/>
  <c r="J559" i="4" s="1"/>
  <c r="K559" i="4" s="1"/>
  <c r="L559" i="4" s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J560" i="4" s="1"/>
  <c r="K560" i="4" s="1"/>
  <c r="L560" i="4" s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06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58" i="1"/>
  <c r="I702" i="1"/>
  <c r="I703" i="1"/>
  <c r="I704" i="1"/>
  <c r="I705" i="1"/>
  <c r="I706" i="1"/>
  <c r="I707" i="1"/>
  <c r="I708" i="1"/>
  <c r="I709" i="1"/>
  <c r="I710" i="1"/>
  <c r="I701" i="1"/>
  <c r="J561" i="4" l="1"/>
  <c r="K561" i="4" s="1"/>
  <c r="L561" i="4" s="1"/>
  <c r="J142" i="4"/>
  <c r="K142" i="4" s="1"/>
  <c r="J552" i="4"/>
  <c r="K552" i="4" s="1"/>
  <c r="J267" i="4"/>
  <c r="K267" i="4" s="1"/>
  <c r="L267" i="4" s="1"/>
  <c r="L264" i="4" s="1"/>
  <c r="J595" i="4"/>
  <c r="K595" i="4" s="1"/>
  <c r="L595" i="4" s="1"/>
  <c r="L592" i="4" s="1"/>
  <c r="J558" i="4"/>
  <c r="K558" i="4" s="1"/>
  <c r="J547" i="4"/>
  <c r="K547" i="4" s="1"/>
  <c r="L547" i="4" s="1"/>
  <c r="L544" i="4" s="1"/>
  <c r="J567" i="4"/>
  <c r="K567" i="4" s="1"/>
  <c r="L567" i="4" s="1"/>
  <c r="L565" i="4" s="1"/>
  <c r="J225" i="4"/>
  <c r="K225" i="4" s="1"/>
  <c r="L225" i="4" s="1"/>
  <c r="J721" i="4"/>
  <c r="K721" i="4" s="1"/>
  <c r="L721" i="4" s="1"/>
  <c r="J744" i="4"/>
  <c r="K744" i="4" s="1"/>
  <c r="L744" i="4" s="1"/>
  <c r="J246" i="4"/>
  <c r="K246" i="4" s="1"/>
  <c r="L246" i="4" s="1"/>
  <c r="J290" i="4"/>
  <c r="K290" i="4" s="1"/>
  <c r="L290" i="4" s="1"/>
  <c r="J257" i="4"/>
  <c r="K257" i="4" s="1"/>
  <c r="L257" i="4" s="1"/>
  <c r="J589" i="4"/>
  <c r="K589" i="4" s="1"/>
  <c r="L589" i="4" s="1"/>
  <c r="J577" i="4"/>
  <c r="K577" i="4" s="1"/>
  <c r="L577" i="4" s="1"/>
  <c r="J719" i="4"/>
  <c r="K719" i="4" s="1"/>
  <c r="L719" i="4" s="1"/>
  <c r="J742" i="4"/>
  <c r="K742" i="4" s="1"/>
  <c r="L742" i="4" s="1"/>
  <c r="J149" i="4"/>
  <c r="K149" i="4" s="1"/>
  <c r="L149" i="4" s="1"/>
  <c r="J156" i="4"/>
  <c r="K156" i="4" s="1"/>
  <c r="L156" i="4" s="1"/>
  <c r="J165" i="4"/>
  <c r="K165" i="4" s="1"/>
  <c r="L165" i="4" s="1"/>
  <c r="J204" i="4"/>
  <c r="K204" i="4" s="1"/>
  <c r="L204" i="4" s="1"/>
  <c r="J716" i="4"/>
  <c r="K716" i="4" s="1"/>
  <c r="J147" i="4"/>
  <c r="K147" i="4" s="1"/>
  <c r="J154" i="4"/>
  <c r="K154" i="4" s="1"/>
  <c r="J179" i="4"/>
  <c r="K179" i="4" s="1"/>
  <c r="J172" i="4"/>
  <c r="K172" i="4" s="1"/>
  <c r="J162" i="4"/>
  <c r="K162" i="4" s="1"/>
  <c r="J526" i="4"/>
  <c r="K526" i="4" s="1"/>
  <c r="L526" i="4" s="1"/>
  <c r="J720" i="4"/>
  <c r="K720" i="4" s="1"/>
  <c r="L720" i="4" s="1"/>
  <c r="J743" i="4"/>
  <c r="K743" i="4" s="1"/>
  <c r="L743" i="4" s="1"/>
  <c r="J243" i="4"/>
  <c r="K243" i="4" s="1"/>
  <c r="L243" i="4" s="1"/>
  <c r="J288" i="4"/>
  <c r="K288" i="4" s="1"/>
  <c r="L288" i="4" s="1"/>
  <c r="J588" i="4"/>
  <c r="K588" i="4" s="1"/>
  <c r="L588" i="4" s="1"/>
  <c r="J576" i="4"/>
  <c r="K576" i="4" s="1"/>
  <c r="L576" i="4" s="1"/>
  <c r="J242" i="4"/>
  <c r="K242" i="4" s="1"/>
  <c r="L242" i="4" s="1"/>
  <c r="J182" i="4"/>
  <c r="K182" i="4" s="1"/>
  <c r="L182" i="4" s="1"/>
  <c r="J287" i="4"/>
  <c r="K287" i="4" s="1"/>
  <c r="L287" i="4" s="1"/>
  <c r="J244" i="4"/>
  <c r="K244" i="4" s="1"/>
  <c r="L244" i="4" s="1"/>
  <c r="J528" i="4"/>
  <c r="K528" i="4" s="1"/>
  <c r="L528" i="4" s="1"/>
  <c r="J751" i="4"/>
  <c r="K751" i="4" s="1"/>
  <c r="L751" i="4" s="1"/>
  <c r="J245" i="4"/>
  <c r="K245" i="4" s="1"/>
  <c r="L245" i="4" s="1"/>
  <c r="J202" i="4"/>
  <c r="K202" i="4" s="1"/>
  <c r="L202" i="4" s="1"/>
  <c r="J385" i="4"/>
  <c r="K385" i="4" s="1"/>
  <c r="L385" i="4" s="1"/>
  <c r="J377" i="4"/>
  <c r="K377" i="4" s="1"/>
  <c r="L377" i="4" s="1"/>
  <c r="J371" i="4"/>
  <c r="K371" i="4" s="1"/>
  <c r="L371" i="4" s="1"/>
  <c r="J379" i="4"/>
  <c r="K379" i="4" s="1"/>
  <c r="L379" i="4" s="1"/>
  <c r="J387" i="4"/>
  <c r="K387" i="4" s="1"/>
  <c r="L387" i="4" s="1"/>
  <c r="J614" i="4"/>
  <c r="K614" i="4" s="1"/>
  <c r="L614" i="4" s="1"/>
  <c r="L610" i="4" s="1"/>
  <c r="L766" i="4"/>
  <c r="J262" i="4"/>
  <c r="K262" i="4" s="1"/>
  <c r="J487" i="4"/>
  <c r="K487" i="4" s="1"/>
  <c r="J630" i="4"/>
  <c r="K630" i="4" s="1"/>
  <c r="L630" i="4" s="1"/>
  <c r="J586" i="4"/>
  <c r="K586" i="4" s="1"/>
  <c r="L586" i="4" s="1"/>
  <c r="J574" i="4"/>
  <c r="K574" i="4" s="1"/>
  <c r="L574" i="4" s="1"/>
  <c r="J717" i="4"/>
  <c r="K717" i="4" s="1"/>
  <c r="L717" i="4" s="1"/>
  <c r="J631" i="4"/>
  <c r="K631" i="4" s="1"/>
  <c r="L631" i="4" s="1"/>
  <c r="J740" i="4"/>
  <c r="K740" i="4" s="1"/>
  <c r="L740" i="4" s="1"/>
  <c r="J224" i="4"/>
  <c r="K224" i="4" s="1"/>
  <c r="L224" i="4" s="1"/>
  <c r="L221" i="4" s="1"/>
  <c r="J289" i="4"/>
  <c r="K289" i="4" s="1"/>
  <c r="L289" i="4" s="1"/>
  <c r="J651" i="4"/>
  <c r="K651" i="4" s="1"/>
  <c r="J584" i="4"/>
  <c r="K584" i="4" s="1"/>
  <c r="J572" i="4"/>
  <c r="K572" i="4" s="1"/>
  <c r="J133" i="4"/>
  <c r="K133" i="4" s="1"/>
  <c r="J739" i="4"/>
  <c r="K739" i="4" s="1"/>
  <c r="J201" i="4"/>
  <c r="K201" i="4" s="1"/>
  <c r="J538" i="4"/>
  <c r="K538" i="4" s="1"/>
  <c r="L538" i="4" s="1"/>
  <c r="L536" i="4" s="1"/>
  <c r="J718" i="4"/>
  <c r="K718" i="4" s="1"/>
  <c r="L718" i="4" s="1"/>
  <c r="J741" i="4"/>
  <c r="K741" i="4" s="1"/>
  <c r="L741" i="4" s="1"/>
  <c r="J148" i="4"/>
  <c r="K148" i="4" s="1"/>
  <c r="L148" i="4" s="1"/>
  <c r="J155" i="4"/>
  <c r="K155" i="4" s="1"/>
  <c r="L155" i="4" s="1"/>
  <c r="J180" i="4"/>
  <c r="K180" i="4" s="1"/>
  <c r="L180" i="4" s="1"/>
  <c r="J173" i="4"/>
  <c r="K173" i="4" s="1"/>
  <c r="L173" i="4" s="1"/>
  <c r="J164" i="4"/>
  <c r="K164" i="4" s="1"/>
  <c r="L164" i="4" s="1"/>
  <c r="J256" i="4"/>
  <c r="K256" i="4" s="1"/>
  <c r="L256" i="4" s="1"/>
  <c r="L253" i="4" s="1"/>
  <c r="J181" i="4"/>
  <c r="K181" i="4" s="1"/>
  <c r="L181" i="4" s="1"/>
  <c r="J174" i="4"/>
  <c r="K174" i="4" s="1"/>
  <c r="L174" i="4" s="1"/>
  <c r="J203" i="4"/>
  <c r="K203" i="4" s="1"/>
  <c r="L203" i="4" s="1"/>
  <c r="J388" i="4"/>
  <c r="K388" i="4" s="1"/>
  <c r="L388" i="4" s="1"/>
  <c r="J380" i="4"/>
  <c r="K380" i="4" s="1"/>
  <c r="L380" i="4" s="1"/>
  <c r="J575" i="4"/>
  <c r="K575" i="4" s="1"/>
  <c r="L575" i="4" s="1"/>
  <c r="J587" i="4"/>
  <c r="K587" i="4" s="1"/>
  <c r="L587" i="4" s="1"/>
  <c r="J669" i="4"/>
  <c r="K669" i="4" s="1"/>
  <c r="L669" i="4" s="1"/>
  <c r="L665" i="4" s="1"/>
  <c r="J663" i="4"/>
  <c r="K663" i="4" s="1"/>
  <c r="L663" i="4" s="1"/>
  <c r="L659" i="4" s="1"/>
  <c r="J307" i="4"/>
  <c r="K307" i="4" s="1"/>
  <c r="L307" i="4" s="1"/>
  <c r="L303" i="4" s="1"/>
  <c r="J378" i="4"/>
  <c r="K378" i="4" s="1"/>
  <c r="L378" i="4" s="1"/>
  <c r="J386" i="4"/>
  <c r="K386" i="4" s="1"/>
  <c r="L386" i="4" s="1"/>
  <c r="J372" i="4"/>
  <c r="K372" i="4" s="1"/>
  <c r="L372" i="4" s="1"/>
  <c r="J67" i="4"/>
  <c r="K67" i="4" s="1"/>
  <c r="L67" i="4" s="1"/>
  <c r="L65" i="4" s="1"/>
  <c r="J512" i="4"/>
  <c r="J368" i="4"/>
  <c r="K368" i="4" s="1"/>
  <c r="L368" i="4" s="1"/>
  <c r="I339" i="1"/>
  <c r="I337" i="1"/>
  <c r="I338" i="1"/>
  <c r="J131" i="4"/>
  <c r="K131" i="4" s="1"/>
  <c r="L131" i="4" s="1"/>
  <c r="J291" i="4"/>
  <c r="K291" i="4" s="1"/>
  <c r="L291" i="4" s="1"/>
  <c r="J195" i="4"/>
  <c r="K195" i="4" s="1"/>
  <c r="L195" i="4" s="1"/>
  <c r="L193" i="4" s="1"/>
  <c r="J134" i="4"/>
  <c r="K134" i="4" s="1"/>
  <c r="L134" i="4" s="1"/>
  <c r="J585" i="4"/>
  <c r="K585" i="4" s="1"/>
  <c r="L585" i="4" s="1"/>
  <c r="J573" i="4"/>
  <c r="K573" i="4" s="1"/>
  <c r="L573" i="4" s="1"/>
  <c r="J750" i="4"/>
  <c r="K750" i="4" s="1"/>
  <c r="L750" i="4" s="1"/>
  <c r="L746" i="4" s="1"/>
  <c r="J163" i="4"/>
  <c r="K163" i="4" s="1"/>
  <c r="L163" i="4" s="1"/>
  <c r="J442" i="4"/>
  <c r="K442" i="4" s="1"/>
  <c r="L442" i="4" s="1"/>
  <c r="L436" i="4" s="1"/>
  <c r="J340" i="4"/>
  <c r="K340" i="4" s="1"/>
  <c r="L340" i="4" s="1"/>
  <c r="J49" i="4"/>
  <c r="K49" i="4" s="1"/>
  <c r="L49" i="4" s="1"/>
  <c r="L47" i="4" s="1"/>
  <c r="J214" i="4"/>
  <c r="K214" i="4" s="1"/>
  <c r="L214" i="4" s="1"/>
  <c r="L211" i="4" s="1"/>
  <c r="J458" i="4"/>
  <c r="K458" i="4" s="1"/>
  <c r="L458" i="4" s="1"/>
  <c r="L452" i="4" s="1"/>
  <c r="J397" i="4"/>
  <c r="K397" i="4" s="1"/>
  <c r="L397" i="4" s="1"/>
  <c r="L391" i="4" s="1"/>
  <c r="J518" i="4"/>
  <c r="K518" i="4" s="1"/>
  <c r="J730" i="4"/>
  <c r="K730" i="4" s="1"/>
  <c r="L730" i="4" s="1"/>
  <c r="J472" i="4"/>
  <c r="K472" i="4" s="1"/>
  <c r="L472" i="4" s="1"/>
  <c r="J414" i="4"/>
  <c r="K414" i="4" s="1"/>
  <c r="L414" i="4" s="1"/>
  <c r="J450" i="4"/>
  <c r="K450" i="4" s="1"/>
  <c r="L450" i="4" s="1"/>
  <c r="L444" i="4" s="1"/>
  <c r="J727" i="4"/>
  <c r="K727" i="4" s="1"/>
  <c r="J729" i="4"/>
  <c r="K729" i="4" s="1"/>
  <c r="L729" i="4" s="1"/>
  <c r="J519" i="4"/>
  <c r="K519" i="4" s="1"/>
  <c r="L519" i="4" s="1"/>
  <c r="J777" i="4"/>
  <c r="K777" i="4" s="1"/>
  <c r="J731" i="4"/>
  <c r="K731" i="4" s="1"/>
  <c r="L731" i="4" s="1"/>
  <c r="J475" i="4"/>
  <c r="K475" i="4" s="1"/>
  <c r="L475" i="4" s="1"/>
  <c r="J480" i="4"/>
  <c r="K480" i="4" s="1"/>
  <c r="L480" i="4" s="1"/>
  <c r="J644" i="4"/>
  <c r="K644" i="4" s="1"/>
  <c r="L644" i="4" s="1"/>
  <c r="J435" i="4"/>
  <c r="K435" i="4" s="1"/>
  <c r="L435" i="4" s="1"/>
  <c r="L433" i="4" s="1"/>
  <c r="J479" i="4"/>
  <c r="K479" i="4" s="1"/>
  <c r="L479" i="4" s="1"/>
  <c r="J645" i="4"/>
  <c r="K645" i="4" s="1"/>
  <c r="L645" i="4" s="1"/>
  <c r="J728" i="4"/>
  <c r="K728" i="4" s="1"/>
  <c r="L728" i="4" s="1"/>
  <c r="J419" i="4"/>
  <c r="K419" i="4" s="1"/>
  <c r="L419" i="4" s="1"/>
  <c r="L415" i="4" s="1"/>
  <c r="J431" i="4"/>
  <c r="K431" i="4" s="1"/>
  <c r="L431" i="4" s="1"/>
  <c r="J430" i="4"/>
  <c r="K430" i="4" s="1"/>
  <c r="L430" i="4" s="1"/>
  <c r="J412" i="4"/>
  <c r="K412" i="4" s="1"/>
  <c r="L412" i="4" s="1"/>
  <c r="J34" i="4"/>
  <c r="K34" i="4" s="1"/>
  <c r="J29" i="4"/>
  <c r="K29" i="4" s="1"/>
  <c r="J474" i="4"/>
  <c r="K474" i="4" s="1"/>
  <c r="L474" i="4" s="1"/>
  <c r="J481" i="4"/>
  <c r="K481" i="4" s="1"/>
  <c r="L481" i="4" s="1"/>
  <c r="J732" i="4"/>
  <c r="K732" i="4" s="1"/>
  <c r="L732" i="4" s="1"/>
  <c r="K28" i="4"/>
  <c r="L28" i="4" s="1"/>
  <c r="I26" i="4"/>
  <c r="L26" i="4" s="1"/>
  <c r="K32" i="4"/>
  <c r="L32" i="4" s="1"/>
  <c r="K27" i="4"/>
  <c r="L27" i="4" s="1"/>
  <c r="K9" i="4"/>
  <c r="L9" i="4" s="1"/>
  <c r="G29" i="4"/>
  <c r="G34" i="4"/>
  <c r="K33" i="4"/>
  <c r="L33" i="4" s="1"/>
  <c r="I31" i="4"/>
  <c r="L31" i="4" s="1"/>
  <c r="G11" i="4"/>
  <c r="L11" i="4" s="1"/>
  <c r="K10" i="4"/>
  <c r="L10" i="4" s="1"/>
  <c r="I8" i="4"/>
  <c r="L8" i="4" s="1"/>
  <c r="L365" i="4" l="1"/>
  <c r="L283" i="4"/>
  <c r="L239" i="4"/>
  <c r="L374" i="4"/>
  <c r="L521" i="4"/>
  <c r="L627" i="4"/>
  <c r="L382" i="4"/>
  <c r="L403" i="4"/>
  <c r="L427" i="4"/>
  <c r="L465" i="4"/>
  <c r="L477" i="4"/>
  <c r="L641" i="4"/>
  <c r="L34" i="4"/>
  <c r="L30" i="4" s="1"/>
  <c r="L7" i="4"/>
  <c r="L29" i="4"/>
  <c r="L25" i="4" s="1"/>
  <c r="G678" i="1" l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5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2" i="1"/>
  <c r="G561" i="1"/>
  <c r="G560" i="1"/>
  <c r="G559" i="1"/>
  <c r="G558" i="1"/>
  <c r="G557" i="1"/>
  <c r="G556" i="1"/>
  <c r="G555" i="1"/>
  <c r="G554" i="1"/>
  <c r="G553" i="1"/>
  <c r="G552" i="1"/>
  <c r="G548" i="1"/>
  <c r="G546" i="1"/>
  <c r="G545" i="1"/>
  <c r="G540" i="1"/>
  <c r="G538" i="1"/>
  <c r="G536" i="1"/>
  <c r="G535" i="1"/>
  <c r="G533" i="1"/>
  <c r="G531" i="1"/>
  <c r="G530" i="1"/>
  <c r="G528" i="1"/>
  <c r="G526" i="1"/>
  <c r="G524" i="1"/>
  <c r="G522" i="1"/>
  <c r="G520" i="1"/>
  <c r="G518" i="1"/>
  <c r="G516" i="1"/>
  <c r="G514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499" i="1"/>
  <c r="G498" i="1"/>
  <c r="G497" i="1"/>
  <c r="G496" i="1"/>
  <c r="G495" i="1"/>
  <c r="G494" i="1"/>
  <c r="G493" i="1"/>
  <c r="G492" i="1"/>
  <c r="G491" i="1"/>
  <c r="G490" i="1"/>
  <c r="G487" i="1"/>
  <c r="G486" i="1"/>
  <c r="G485" i="1"/>
  <c r="G484" i="1"/>
  <c r="G483" i="1"/>
  <c r="G482" i="1"/>
  <c r="G481" i="1"/>
  <c r="G480" i="1"/>
  <c r="G479" i="1"/>
  <c r="G477" i="1"/>
  <c r="G476" i="1"/>
  <c r="G475" i="1"/>
  <c r="G474" i="1"/>
  <c r="G473" i="1"/>
  <c r="G472" i="1"/>
  <c r="G471" i="1"/>
  <c r="G470" i="1"/>
  <c r="G469" i="1"/>
  <c r="G468" i="1"/>
  <c r="G467" i="1"/>
  <c r="G465" i="1"/>
  <c r="G464" i="1"/>
  <c r="G462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38" i="1"/>
  <c r="G436" i="1"/>
  <c r="G435" i="1"/>
  <c r="G434" i="1"/>
  <c r="G433" i="1"/>
  <c r="G432" i="1"/>
  <c r="G431" i="1"/>
  <c r="G430" i="1"/>
  <c r="G429" i="1"/>
  <c r="G428" i="1"/>
  <c r="G427" i="1"/>
  <c r="G422" i="1"/>
  <c r="G421" i="1"/>
  <c r="G420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1" i="1"/>
  <c r="G369" i="1"/>
  <c r="G367" i="1"/>
  <c r="G365" i="1"/>
  <c r="G363" i="1"/>
  <c r="G362" i="1"/>
  <c r="G361" i="1"/>
  <c r="G360" i="1"/>
  <c r="G359" i="1"/>
  <c r="G358" i="1"/>
  <c r="G357" i="1"/>
  <c r="G356" i="1"/>
  <c r="G355" i="1"/>
  <c r="G354" i="1"/>
  <c r="G348" i="1"/>
  <c r="G346" i="1"/>
  <c r="G345" i="1"/>
  <c r="G344" i="1"/>
  <c r="G343" i="1"/>
  <c r="G341" i="1"/>
  <c r="G340" i="1"/>
  <c r="G329" i="1"/>
  <c r="G328" i="1"/>
  <c r="G327" i="1"/>
  <c r="G326" i="1"/>
  <c r="G325" i="1"/>
  <c r="G324" i="1"/>
  <c r="G323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4" i="1"/>
  <c r="G293" i="1"/>
  <c r="G292" i="1"/>
  <c r="G289" i="1"/>
  <c r="G288" i="1"/>
  <c r="G284" i="1"/>
  <c r="G241" i="1"/>
  <c r="G239" i="1"/>
  <c r="G238" i="1"/>
  <c r="G237" i="1"/>
  <c r="G236" i="1"/>
  <c r="G235" i="1"/>
  <c r="G234" i="1"/>
  <c r="G233" i="1"/>
  <c r="G148" i="1"/>
  <c r="G145" i="1"/>
  <c r="G144" i="1"/>
  <c r="G142" i="1"/>
  <c r="G141" i="1"/>
  <c r="G140" i="1"/>
  <c r="G139" i="1"/>
  <c r="G138" i="1"/>
  <c r="G137" i="1"/>
  <c r="G136" i="1"/>
  <c r="G135" i="1"/>
  <c r="G134" i="1"/>
  <c r="G133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710" i="1" l="1"/>
  <c r="F10" i="6"/>
  <c r="H664" i="1"/>
  <c r="H665" i="1"/>
  <c r="H666" i="1"/>
  <c r="H667" i="1"/>
  <c r="H668" i="1"/>
  <c r="H669" i="1"/>
  <c r="H670" i="1"/>
  <c r="H671" i="1"/>
  <c r="H672" i="1"/>
  <c r="F8" i="6" l="1"/>
  <c r="E190" i="2"/>
  <c r="E180" i="2"/>
  <c r="E179" i="2"/>
  <c r="E177" i="2"/>
  <c r="M70" i="4" s="1"/>
  <c r="E176" i="2"/>
  <c r="M109" i="4" s="1"/>
  <c r="E148" i="2"/>
  <c r="E147" i="2"/>
  <c r="E146" i="2"/>
  <c r="E145" i="2"/>
  <c r="E144" i="2"/>
  <c r="E139" i="2"/>
  <c r="E138" i="2"/>
  <c r="E137" i="2"/>
  <c r="E136" i="2"/>
  <c r="E135" i="2"/>
  <c r="E134" i="2"/>
  <c r="M126" i="4" s="1"/>
  <c r="E130" i="2"/>
  <c r="E129" i="2"/>
  <c r="E128" i="2"/>
  <c r="E127" i="2"/>
  <c r="E126" i="2"/>
  <c r="E125" i="2"/>
  <c r="E124" i="2"/>
  <c r="E123" i="2"/>
  <c r="E122" i="2"/>
  <c r="E121" i="2"/>
  <c r="M79" i="4" s="1"/>
  <c r="E120" i="2"/>
  <c r="E119" i="2"/>
  <c r="E118" i="2"/>
  <c r="E117" i="2"/>
  <c r="E116" i="2"/>
  <c r="E115" i="2"/>
  <c r="E114" i="2"/>
  <c r="E113" i="2"/>
  <c r="E112" i="2"/>
  <c r="M470" i="4" s="1"/>
  <c r="E111" i="2"/>
  <c r="E110" i="2"/>
  <c r="E109" i="2"/>
  <c r="E108" i="2"/>
  <c r="E107" i="2"/>
  <c r="E106" i="2"/>
  <c r="E105" i="2"/>
  <c r="E104" i="2"/>
  <c r="E97" i="2"/>
  <c r="E96" i="2"/>
  <c r="E92" i="2"/>
  <c r="E91" i="2"/>
  <c r="E90" i="2"/>
  <c r="E89" i="2"/>
  <c r="M46" i="4" s="1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M123" i="4" s="1"/>
  <c r="E60" i="2"/>
  <c r="E59" i="2"/>
  <c r="E58" i="2"/>
  <c r="E57" i="2"/>
  <c r="E56" i="2"/>
  <c r="E55" i="2"/>
  <c r="E54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M748" i="4" s="1"/>
  <c r="E33" i="2"/>
  <c r="E32" i="2"/>
  <c r="E31" i="2"/>
  <c r="E30" i="2"/>
  <c r="E29" i="2"/>
  <c r="E28" i="2"/>
  <c r="M598" i="4" s="1"/>
  <c r="E27" i="2"/>
  <c r="E26" i="2"/>
  <c r="M121" i="4" s="1"/>
  <c r="E25" i="2"/>
  <c r="E24" i="2"/>
  <c r="M120" i="4" s="1"/>
  <c r="E23" i="2"/>
  <c r="E22" i="2"/>
  <c r="M599" i="4" s="1"/>
  <c r="E21" i="2"/>
  <c r="E20" i="2"/>
  <c r="E19" i="2"/>
  <c r="E17" i="2"/>
  <c r="E16" i="2"/>
  <c r="E15" i="2"/>
  <c r="E14" i="2"/>
  <c r="E13" i="2"/>
  <c r="E12" i="2"/>
  <c r="E11" i="2"/>
  <c r="E10" i="2"/>
  <c r="M468" i="4" s="1"/>
  <c r="E9" i="2"/>
  <c r="E8" i="2"/>
  <c r="E6" i="2"/>
  <c r="H710" i="1"/>
  <c r="H709" i="1"/>
  <c r="H708" i="1"/>
  <c r="H707" i="1"/>
  <c r="H706" i="1"/>
  <c r="H705" i="1"/>
  <c r="H704" i="1"/>
  <c r="H703" i="1"/>
  <c r="H702" i="1"/>
  <c r="F552" i="4"/>
  <c r="G552" i="4" s="1"/>
  <c r="L552" i="4" s="1"/>
  <c r="L548" i="4" s="1"/>
  <c r="H701" i="1"/>
  <c r="H663" i="1"/>
  <c r="H662" i="1"/>
  <c r="H661" i="1"/>
  <c r="H660" i="1"/>
  <c r="H659" i="1"/>
  <c r="H658" i="1"/>
  <c r="H655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M560" i="4" s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M559" i="4" s="1"/>
  <c r="H603" i="1"/>
  <c r="H602" i="1"/>
  <c r="H601" i="1"/>
  <c r="M112" i="4" s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M113" i="4" s="1"/>
  <c r="H578" i="1"/>
  <c r="M111" i="4" s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2" i="1"/>
  <c r="H561" i="1"/>
  <c r="H560" i="1"/>
  <c r="H559" i="1"/>
  <c r="H558" i="1"/>
  <c r="H557" i="1"/>
  <c r="H556" i="1"/>
  <c r="H555" i="1"/>
  <c r="H554" i="1"/>
  <c r="H553" i="1"/>
  <c r="H552" i="1"/>
  <c r="H548" i="1"/>
  <c r="H546" i="1"/>
  <c r="M785" i="4" s="1"/>
  <c r="H545" i="1"/>
  <c r="H540" i="1"/>
  <c r="H538" i="1"/>
  <c r="H536" i="1"/>
  <c r="H535" i="1"/>
  <c r="H533" i="1"/>
  <c r="H531" i="1"/>
  <c r="H530" i="1"/>
  <c r="H528" i="1"/>
  <c r="H526" i="1"/>
  <c r="M327" i="4" s="1"/>
  <c r="H524" i="1"/>
  <c r="H522" i="1"/>
  <c r="H520" i="1"/>
  <c r="H518" i="1"/>
  <c r="H516" i="1"/>
  <c r="H514" i="1"/>
  <c r="H512" i="1"/>
  <c r="H511" i="1"/>
  <c r="H510" i="1"/>
  <c r="H509" i="1"/>
  <c r="H508" i="1"/>
  <c r="H507" i="1"/>
  <c r="M781" i="4" s="1"/>
  <c r="H506" i="1"/>
  <c r="H505" i="1"/>
  <c r="H504" i="1"/>
  <c r="H503" i="1"/>
  <c r="H502" i="1"/>
  <c r="H501" i="1"/>
  <c r="H499" i="1"/>
  <c r="H498" i="1"/>
  <c r="H497" i="1"/>
  <c r="H496" i="1"/>
  <c r="H495" i="1"/>
  <c r="H494" i="1"/>
  <c r="H493" i="1"/>
  <c r="H492" i="1"/>
  <c r="H491" i="1"/>
  <c r="H490" i="1"/>
  <c r="H487" i="1"/>
  <c r="H486" i="1"/>
  <c r="H485" i="1"/>
  <c r="H484" i="1"/>
  <c r="H483" i="1"/>
  <c r="H482" i="1"/>
  <c r="H481" i="1"/>
  <c r="H480" i="1"/>
  <c r="H479" i="1"/>
  <c r="H477" i="1"/>
  <c r="H476" i="1"/>
  <c r="H475" i="1"/>
  <c r="H474" i="1"/>
  <c r="H473" i="1"/>
  <c r="H472" i="1"/>
  <c r="H471" i="1"/>
  <c r="H470" i="1"/>
  <c r="H469" i="1"/>
  <c r="H468" i="1"/>
  <c r="H467" i="1"/>
  <c r="H465" i="1"/>
  <c r="H464" i="1"/>
  <c r="H462" i="1"/>
  <c r="H459" i="1"/>
  <c r="H458" i="1"/>
  <c r="H457" i="1"/>
  <c r="H456" i="1"/>
  <c r="H455" i="1"/>
  <c r="H454" i="1"/>
  <c r="H453" i="1"/>
  <c r="H452" i="1"/>
  <c r="H451" i="1"/>
  <c r="M312" i="4" s="1"/>
  <c r="H450" i="1"/>
  <c r="H449" i="1"/>
  <c r="H448" i="1"/>
  <c r="H447" i="1"/>
  <c r="H446" i="1"/>
  <c r="H445" i="1"/>
  <c r="H444" i="1"/>
  <c r="H443" i="1"/>
  <c r="H442" i="1"/>
  <c r="H441" i="1"/>
  <c r="H438" i="1"/>
  <c r="H436" i="1"/>
  <c r="H435" i="1"/>
  <c r="H434" i="1"/>
  <c r="H433" i="1"/>
  <c r="H432" i="1"/>
  <c r="H431" i="1"/>
  <c r="H430" i="1"/>
  <c r="H429" i="1"/>
  <c r="H428" i="1"/>
  <c r="H427" i="1"/>
  <c r="H422" i="1"/>
  <c r="H421" i="1"/>
  <c r="H420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M104" i="4" s="1"/>
  <c r="H382" i="1"/>
  <c r="M771" i="4" s="1"/>
  <c r="H381" i="1"/>
  <c r="M64" i="4" s="1"/>
  <c r="H380" i="1"/>
  <c r="H379" i="1"/>
  <c r="H378" i="1"/>
  <c r="H377" i="1"/>
  <c r="M623" i="4" s="1"/>
  <c r="H376" i="1"/>
  <c r="H375" i="1"/>
  <c r="H374" i="1"/>
  <c r="H373" i="1"/>
  <c r="H371" i="1"/>
  <c r="H369" i="1"/>
  <c r="M219" i="4" s="1"/>
  <c r="H367" i="1"/>
  <c r="H365" i="1"/>
  <c r="H363" i="1"/>
  <c r="H362" i="1"/>
  <c r="H361" i="1"/>
  <c r="H360" i="1"/>
  <c r="H359" i="1"/>
  <c r="H358" i="1"/>
  <c r="H357" i="1"/>
  <c r="H356" i="1"/>
  <c r="H355" i="1"/>
  <c r="H354" i="1"/>
  <c r="M413" i="4" s="1"/>
  <c r="H348" i="1"/>
  <c r="H346" i="1"/>
  <c r="H345" i="1"/>
  <c r="H344" i="1"/>
  <c r="H343" i="1"/>
  <c r="H341" i="1"/>
  <c r="H340" i="1"/>
  <c r="H329" i="1"/>
  <c r="H328" i="1"/>
  <c r="H327" i="1"/>
  <c r="H326" i="1"/>
  <c r="H325" i="1"/>
  <c r="H324" i="1"/>
  <c r="H323" i="1"/>
  <c r="H310" i="1"/>
  <c r="H309" i="1"/>
  <c r="H308" i="1"/>
  <c r="H307" i="1"/>
  <c r="H306" i="1"/>
  <c r="M368" i="4" s="1"/>
  <c r="H305" i="1"/>
  <c r="H304" i="1"/>
  <c r="M668" i="4" s="1"/>
  <c r="H303" i="1"/>
  <c r="M662" i="4" s="1"/>
  <c r="H302" i="1"/>
  <c r="H301" i="1"/>
  <c r="H300" i="1"/>
  <c r="H299" i="1"/>
  <c r="H298" i="1"/>
  <c r="H297" i="1"/>
  <c r="H296" i="1"/>
  <c r="H293" i="1"/>
  <c r="H289" i="1"/>
  <c r="H288" i="1"/>
  <c r="H284" i="1"/>
  <c r="H241" i="1"/>
  <c r="H239" i="1"/>
  <c r="M130" i="4" s="1"/>
  <c r="H238" i="1"/>
  <c r="H237" i="1"/>
  <c r="M334" i="4" s="1"/>
  <c r="H236" i="1"/>
  <c r="H235" i="1"/>
  <c r="M129" i="4" s="1"/>
  <c r="H234" i="1"/>
  <c r="H233" i="1"/>
  <c r="H148" i="1"/>
  <c r="H145" i="1"/>
  <c r="H144" i="1"/>
  <c r="H142" i="1"/>
  <c r="H141" i="1"/>
  <c r="M563" i="4" s="1"/>
  <c r="H140" i="1"/>
  <c r="H139" i="1"/>
  <c r="H138" i="1"/>
  <c r="H136" i="1"/>
  <c r="H134" i="1"/>
  <c r="H133" i="1"/>
  <c r="H131" i="1"/>
  <c r="M625" i="4" s="1"/>
  <c r="H129" i="1"/>
  <c r="H128" i="1"/>
  <c r="H126" i="1"/>
  <c r="M562" i="4" s="1"/>
  <c r="H124" i="1"/>
  <c r="H123" i="1"/>
  <c r="H121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M527" i="4" s="1"/>
  <c r="H103" i="1"/>
  <c r="H102" i="1"/>
  <c r="H101" i="1"/>
  <c r="H100" i="1"/>
  <c r="H99" i="1"/>
  <c r="H98" i="1"/>
  <c r="H97" i="1"/>
  <c r="H96" i="1"/>
  <c r="H95" i="1"/>
  <c r="H93" i="1"/>
  <c r="H92" i="1"/>
  <c r="M770" i="4" s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M769" i="4" s="1"/>
  <c r="H66" i="1"/>
  <c r="M768" i="4" s="1"/>
  <c r="H65" i="1"/>
  <c r="H62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4" i="1"/>
  <c r="H23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M142" i="4" l="1"/>
  <c r="M552" i="4"/>
  <c r="F558" i="4"/>
  <c r="G558" i="4" s="1"/>
  <c r="L558" i="4" s="1"/>
  <c r="L554" i="4" s="1"/>
  <c r="M561" i="4"/>
  <c r="M558" i="4"/>
  <c r="M567" i="4"/>
  <c r="M547" i="4"/>
  <c r="M267" i="4"/>
  <c r="M595" i="4"/>
  <c r="M528" i="4"/>
  <c r="M751" i="4"/>
  <c r="M245" i="4"/>
  <c r="M195" i="4"/>
  <c r="M202" i="4"/>
  <c r="M385" i="4"/>
  <c r="M377" i="4"/>
  <c r="M371" i="4"/>
  <c r="M307" i="4"/>
  <c r="M669" i="4"/>
  <c r="M663" i="4"/>
  <c r="M630" i="4"/>
  <c r="M589" i="4"/>
  <c r="M577" i="4"/>
  <c r="M719" i="4"/>
  <c r="M742" i="4"/>
  <c r="M149" i="4"/>
  <c r="M156" i="4"/>
  <c r="M165" i="4"/>
  <c r="M204" i="4"/>
  <c r="F262" i="4"/>
  <c r="G262" i="4" s="1"/>
  <c r="L262" i="4" s="1"/>
  <c r="L260" i="4" s="1"/>
  <c r="F487" i="4"/>
  <c r="G487" i="4" s="1"/>
  <c r="L487" i="4" s="1"/>
  <c r="L482" i="4" s="1"/>
  <c r="M721" i="4"/>
  <c r="M744" i="4"/>
  <c r="M166" i="4"/>
  <c r="M225" i="4"/>
  <c r="M512" i="4"/>
  <c r="M463" i="4"/>
  <c r="M387" i="4"/>
  <c r="M379" i="4"/>
  <c r="M318" i="4"/>
  <c r="M680" i="4"/>
  <c r="M322" i="4"/>
  <c r="M244" i="4"/>
  <c r="M587" i="4"/>
  <c r="M575" i="4"/>
  <c r="M256" i="4"/>
  <c r="M174" i="4"/>
  <c r="M181" i="4"/>
  <c r="M203" i="4"/>
  <c r="M380" i="4"/>
  <c r="M388" i="4"/>
  <c r="F716" i="4"/>
  <c r="G716" i="4" s="1"/>
  <c r="L716" i="4" s="1"/>
  <c r="L712" i="4" s="1"/>
  <c r="F179" i="4"/>
  <c r="G179" i="4" s="1"/>
  <c r="L179" i="4" s="1"/>
  <c r="L176" i="4" s="1"/>
  <c r="F172" i="4"/>
  <c r="G172" i="4" s="1"/>
  <c r="L172" i="4" s="1"/>
  <c r="L169" i="4" s="1"/>
  <c r="F154" i="4"/>
  <c r="G154" i="4" s="1"/>
  <c r="L154" i="4" s="1"/>
  <c r="L151" i="4" s="1"/>
  <c r="F147" i="4"/>
  <c r="G147" i="4" s="1"/>
  <c r="L147" i="4" s="1"/>
  <c r="L144" i="4" s="1"/>
  <c r="F162" i="4"/>
  <c r="G162" i="4" s="1"/>
  <c r="L162" i="4" s="1"/>
  <c r="L158" i="4" s="1"/>
  <c r="M651" i="4"/>
  <c r="M133" i="4"/>
  <c r="M584" i="4"/>
  <c r="M572" i="4"/>
  <c r="M739" i="4"/>
  <c r="M201" i="4"/>
  <c r="M614" i="4"/>
  <c r="M317" i="4"/>
  <c r="M679" i="4"/>
  <c r="M134" i="4"/>
  <c r="M585" i="4"/>
  <c r="M573" i="4"/>
  <c r="M750" i="4"/>
  <c r="M163" i="4"/>
  <c r="M578" i="4"/>
  <c r="M131" i="4"/>
  <c r="M590" i="4"/>
  <c r="M291" i="4"/>
  <c r="M496" i="4"/>
  <c r="M67" i="4"/>
  <c r="M386" i="4"/>
  <c r="M378" i="4"/>
  <c r="M372" i="4"/>
  <c r="M574" i="4"/>
  <c r="M586" i="4"/>
  <c r="M717" i="4"/>
  <c r="M740" i="4"/>
  <c r="M631" i="4"/>
  <c r="M289" i="4"/>
  <c r="M224" i="4"/>
  <c r="M230" i="4"/>
  <c r="M300" i="4"/>
  <c r="M301" i="4"/>
  <c r="M538" i="4"/>
  <c r="M262" i="4"/>
  <c r="M487" i="4"/>
  <c r="M257" i="4"/>
  <c r="M246" i="4"/>
  <c r="M290" i="4"/>
  <c r="M128" i="4"/>
  <c r="M167" i="4"/>
  <c r="M196" i="4"/>
  <c r="M588" i="4"/>
  <c r="M576" i="4"/>
  <c r="M242" i="4"/>
  <c r="M287" i="4"/>
  <c r="M182" i="4"/>
  <c r="M526" i="4"/>
  <c r="M720" i="4"/>
  <c r="M743" i="4"/>
  <c r="M288" i="4"/>
  <c r="M243" i="4"/>
  <c r="M718" i="4"/>
  <c r="M741" i="4"/>
  <c r="M173" i="4"/>
  <c r="M180" i="4"/>
  <c r="M148" i="4"/>
  <c r="M155" i="4"/>
  <c r="M164" i="4"/>
  <c r="M716" i="4"/>
  <c r="M179" i="4"/>
  <c r="M147" i="4"/>
  <c r="M154" i="4"/>
  <c r="M172" i="4"/>
  <c r="M162" i="4"/>
  <c r="F651" i="4"/>
  <c r="G651" i="4" s="1"/>
  <c r="L651" i="4" s="1"/>
  <c r="L647" i="4" s="1"/>
  <c r="F572" i="4"/>
  <c r="G572" i="4" s="1"/>
  <c r="L572" i="4" s="1"/>
  <c r="L568" i="4" s="1"/>
  <c r="F584" i="4"/>
  <c r="G584" i="4" s="1"/>
  <c r="L584" i="4" s="1"/>
  <c r="L580" i="4" s="1"/>
  <c r="F133" i="4"/>
  <c r="G133" i="4" s="1"/>
  <c r="L133" i="4" s="1"/>
  <c r="L118" i="4" s="1"/>
  <c r="F739" i="4"/>
  <c r="G739" i="4" s="1"/>
  <c r="L739" i="4" s="1"/>
  <c r="L735" i="4" s="1"/>
  <c r="F201" i="4"/>
  <c r="G201" i="4" s="1"/>
  <c r="L201" i="4" s="1"/>
  <c r="L197" i="4" s="1"/>
  <c r="M612" i="4"/>
  <c r="M649" i="4"/>
  <c r="M524" i="4"/>
  <c r="M570" i="4"/>
  <c r="M582" i="4"/>
  <c r="M714" i="4"/>
  <c r="M667" i="4"/>
  <c r="M661" i="4"/>
  <c r="M737" i="4"/>
  <c r="M71" i="4"/>
  <c r="M27" i="4"/>
  <c r="M51" i="4"/>
  <c r="M44" i="4"/>
  <c r="M84" i="4"/>
  <c r="M81" i="4"/>
  <c r="M160" i="4"/>
  <c r="M92" i="4"/>
  <c r="M75" i="4"/>
  <c r="M38" i="4"/>
  <c r="M36" i="4"/>
  <c r="M86" i="4"/>
  <c r="M59" i="4"/>
  <c r="M360" i="4"/>
  <c r="M352" i="4"/>
  <c r="M344" i="4"/>
  <c r="M725" i="4"/>
  <c r="M80" i="4"/>
  <c r="M469" i="4"/>
  <c r="M401" i="4"/>
  <c r="M74" i="4"/>
  <c r="M40" i="4"/>
  <c r="M42" i="4"/>
  <c r="M48" i="4"/>
  <c r="M77" i="4"/>
  <c r="M510" i="4"/>
  <c r="M501" i="4"/>
  <c r="M486" i="4"/>
  <c r="M343" i="4"/>
  <c r="M359" i="4"/>
  <c r="M351" i="4"/>
  <c r="M199" i="4"/>
  <c r="M91" i="4"/>
  <c r="G8" i="6"/>
  <c r="M479" i="4"/>
  <c r="M472" i="4"/>
  <c r="M414" i="4"/>
  <c r="F142" i="4"/>
  <c r="G142" i="4" s="1"/>
  <c r="L142" i="4" s="1"/>
  <c r="L139" i="4" s="1"/>
  <c r="G702" i="1"/>
  <c r="F777" i="4"/>
  <c r="G777" i="4" s="1"/>
  <c r="L777" i="4" s="1"/>
  <c r="L774" i="4" s="1"/>
  <c r="G706" i="1"/>
  <c r="M727" i="4"/>
  <c r="M732" i="4"/>
  <c r="M430" i="4"/>
  <c r="M340" i="4"/>
  <c r="M49" i="4"/>
  <c r="M214" i="4"/>
  <c r="M458" i="4"/>
  <c r="M397" i="4"/>
  <c r="M728" i="4"/>
  <c r="M645" i="4"/>
  <c r="M419" i="4"/>
  <c r="M431" i="4"/>
  <c r="M450" i="4"/>
  <c r="G701" i="1"/>
  <c r="G705" i="1"/>
  <c r="M518" i="4"/>
  <c r="G709" i="1"/>
  <c r="G12" i="6"/>
  <c r="M731" i="4"/>
  <c r="M729" i="4"/>
  <c r="M519" i="4"/>
  <c r="G704" i="1"/>
  <c r="M777" i="4"/>
  <c r="F727" i="4"/>
  <c r="G727" i="4" s="1"/>
  <c r="L727" i="4" s="1"/>
  <c r="L723" i="4" s="1"/>
  <c r="G708" i="1"/>
  <c r="M481" i="4"/>
  <c r="M474" i="4"/>
  <c r="M29" i="4"/>
  <c r="M34" i="4"/>
  <c r="M412" i="4"/>
  <c r="M442" i="4"/>
  <c r="M644" i="4"/>
  <c r="M480" i="4"/>
  <c r="M435" i="4"/>
  <c r="M475" i="4"/>
  <c r="M730" i="4"/>
  <c r="G703" i="1"/>
  <c r="F518" i="4"/>
  <c r="G518" i="4" s="1"/>
  <c r="L518" i="4" s="1"/>
  <c r="L514" i="4" s="1"/>
  <c r="G707" i="1"/>
  <c r="M10" i="4"/>
  <c r="M406" i="4"/>
  <c r="M434" i="4"/>
  <c r="M447" i="4"/>
  <c r="M407" i="4"/>
  <c r="M439" i="4"/>
  <c r="M394" i="4"/>
  <c r="M455" i="4"/>
  <c r="M409" i="4"/>
  <c r="M32" i="4"/>
  <c r="M9" i="4"/>
  <c r="M532" i="4"/>
  <c r="M516" i="4"/>
  <c r="M410" i="4"/>
  <c r="M395" i="4"/>
  <c r="M461" i="4"/>
  <c r="M456" i="4"/>
  <c r="M533" i="4"/>
  <c r="M448" i="4"/>
  <c r="M440" i="4"/>
  <c r="M408" i="4"/>
  <c r="M402" i="4"/>
  <c r="M454" i="4"/>
  <c r="M405" i="4"/>
  <c r="M393" i="4"/>
  <c r="M400" i="4"/>
  <c r="M438" i="4"/>
  <c r="M446" i="4"/>
  <c r="F12" i="6" l="1"/>
  <c r="G15" i="6"/>
  <c r="F15" i="6"/>
  <c r="F14" i="6"/>
  <c r="G14" i="6"/>
  <c r="F16" i="6" l="1"/>
  <c r="F17" i="6" s="1"/>
  <c r="F18" i="6" s="1"/>
  <c r="F19" i="6" s="1"/>
  <c r="F20" i="6" s="1"/>
  <c r="D10" i="6" l="1"/>
  <c r="D16" i="6" s="1"/>
  <c r="G10" i="6" l="1"/>
  <c r="G16" i="6" s="1"/>
  <c r="D17" i="6" l="1"/>
  <c r="D18" i="6" s="1"/>
  <c r="D19" i="6" s="1"/>
  <c r="D20" i="6" s="1"/>
  <c r="G17" i="6"/>
  <c r="G18" i="6" s="1"/>
  <c r="G19" i="6" s="1"/>
  <c r="G20" i="6" s="1"/>
</calcChain>
</file>

<file path=xl/sharedStrings.xml><?xml version="1.0" encoding="utf-8"?>
<sst xmlns="http://schemas.openxmlformats.org/spreadsheetml/2006/main" count="4666" uniqueCount="1357">
  <si>
    <t>N</t>
  </si>
  <si>
    <t>დასახელება</t>
  </si>
  <si>
    <t>განზ. ერთ.</t>
  </si>
  <si>
    <t>წონა      კგ.</t>
  </si>
  <si>
    <t>ფასი ₾</t>
  </si>
  <si>
    <t>სამშენებლო მასალების დასახელება</t>
  </si>
  <si>
    <t>შიფრი</t>
  </si>
  <si>
    <t>1.1 არმატურა; მავთული</t>
  </si>
  <si>
    <t>არმატურა ქართული წარმოების (რუსთავი) A-500C</t>
  </si>
  <si>
    <t>ტ</t>
  </si>
  <si>
    <t>არმატურა ა-III კლასის d-12 მმ (რუსთავი)</t>
  </si>
  <si>
    <t>არმატურა ა-III კლასის d-14 მმ (რუსთავი)</t>
  </si>
  <si>
    <t>არმატურა ა-III კლასის d-16 მმ (რუსთავი)</t>
  </si>
  <si>
    <t>არმატურა ა-III კლასის d-18 მმ (რუსთავი)</t>
  </si>
  <si>
    <t>გრძ.მ</t>
  </si>
  <si>
    <t>არმატურა ა-III კლასის d-20 მმ (რუსთავი)</t>
  </si>
  <si>
    <t>არმატურა ა-III კლასის d-22 მმ (რუსთავი)</t>
  </si>
  <si>
    <t>არმატურა ა-III კლასის d-25 მმ (რუსთავი)</t>
  </si>
  <si>
    <t>არმატურა ა-III კლასის d-28 მმ (რუსთავი)</t>
  </si>
  <si>
    <t>არმატურა ა-I კლასის (უკრაინა)</t>
  </si>
  <si>
    <t>არმატურა ა-III კლასის (დ-8 მმ-ის ჩათვლით)</t>
  </si>
  <si>
    <t>არმატურა ა-III კლასის (დ-8 მმ-დან ზემოთ)</t>
  </si>
  <si>
    <t>არმატურა ა-I კლასის d-6 მმ (უკრაინა)</t>
  </si>
  <si>
    <t>არმატურა ა-I კლასის d-8 მმ (უკრაინა)</t>
  </si>
  <si>
    <t>არმატურა ა-I კლასის d-10 მმ (უკრაინა)</t>
  </si>
  <si>
    <t>-</t>
  </si>
  <si>
    <t>მავთული შესაკრავი დ-1,0-1,6 მმ</t>
  </si>
  <si>
    <t>მავთული შესაკრავი დ-3,0-5,0 მმ</t>
  </si>
  <si>
    <t>კგ</t>
  </si>
  <si>
    <t>მავთული შედუღების</t>
  </si>
  <si>
    <t>1.2 მინაპლასტიკური არმატურა</t>
  </si>
  <si>
    <t>მინაპლასტიკური არმატურა დ-4 მმ</t>
  </si>
  <si>
    <t>მინაპლასტიკური არმატურა დ-6 მმ</t>
  </si>
  <si>
    <t>მინაპლასტიკური არმატურა დ-8 მმ</t>
  </si>
  <si>
    <t>მინაპლასტიკური არმატურა დ-10 მმ</t>
  </si>
  <si>
    <t>მინაპლასტიკური არმატურა დ-12 მმ</t>
  </si>
  <si>
    <t>მინაპლასტიკური არმატურა დ-14 მმ</t>
  </si>
  <si>
    <t>მინაპლასტიკური არმატურა დ-16 მმ</t>
  </si>
  <si>
    <t>1.3 ბაზალტოპლასტიკური არმატურა</t>
  </si>
  <si>
    <t>ბაზალტოპლასტიკური არმატურა დ-4 მმ</t>
  </si>
  <si>
    <t>ბაზალტოპლასტიკური არმატურა დ-5 მმ</t>
  </si>
  <si>
    <t>ბაზალტოპლასტიკური არმატურა დ-6 მმ</t>
  </si>
  <si>
    <t>ბაზალტოპლასტიკური არმატურა დ-7 მმ</t>
  </si>
  <si>
    <t>ბაზალტოპლასტიკური არმატურა დ-8 მმ</t>
  </si>
  <si>
    <t>ბაზალტოპლასტიკური არმატურა დ-10 მმ</t>
  </si>
  <si>
    <t>ბაზალტოპლასტიკური არმატურა დ-12 მმ</t>
  </si>
  <si>
    <t>ბაზალტოპლასტიკური არმატურა დ-14 მმ</t>
  </si>
  <si>
    <t>ბაზალტოპლასტიკური არმატურა დ-16 მმ</t>
  </si>
  <si>
    <t>1.4 ლითონის პროფილები</t>
  </si>
  <si>
    <t>ორტესებრი ძელი</t>
  </si>
  <si>
    <t>ორტესებრი ძელი №10</t>
  </si>
  <si>
    <t>ორტესებრი ძელი №12</t>
  </si>
  <si>
    <t>ორტესებრი ძელი №14</t>
  </si>
  <si>
    <t>ორტესებრი ძელი №16</t>
  </si>
  <si>
    <t>ორტესებრი ძელი №18</t>
  </si>
  <si>
    <t>ორტესებრი ძელი №20</t>
  </si>
  <si>
    <t>ორტესებრი ძელი №22</t>
  </si>
  <si>
    <t>ორტესებრი ძელი №24</t>
  </si>
  <si>
    <t>ორტესებრი ძელი №27</t>
  </si>
  <si>
    <t>ორტესებრი ძელი №30</t>
  </si>
  <si>
    <t>ორტესებრი ძელი №36</t>
  </si>
  <si>
    <t>ორტესებრი ძელი №45</t>
  </si>
  <si>
    <t>შველერი</t>
  </si>
  <si>
    <t>კუთხოვანა</t>
  </si>
  <si>
    <t>კვადრატის სხმული</t>
  </si>
  <si>
    <t>1.8 გაბიონები, ნაპირსამაგრი ლითონის კონსტრუქციები</t>
  </si>
  <si>
    <t>ც</t>
  </si>
  <si>
    <t>გაბიონის კალათა უჯრედით 8X10(სმ), ზომით 1,0X1,0X1,0 მ</t>
  </si>
  <si>
    <t>გაბიონის კალათა უჯრედით 8X10(სმ), ზომით 2,0X1,0X0,5 მ</t>
  </si>
  <si>
    <t>გაბიონის კალათა უჯრედით 8X10(სმ), ზომით 3,0X1,0X0,5 მ</t>
  </si>
  <si>
    <t>გაბიონის კალათა უჯრედით 8X10(სმ), ზომით 1,5X1,0X1,0 მ</t>
  </si>
  <si>
    <t>გაბიონის კალათა უჯრედით 8X10(სმ), ზომით 1,5X1,0X0,5 მ</t>
  </si>
  <si>
    <t>გაბიონის კალათა უჯრედით 8X10(სმ), ზომით 2,0X1,0X1,0 მ</t>
  </si>
  <si>
    <t>გაბიონის კალათა უჯრედით 8X10(სმ), ზომით 3,0X1,0X1,0 მ</t>
  </si>
  <si>
    <t>რენომატრასი უჯრედით 8X10(სმ), ზომით 3,0X2,0X0,17 მ</t>
  </si>
  <si>
    <t>რენომატრასი უჯრედით 8X10(სმ), ზომით 3,0X2,0X0,23 მ</t>
  </si>
  <si>
    <t>რენომატრასი უჯრედით 8X10(სმ), ზომით 2,0X2,0X0,3 მ</t>
  </si>
  <si>
    <t>რენომატრასი უჯრედით 8X10(სმ), ზომით 3,0X2,0X0,3 მ</t>
  </si>
  <si>
    <t>რენომატრასი უჯრედით 8X10(სმ), ზომით 4,0X2,0X0,17 მ</t>
  </si>
  <si>
    <t>რენომატრასი უჯრედით 8X10(სმ), ზომით 4,0X2,0X0,23 მ</t>
  </si>
  <si>
    <t>რენომატრასი უჯრედით 8X10(სმ), ზომით 4,0X2,0X0,3 მ</t>
  </si>
  <si>
    <t>რენომატრასი უჯრედით 8X10(სმ), ზომით 5,0X2,0X0,17 მ</t>
  </si>
  <si>
    <t>რენომატრასი უჯრედით 8X10(სმ), ზომით 5,0X2,0X0,23 მ</t>
  </si>
  <si>
    <t>რენომატრასი უჯრედით 8X10(სმ), ზომით 5,0X2,0X0,3 მ</t>
  </si>
  <si>
    <t>რენომატრასი უჯრედით 8X10(სმ), ზომით 6,0X2,0X0,17 მ</t>
  </si>
  <si>
    <t>რენომატრასი უჯრედით 8X10(სმ), ზომით 6,0X2,0X0,23 მ</t>
  </si>
  <si>
    <t>რენომატრასი უჯრედით 8X10(სმ), ზომით 6,0X2,0X0,3 მ</t>
  </si>
  <si>
    <t>ცილინდრული გაბიონი უჯრედით 8X10(სმ), ზომით 2,0X0,65 მ</t>
  </si>
  <si>
    <t>ცილინდრული გაბიონი უჯრედით 8X10(სმ), ზომით 2,0X0,95 მ</t>
  </si>
  <si>
    <t>ცილინდრული გაბიონი უჯრედით 8X10(სმ), ზომით 3,0X0,65 მ</t>
  </si>
  <si>
    <t>ცილინდრული გაბიონი უჯრედით 8X10(სმ), ზომით 3,0X0,95 მ</t>
  </si>
  <si>
    <t>ჯამბოგაბიონი უჯრედით 8X10(სმ), ზომით 3,0X2,0X0,5 მ</t>
  </si>
  <si>
    <t>ჯამბოგაბიონი უჯრედით 8X10(სმ), ზომით 4,0X2,0X0,5 მ</t>
  </si>
  <si>
    <t>ჯამბოგაბიონი უჯრედით 8X10(სმ), ზომით 5,0X2,0X0,5 მ</t>
  </si>
  <si>
    <t>გაბიონის სამონტაჟო მავთული, t-2,2 მმ</t>
  </si>
  <si>
    <t>მინ.</t>
  </si>
  <si>
    <t>მაქს.</t>
  </si>
  <si>
    <t>1.9 შავი ლითონის კონსტრუქციები, ნაკეთობები, ასაწყობი ნაგებობები</t>
  </si>
  <si>
    <t>ლითონის შედუღებული ბადე არმატურით დ-4 მმ ზომით 6,0X2,4 მ</t>
  </si>
  <si>
    <t>მ²</t>
  </si>
  <si>
    <t>ლითონის შედუღებული ბადე არმატურით დ-5 მმ ზომით 6,0X2,4 მ</t>
  </si>
  <si>
    <t>ლითონის ბადე დ-1,1 მმ უჯრედით 10X10 მმ</t>
  </si>
  <si>
    <t>ლითონის ბადე დ-1,1 მმ უჯრედით 15X15 მმ</t>
  </si>
  <si>
    <t>ლითონის ბადე დ-1,1 მმ უჯრედით 20X20 მმ</t>
  </si>
  <si>
    <t>ლითონის ბადე დ-1,1 მმ უჯრედით 25X25 მმ</t>
  </si>
  <si>
    <t>ლითონის ბადე დ-1,1 მმ უჯრედით 30X30 მმ</t>
  </si>
  <si>
    <t>ლითონის ბადე დ-1,8 მმ უჯრედით 70X70 მმ</t>
  </si>
  <si>
    <t>ლითონის ბადე დ-1,8 მმ უჯრედით 60X60 მმ</t>
  </si>
  <si>
    <t>ლითონის ბადე დ-2,5 მმ უჯრედით 50X50 მმ</t>
  </si>
  <si>
    <t>ლითონის ბადე დ-2,5 მმ უჯრედით 60X60 მმ</t>
  </si>
  <si>
    <t>ლითონის ბადე დ-2,5 მმ უჯრედით 70X70 მმ</t>
  </si>
  <si>
    <t>ლითონის ბადე წყობის უჯრედით 20X30 მმ</t>
  </si>
  <si>
    <t>ლითონის ბადე ბათქაშის უჯრედით 20X20 მმ</t>
  </si>
  <si>
    <t>მოთუთიებული ლითონის ბადე დ-2,5 მმ უჯრედით 60X60 მმ</t>
  </si>
  <si>
    <t>მოთუთიებული ლითონის ბადე დ-2,5 მმ უჯრედით 20X20 მმ</t>
  </si>
  <si>
    <t>მოთუთიებული ლითონის ბადე დ-2,5 მმ უჯრედით 30X30 მმ</t>
  </si>
  <si>
    <t>მოთუთიებული ლითონის ბადე დ-3,0 მმ უჯრედით 50X50 მმ</t>
  </si>
  <si>
    <t>მოთუთიებული ლითონის ბადე დ-3,0 მმ უჯრედით 70X70 მმ</t>
  </si>
  <si>
    <t>ბაზალტის არმატურის ბადე დ-3,5 მმ ბიჯი 20X20 მმ</t>
  </si>
  <si>
    <t>ბაზალტის არმატურის ბადე დ-4,0 მმ ბიჯი 20X20 მმ</t>
  </si>
  <si>
    <t>მოთუთიებული ლითონის ბადე ქვიშის საცრელი</t>
  </si>
  <si>
    <t>ბაზალტის არმატურის ბადე დ-5,0 მმ ბიჯი 15X15 მმ</t>
  </si>
  <si>
    <t>ქვის ცვენისგან დამცავი მოთუთიებული ბადე (Steelgrid) t-3,0 მმ</t>
  </si>
  <si>
    <t>ბაზალტის არმატურის ბადე დ-5,0 მმ ბიჯი 20X20 მმ</t>
  </si>
  <si>
    <t>ბაზალტის არმატურის ბადე დ-6,0 მმ ბიჯი 10X10 მმ</t>
  </si>
  <si>
    <t>სამშენებლო კავი</t>
  </si>
  <si>
    <t>მოაჯირი</t>
  </si>
  <si>
    <t>ლითონის მხატვრული მოაჯირი</t>
  </si>
  <si>
    <t>ნაჭედი (კავი, სამაგრი, ცალკეული და სხვა)</t>
  </si>
  <si>
    <t>ლითონის გზის პირა შემოზღუდვის კონსტრუქცია, EN1317</t>
  </si>
  <si>
    <t>ლითონის გზის პირა შემოზღუდვის კონსტრუქცია, ГОСТ 26804-86б</t>
  </si>
  <si>
    <t>ამწის რელსი</t>
  </si>
  <si>
    <t>1.10 ლურსმანი, ელექტროდი, ჭანჭიკები, მოქლონები</t>
  </si>
  <si>
    <t>სამშენებლო ლურსმანი ღარიანი 20-80-100 მმ</t>
  </si>
  <si>
    <t>სამშენებლო ლურსმანი 50-200 მმ</t>
  </si>
  <si>
    <t>ბეტონის ლურსმანი "დუბელი" 30-100 მმ</t>
  </si>
  <si>
    <t>ელექტროდი შედუღების (თურქეთი) დ-3 მმ</t>
  </si>
  <si>
    <t>ელექტროდი შედუღების (თურქეთი) დ-4 მმ</t>
  </si>
  <si>
    <t>ელექტროდი შედუღების (თურქეთი) დ-5 მმ</t>
  </si>
  <si>
    <t>ჭანჭიკი ქანჩით</t>
  </si>
  <si>
    <t>ჭანჭიკი</t>
  </si>
  <si>
    <t>სოგმანი</t>
  </si>
  <si>
    <t>ხრახნი</t>
  </si>
  <si>
    <t>2.1 ფოლადის მილები</t>
  </si>
  <si>
    <t>წყალგაზის ფოლადის მილი</t>
  </si>
  <si>
    <t>ფოლადის მილი დ-108 მმ-მდე</t>
  </si>
  <si>
    <t>ფოლადის მილი დ-159 მმ-მდე</t>
  </si>
  <si>
    <t>ფოლადის მილი დ-219 მმ-მდე</t>
  </si>
  <si>
    <t>ფოლადის მილი დ-325 მმ-მდე</t>
  </si>
  <si>
    <t>ფოლადის მილი დ-530 მმ-მდე</t>
  </si>
  <si>
    <t>ფოლადის მილი დ-720 მმ-მდე</t>
  </si>
  <si>
    <t>ფოლადის მილი დ-1020 მმ-მდე</t>
  </si>
  <si>
    <t>2.2 ფოლადის კვადრატული მილები</t>
  </si>
  <si>
    <t>ფოლადის კვადრატული მილი</t>
  </si>
  <si>
    <t>მანქ/სთ ღირ. ₾</t>
  </si>
  <si>
    <t>სულ</t>
  </si>
  <si>
    <t>ხელფ.</t>
  </si>
  <si>
    <t>სამშენებლო მანქანები</t>
  </si>
  <si>
    <t>ავტობიტუმმზიდი 4 ტ (ბენზინის)</t>
  </si>
  <si>
    <t>ავტოცემენტმზიდი 8 ტ</t>
  </si>
  <si>
    <t>ტრაქტორის მისაბმელი 2 ტ</t>
  </si>
  <si>
    <t>ტრაქტორი მუხლუხა სვლაზე 59 კვტ-მდე (80 ცხ.ძ)</t>
  </si>
  <si>
    <t>ტრაქტორი მუხლუხა სვლაზე 79 კვტ-მდე (108 ცხ.ძ)</t>
  </si>
  <si>
    <t>ტრაქტორი მუხლუხა სვლაზე 96 კვტ-მდე (130 ცხ.ძ)</t>
  </si>
  <si>
    <t>ტრაქტორი მუხლუხა სვლაზე 132 კვტ-მდე (180 ცხ.ძ)</t>
  </si>
  <si>
    <t>ტრაქტორი მუხლუხა სვლაზე 228 კვტ-მდე (310 ცხ.ძ)</t>
  </si>
  <si>
    <t>ტრაქტორი პნევმოსვლაზე 40 კვტ-მდე (55 ცხ.ძ)</t>
  </si>
  <si>
    <t>ტრაქტორი პნევმოსვლაზე 59 კვტ-მდე (80 ცხ.ძ)</t>
  </si>
  <si>
    <t>ტრაქტორი პნევმოსვლაზე 159 კვტ-მდე (215 ცხ.ძ)</t>
  </si>
  <si>
    <t>ამწე საავტომობილო სვლაზე სხვა სახის მშენებლობის 6,3 ტ</t>
  </si>
  <si>
    <t>ამწე საავტომობილო სვლაზე სხვა სახის მშენებლობის 10 ტ</t>
  </si>
  <si>
    <t>ამწე საავტომობილო სვლაზე სხვა სახის მშენებლობის 12,5 ტ</t>
  </si>
  <si>
    <t>ამწე საავტომობილო სვლაზე სხვა სახის მშენებლობის 16 ტ</t>
  </si>
  <si>
    <t>ამწე საავტომობილო სვლაზე ტექნოლ. მოწყობ. 16 ტ</t>
  </si>
  <si>
    <t>ამწე საავტომობილო სვლაზე ტექნოლ. მოწყობ. 25 ტ</t>
  </si>
  <si>
    <t>ამწე საავტომობილო სვლაზე ტექნოლ. მოწყობ. 40 ტ</t>
  </si>
  <si>
    <t>ამწე საავტომობილო სვლაზე ტექნოლ. მოწყობ. 63 ტ</t>
  </si>
  <si>
    <t>ამწე მუხლუხა სვლაზე სატრანსპორტო მშენებლობაზე 16 ტ</t>
  </si>
  <si>
    <t>ამწე მუხლუხა სვლაზე სატრანსპორტო მშენებლობაზე 25 ტ</t>
  </si>
  <si>
    <t>ამწე მუხლუხა სვლაზე სატრანსპორტო მშენებლობაზე 30 ტ</t>
  </si>
  <si>
    <t>ამწე მუხლუხა სვლაზე სატრანსპორტო მშენებლობაზე 40 ტ</t>
  </si>
  <si>
    <t>ამწე მუხლუხა სვლაზე სატრანსპორტო მშენებლობაზე 63 ტ</t>
  </si>
  <si>
    <t>ამწე მუხლუხა სვლაზე ჰიდროენერგეტიკულ მშენებლობაზე 10 ტ</t>
  </si>
  <si>
    <t>ამწე მუხლუხა სვლაზე ჰიდროენერგეტიკულ მშენებლობაზე 16 ტ</t>
  </si>
  <si>
    <t>ამწე მუხლუხა სვლაზე ჰიდროენერგეტიკულ მშენებლობაზე 25 ტ</t>
  </si>
  <si>
    <t>ამწე მუხლუხა სვლაზე ჰიდროენერგეტიკულ მშენებლობაზე 30 ტ</t>
  </si>
  <si>
    <t>ამწე მუხლუხა სვლაზე ჰიდროენერგეტიკულ მშენებლობაზე 40 ტ</t>
  </si>
  <si>
    <t>ამწე მუხლუხა სვლაზე სხვა სახის მშენებლობაზე 16 ტ</t>
  </si>
  <si>
    <t>ამწე მუხლუხა სვლაზე სხვა სახის მშენებლობაზე 25 ტ</t>
  </si>
  <si>
    <t>ამწე მუხლუხა სვლაზე სხვა სახის მშენებლობაზე 30 ტ</t>
  </si>
  <si>
    <t>ამწე მუხლუხა სვლაზე სხვა სახის მშენებლობაზე 40 ტ</t>
  </si>
  <si>
    <t>ამწე მუხლუხა სვლაზე სხვა სახის მშენებლობაზე 63 ტ</t>
  </si>
  <si>
    <t>ამწე მუხლუხა სვლაზე სხვა სახის მშენებლობაზე 100 ტ</t>
  </si>
  <si>
    <t>ამწე პნევმოთვლიან სვლაზე სატრანსპორტო მშენებლობაზე 16 ტ</t>
  </si>
  <si>
    <t>ამწე პნევმოთვლიან სვლაზე სატრანსპორტო მშენებლობაზე 25 ტ</t>
  </si>
  <si>
    <t>ამწე პნევმოთვლიან სვლაზე სატრანსპორტო მშენებლობაზე 40 ტ</t>
  </si>
  <si>
    <t>ამწე პნევმოთვლიან სვლაზე სხვა სახის მშენებლობაზე 16 ტ</t>
  </si>
  <si>
    <t>ამწე პნევმოთვლიან სვლაზე სხვა სახის მშენებლობაზე 25 ტ</t>
  </si>
  <si>
    <t>ამწე პნევმოთვლიან სვლაზე სხვა სახის მშენებლობაზე 40 ტ</t>
  </si>
  <si>
    <t>შესადუღებელი ავტომატი</t>
  </si>
  <si>
    <t>კომპრესორი მოძრავი შიდაწვის ძრავით 7 ატმ, 3 კუბ.მ./წთ (ბენზინზე)</t>
  </si>
  <si>
    <t>კომპრესორი მოძრავი შიდაწვის ძრავით 7 ატმ, 5 კუბ.მ./წთ (ბენზინზე)</t>
  </si>
  <si>
    <t>კომპრესორი მოძრავი შიდაწვის ძრავით 7 ატმ, 9 კუბ.მ./წთ (დიზელზე)</t>
  </si>
  <si>
    <t>კომპრესორი თვითმოძრავი შიდაწვის ძრავით 7 ატმ, 6 კუბ.მ./წთ</t>
  </si>
  <si>
    <t>კომპრესორი მოძრავი ელექტროძრავით 7 ატმ, 0,5 კუბ.მ./წთ</t>
  </si>
  <si>
    <t>მოშანდაკების ექსკავატორი</t>
  </si>
  <si>
    <t>ექსკავატორი 0,25 მ³ მუხლუხა სვლაზე სხვა სახის მშენებლობაზე</t>
  </si>
  <si>
    <t>ექსკავატორი 0,4 მ³ მუხლუხა სვლაზე სხვა სახის მშენებლობაზე</t>
  </si>
  <si>
    <t>ექსკავატორი 0,65 მ³ მუხლუხა სვლაზე სხვა სახის მშენებლობაზე</t>
  </si>
  <si>
    <t>ექსკავატორი 0,8 მ³ მუხლუხა სვლაზე სხვა სახის მშენებლობაზე</t>
  </si>
  <si>
    <t>ექსკავატორი 1,0 მ³ მუხლუხა სვლაზე სხვა სახის მშენებლობაზე</t>
  </si>
  <si>
    <t>ექსკავატორი 1,15 მ³ მუხლუხა სვლაზე სხვა სახის მშენებლობაზე</t>
  </si>
  <si>
    <t>ექსკავატორი 1,25 მ³ მუხლუხა სვლაზე სხვა სახის მშენებლობაზე</t>
  </si>
  <si>
    <t>ექსკავატორი 0,15 მ³ პნევმოთვლიან სვლაზე სხვა სახის მშენებლობაზე</t>
  </si>
  <si>
    <t>ექსკავატორი 0,25 მ³ პნევმოთვლიან სვლაზე სხვა სახის მშენებლობაზე</t>
  </si>
  <si>
    <t>ექსკავატორი 0,5 მ³ პნევმოთვლიან სვლაზე სხვა სახის მშენებლობაზე</t>
  </si>
  <si>
    <t>ექსკავატორი 0,65 მ³ პნევმოთვლიან სვლაზე სხვა სახის მშენებლობაზე</t>
  </si>
  <si>
    <t>ექსკავატორი 0,8 მ³ პნევმოთვლიან სვლაზე სხვა სახის მშენებლობაზე</t>
  </si>
  <si>
    <t>ექსკავატორი 1,0 მ³ პნევმოთვლიან სვლაზე სხვა სახის მშენებლობაზე</t>
  </si>
  <si>
    <t>ექსკავატორი 1,15 მ³ პნევმოთვლიან სვლაზე სხვა სახის მშენებლობაზე</t>
  </si>
  <si>
    <t>ექსკავატორი 1,25 მ³ პნევმოთვლიან სვლაზე სხვა სახის მშენებლობაზე</t>
  </si>
  <si>
    <t>ექსკავატორი 0,5 მ³ პნევმოთვლიან სვლაზე, მოდელი: ეო-4124</t>
  </si>
  <si>
    <t>ექსკავატორი 0,5 მ³ პნევმოთვლიან სვლაზე, მოდელი: O&amp;K</t>
  </si>
  <si>
    <t>ექსკავატორი 0,5 მ³ პნევმოთვლიან სვლაზე, მოდელი: ივ-1232, ივ-1233</t>
  </si>
  <si>
    <t>ექსკავატორი 0,5 მ³ მუხლუხა სვლაზე, მოდელი: POLKAIN</t>
  </si>
  <si>
    <t>ექსკავატორი 0,5 მ³ პნევმოთვლიან სვლაზე, მოდელი: PMI</t>
  </si>
  <si>
    <t>ექსკავატორი-დრაგლაინი 1,0 მ³ მუხლუხა სვლაზე</t>
  </si>
  <si>
    <t>ექსკავატორი-დრაგლაინი 0,5 მ³ მუხლუხა სვლაზე</t>
  </si>
  <si>
    <t>ბულდოზერი სხვა სახის მშენებლობაზე 37 კვტ (50 ცხ.ძ)</t>
  </si>
  <si>
    <t>ბულდოზერი სხვა სახის მშენებლობაზე 59 კვტ (80 ცხ.ძ)</t>
  </si>
  <si>
    <t>ბულდოზერი სხვა სახის მშენებლობაზე 79 კვტ (108 ცხ.ძ)</t>
  </si>
  <si>
    <t>ბულდოზერი სხვა სახის მშენებლობაზე 96 კვტ (130 ცხ.ძ)</t>
  </si>
  <si>
    <t>ბულდოზერი სხვა სახის მშენებლობაზე 132 კვტ (180 ცხ.ძ)</t>
  </si>
  <si>
    <t>ბულდოზერი სხვა სახის მშენებლობაზე 228 კვტ (310 ცხ.ძ)</t>
  </si>
  <si>
    <t>ბულდოზერი-გამფხვიერებელი სატრანსპორტო მშენებლობისთვის 79 კვტ (108 ცხ.ძ)</t>
  </si>
  <si>
    <t>ბულდოზერი-გამფხვიერებელი სატრანსპორტო მშენებლობისთვის 96 კვტ (130 ცხ.ძ)</t>
  </si>
  <si>
    <t>ბულდოზერი-გამფხვიერებელი სატრანსპორტო მშენებლობისთვის 132 კვტ (180 ცხ.ძ)</t>
  </si>
  <si>
    <t>ამომძირკველი-მომგროვებელი ტრაქტორით 79 კვტ (108 ცხ.ძ)</t>
  </si>
  <si>
    <t>ამომძირკველი-მომგროვებელი ტრაქტორით 98 კვტ (130 ცხ.ძ)</t>
  </si>
  <si>
    <t>ავტოგუდრონატორი 3500 ლ</t>
  </si>
  <si>
    <t>ავტოგუდრონატორი 7000 ლ</t>
  </si>
  <si>
    <t>ავტოგრეიდერი საშუალო ტიპის 79 კვტ (108 ცხ.ძ)</t>
  </si>
  <si>
    <t>გრეიდერი საშუალო ტიპის მისაბმელი</t>
  </si>
  <si>
    <t>გრეიდერი მძიმე ტიპის მისაბმელი</t>
  </si>
  <si>
    <t>ავტოგრეიდერი მძიმე ტიპის 132 კვტ (180 ცხ.ძ)</t>
  </si>
  <si>
    <t>გრეიდერი-ელევატორი</t>
  </si>
  <si>
    <t>გუდრონატორი ხელის</t>
  </si>
  <si>
    <t>ნაკერების ჩამსხმელი</t>
  </si>
  <si>
    <t>სატკეპნი მისაბმელი ვიბრაციული 6 ტ</t>
  </si>
  <si>
    <t>სატკეპნი მისაბმელი გლუვზედაპირიანი 5 ტ</t>
  </si>
  <si>
    <t>სატკეპნი მისაბმელი მუშტებიანი 5 ტ</t>
  </si>
  <si>
    <t>სატკეპნი მისაბმელი მუშტებიანი 9 ტ</t>
  </si>
  <si>
    <t>სატკეპნი მისაბმელი მუშტებიანი 18 ტ</t>
  </si>
  <si>
    <t>სატკეპნი მისაბმელი მუშტებიანი 28 ტ</t>
  </si>
  <si>
    <t>სატკეპნი მისაბმელი პნევმოსვლაზე 10 ტ</t>
  </si>
  <si>
    <t>სატკეპნი მისაბმელი პნევმოსვლაზე 12,5 ტ</t>
  </si>
  <si>
    <t>სატკეპნი მისაბმელი პნევმოსვლაზე 25 ტ</t>
  </si>
  <si>
    <t>სატკეპნი მისაბმელი პნევმოსვლაზე 50 ტ</t>
  </si>
  <si>
    <t>სატკეპნი საგზაო თვითმავალი ვიბრაციული 4 ტ</t>
  </si>
  <si>
    <t>სატკეპნი საგზაო თვითმავალი გლუვი 5 ტ</t>
  </si>
  <si>
    <t>სატკეპნი საგზაო თვითმავალი გლუვი 10 ტ (დიზელზე)</t>
  </si>
  <si>
    <t>სატკეპნი საგზაო თვითმავალი გლუვი 18 ტ</t>
  </si>
  <si>
    <t>სატკეპნი საგზაო თვითმავალი პნევმოსვლაზე 16 ტ</t>
  </si>
  <si>
    <t>სატკეპნი საგზაო თვითმავალი პნევმოსვლაზე 18 ტ</t>
  </si>
  <si>
    <t>სატკეპნი საგზაო თვითმავალი პნევმოსვლაზე 30 ტ</t>
  </si>
  <si>
    <t>სატკეპნი საგზაო თვითმავალი პნევმოსვლაზე 35 ტ</t>
  </si>
  <si>
    <t>მოსარწყავ-მოსარეცხი მანქანა 6000 ლ</t>
  </si>
  <si>
    <t>ქვის ნამტრევების მანაწილებელი</t>
  </si>
  <si>
    <t>ცემენტის მანაწილებელი</t>
  </si>
  <si>
    <t>ასფალტობეტონის დამგები</t>
  </si>
  <si>
    <t>ფრეზი საგზაო მიბმული ტრაქტორით 79 კვტ (108 ცხ.ძ)</t>
  </si>
  <si>
    <t>ფრეზი საგზაო მიბმული ტრაქტორის გარეშე</t>
  </si>
  <si>
    <t>ამწე-მილჩამწყობი d-150 მმ-მდე</t>
  </si>
  <si>
    <t>ამწე-მილჩამწყობი d-1200 მმ-მდე</t>
  </si>
  <si>
    <t>ამწე-მილჩამწყობი d-1400 მმ-მდე</t>
  </si>
  <si>
    <t>სანგრევი ჩაქუჩი მომუშავე სტაციონარულ საკომპრესორო სადგურზე</t>
  </si>
  <si>
    <t>სანგრევი ჩაქუჩი მომუშავე მოძრავ კომპრესორზე</t>
  </si>
  <si>
    <t>პნევმატური დამტკეპნი მომუშავე სტაციონარულ საკომპრესორო სადგურზე</t>
  </si>
  <si>
    <t>უცხოური ფირმის მანქანები</t>
  </si>
  <si>
    <t>ექსკავატორი-კოდალა "ლიბერი" (ჰოლანდია)</t>
  </si>
  <si>
    <t>4.1 აგური, ბეტონის და რკინაბეტონის კონსტრუქციები,  ბეტონი</t>
  </si>
  <si>
    <t>თიხის აგური, კერამიკული 25X12X6,5 სმ</t>
  </si>
  <si>
    <t>ბეტონის ბლოკი სტანდარტული ზომის, 39X19X19 სმ</t>
  </si>
  <si>
    <t>პემზის ბლოკი სტანდარტული ზომის, 39X19X19 სმ</t>
  </si>
  <si>
    <t>ბეტონის ნაკეთობები</t>
  </si>
  <si>
    <t>ბეტონის ქვაფენილი დეკორატიული 16X19X8 სმ</t>
  </si>
  <si>
    <t>რკინაბეტონის ნაკეთობები</t>
  </si>
  <si>
    <t>რკინაბეტონის მილი d-200 მმ</t>
  </si>
  <si>
    <t>რკინაბეტონის მილი d-300 მმ</t>
  </si>
  <si>
    <t>რკინაბეტონის მილი d-400 მმ</t>
  </si>
  <si>
    <t>რკინაბეტონის მილი d-500 მმ</t>
  </si>
  <si>
    <t>რკინაბეტონის მილი d-600 მმ</t>
  </si>
  <si>
    <t>რკინაბეტონის მილი d-700 მმ</t>
  </si>
  <si>
    <t>რკინაბეტონის მილი d-800 მმ</t>
  </si>
  <si>
    <t>რკინაბეტონის მილი d-1000 მმ</t>
  </si>
  <si>
    <t>რკინაბეტონის მილი d-1500 მმ</t>
  </si>
  <si>
    <t>რკინაბეტონის ჭის რგოლი h-1000 მმ, d-700 მმ</t>
  </si>
  <si>
    <t>რკინაბეტონის ჭის რგოლი h-1000 მმ, d-1000 მმ</t>
  </si>
  <si>
    <t>რკინაბეტონის ჭის რგოლი h-1000 მმ, d-1500 მმ</t>
  </si>
  <si>
    <t>რკინაბეტონის ჭის რგოლი h-1000 მმ, d-2000 მმ</t>
  </si>
  <si>
    <t>რკინაბეტონის ჭის რგოლი h-1500 მმ, d-1500 მმ</t>
  </si>
  <si>
    <t>რკინაბეტონის ჭის რგოლი h-2000 მმ, d-1500 მმ</t>
  </si>
  <si>
    <t>თუჯის ხუფი მრგვალი ჩარჩოთი d-60 სმ, სისქით 50 მმ</t>
  </si>
  <si>
    <t>კომპ.</t>
  </si>
  <si>
    <t>თუჯის ხუფი მრგვალი ჩარჩოთი d-90 სმ</t>
  </si>
  <si>
    <t>თუჯის ხუფი ოთხკუთხედი ჩარჩოთი (60X60) სმ</t>
  </si>
  <si>
    <t>თუჯის ხუფი ოთხკუთხედი ჩარჩოთი (90X90) სმ</t>
  </si>
  <si>
    <t>თუჯის ცხაურა ოთხკუთხედი ჩარჩოთი (90X90) სმ</t>
  </si>
  <si>
    <t>თუჯის ცხაურა ოთხკუთხედი ჩარჩოთი (70X70) სმ</t>
  </si>
  <si>
    <t>თუჯის ცხაურა ოთხკუთხედი ჩარჩოთი (50X50) სმ</t>
  </si>
  <si>
    <t>რკინაბეტონის განათების და საკონტაქტო ხაზების ანძა ანკერებით</t>
  </si>
  <si>
    <t>რკინაბეტონის ზღუდარი</t>
  </si>
  <si>
    <t>მ³</t>
  </si>
  <si>
    <t>რკინაბეტონის ღარი 75X25 სმ</t>
  </si>
  <si>
    <t>რკინაბეტონის ბორდიური კვეთით 20X10 სმ</t>
  </si>
  <si>
    <t>რკინაბეტონის ბორდიური კვეთით 30X15 სმ</t>
  </si>
  <si>
    <t>რკინაბეტონის ბორდიური კვეთით 30X15 სმ სანიაღვრე ღარით</t>
  </si>
  <si>
    <t>ნიუჯერსის ტიპის ბეტონის პარაპეტი 80X50 სმ</t>
  </si>
  <si>
    <t>ცემენტი</t>
  </si>
  <si>
    <t>ნაყარი ცემენტი M-I 32,5R-SR5</t>
  </si>
  <si>
    <t>ნაყარი ცემენტი M-IV 32,5N</t>
  </si>
  <si>
    <t>დეკორატიული ცემენტი</t>
  </si>
  <si>
    <t>გაჯი დაფქული</t>
  </si>
  <si>
    <t>თიხა</t>
  </si>
  <si>
    <t>პემზა</t>
  </si>
  <si>
    <t>ქვიშა კვარცის</t>
  </si>
  <si>
    <t>ქვიშა დარკვეთის გარეცხილი</t>
  </si>
  <si>
    <t>ქვიშა დარკვეთის</t>
  </si>
  <si>
    <t>ქვიშა ყვითელი ხსნარის</t>
  </si>
  <si>
    <t>ქვიშა შავი 0,5 სმ</t>
  </si>
  <si>
    <t>ქვიშა-ხრეშოვანი ნარევი ბეტონის მოსამზადებლად</t>
  </si>
  <si>
    <t>ქვიშა-ხრეშოვანი ნარევი საგზაო სამუშაოებისათვის</t>
  </si>
  <si>
    <t>ბალასტი</t>
  </si>
  <si>
    <t>კლდოვანი ქანების ბალასტი საგზაო სამუშაოებისათვის</t>
  </si>
  <si>
    <t>ფლეთილი ქვა გაბიონებისათვის</t>
  </si>
  <si>
    <t>ყორე ქვა გაბიონებისათვის</t>
  </si>
  <si>
    <t>ყორე ქვა მოსაპირკეთებელი</t>
  </si>
  <si>
    <t>ღორღი ბუნებრივი</t>
  </si>
  <si>
    <t>ღორღი სამშენებლო სამუშაოსთვის, მარკა 600-1200, ფრაქცია 5-10 მმ</t>
  </si>
  <si>
    <t>ღორღი სამშენებლო სამუშაოსთვის, მარკა 600-1200, ფრაქცია 10-20 მმ</t>
  </si>
  <si>
    <t>ღორღი სამშენებლო სამუშაოსთვის, მარკა 600-1200, ფრაქცია 20-40 მმ</t>
  </si>
  <si>
    <t>ღორღი სამშენებლო სამუშაოსთვის, მარკა 600-1200, ფრაქცია 40-70 მმ</t>
  </si>
  <si>
    <t>ღორღი სამშენებლო სამუშაოსთვის, მარკა 600-1200, ფრაქცია 10-120 მმ</t>
  </si>
  <si>
    <t>ღორღი სამშენებლო სამუშაოსთვის, მარკა 400, ფრაქცია 5-10 მმ</t>
  </si>
  <si>
    <t>ღორღი სამშენებლო სამუშაოსთვის, მარკა 400, ფრაქცია 10-20 მმ</t>
  </si>
  <si>
    <t>ღორღი სამშენებლო სამუშაოსთვის, მარკა 400, ფრაქცია 20-40 მმ</t>
  </si>
  <si>
    <t>ღორღი სამშენებლო სამუშაოსთვის, მარკა 400, ფრაქცია 40-70 მმ</t>
  </si>
  <si>
    <t>ღორღი სამშენებლო სამუშაოსთვის, მარკა 400, ფრაქცია 10-120 მმ</t>
  </si>
  <si>
    <t>ღორღი სამშენებლო სამუშაოსთვის, მარკა 200-300, ფრაქცია 5-10 მმ</t>
  </si>
  <si>
    <t>ღორღი სამშენებლო სამუშაოსთვის, მარკა 200-300, ფრაქცია 10-20 მმ</t>
  </si>
  <si>
    <t>ღორღი სამშენებლო სამუშაოსთვის, მარკა 200-300, ფრაქცია 20-40 მმ</t>
  </si>
  <si>
    <t>ღორღი სამშენებლო სამუშაოსთვის, მარკა 200-300, ფრაქცია 40-70 მმ</t>
  </si>
  <si>
    <t>ღორღი სამშენებლო სამუშაოსთვის, მარკა 200-300, ფრაქცია 10-120 მმ</t>
  </si>
  <si>
    <t>ღორღი საავტომობილო გზებისათვის, მარკა 600-1200, ფრაქცია 5-10 მმ</t>
  </si>
  <si>
    <t>ღორღი საავტომობილო გზებისათვის, მარკა 600-1200, ფრაქცია 10-20 მმ</t>
  </si>
  <si>
    <t>ღორღი საავტომობილო გზებისათვის, მარკა 600-1200, ფრაქცია 20-40 მმ</t>
  </si>
  <si>
    <t>ღორღი საავტომობილო გზებისათვის, მარკა 600-1200, ფრაქცია 40-70 მმ</t>
  </si>
  <si>
    <t>ღორღი საავტომობილო გზებისათვის, მარკა 600-1200, ფრაქცია 10-120 მმ</t>
  </si>
  <si>
    <t>ღორღი საავტომობილო გზებისათვის, მარკა 400, ფრაქცია 5-10 მმ</t>
  </si>
  <si>
    <t>ღორღი საავტომობილო გზებისათვის, მარკა 400, ფრაქცია 10-20 მმ</t>
  </si>
  <si>
    <t>ღორღი საავტომობილო გზებისათვის, მარკა 400, ფრაქცია 20-40 მმ</t>
  </si>
  <si>
    <t>ღორღი საავტომობილო გზებისათვის, მარკა 400, ფრაქცია 40-70 მმ</t>
  </si>
  <si>
    <t>ღორღი საავტომობილო გზებისათვის, მარკა 400, ფრაქცია 10-120 მმ</t>
  </si>
  <si>
    <t>ღორღი საავტომობილო გზებისათვის, მარკა 200-300, ფრაქცია 5-10 მმ</t>
  </si>
  <si>
    <t>ღორღი საავტომობილო გზებისათვის, მარკა 200-300, ფრაქცია 10-20 მმ</t>
  </si>
  <si>
    <t>ღორღი საავტომობილო გზებისათვის, მარკა 200-300, ფრაქცია 20-40 მმ</t>
  </si>
  <si>
    <t>ღორღი საავტომობილო გზებისათვის, მარკა 200-300, ფრაქცია 40-70 მმ</t>
  </si>
  <si>
    <t>ღორღი საავტომობილო გზებისათვის, მარკა 200-300, ფრაქცია 10-120 მმ</t>
  </si>
  <si>
    <t>ღორღი ლიანდაგებისათვის</t>
  </si>
  <si>
    <t>ბუნებრივი და ხელოვნური ქვები</t>
  </si>
  <si>
    <t>ბორდიური ბაზალტის 15X20 სმ</t>
  </si>
  <si>
    <t>ბორდიური ბაზალტის 15X30 სმ</t>
  </si>
  <si>
    <t>ბორდიური გრანიტის b-10 მმ L-50 სმ</t>
  </si>
  <si>
    <t>ბეტონი</t>
  </si>
  <si>
    <t>წიდაპორტლანდცემენტი M400</t>
  </si>
  <si>
    <t>წიდაპორტლანდცემენტი M500</t>
  </si>
  <si>
    <t>ნაყარი ცემენტი M-I 42,5N M500</t>
  </si>
  <si>
    <t>ნაყარი ცემენტი M-I 42,5R M500</t>
  </si>
  <si>
    <t>ნაყარი ცემენტი M-II A-P 42,5R M400</t>
  </si>
  <si>
    <t>ნაყარი ცემენტი M-II B-P 32,5N M400</t>
  </si>
  <si>
    <t>ცემენტი CEM II A-P 42,5R M500</t>
  </si>
  <si>
    <t>ცემენტი CEM II B-P 32,5R M400</t>
  </si>
  <si>
    <t>სასაქონლო ბეტონი მძიმე (ღორღის) M50, M75, B-7</t>
  </si>
  <si>
    <t>სასაქონლო ბეტონი მძიმე (ღორღის) M100, B-7,5</t>
  </si>
  <si>
    <t>სასაქონლო ბეტონი მძიმე (ღორღის) M150, B-10</t>
  </si>
  <si>
    <t>სასაქონლო ბეტონი მძიმე (ღორღის) M200, B-15</t>
  </si>
  <si>
    <t>სასაქონლო ბეტონი მძიმე (ღორღის) M250, B-18,5</t>
  </si>
  <si>
    <t>სასაქონლო ბეტონი მძიმე (ღორღის) M300, B-22,5</t>
  </si>
  <si>
    <t>სასაქონლო ბეტონი მძიმე (ღორღის) M350, B-25</t>
  </si>
  <si>
    <t>სასაქონლო ბეტონი მძიმე (ღორღის) M400, B-30</t>
  </si>
  <si>
    <t>სასაქონლო ბეტონი მძიმე (ღორღის) M460, B-35</t>
  </si>
  <si>
    <t>სასაქონლო ბეტონი მძიმე (ღორღის) M521, B-40</t>
  </si>
  <si>
    <t>ბეტონის სხვადასხვა სახის პლასტიფიკატორები</t>
  </si>
  <si>
    <t>ლარი</t>
  </si>
  <si>
    <t>სხვადასხვა სამშენებლო მასალები</t>
  </si>
  <si>
    <t>ხსნარები</t>
  </si>
  <si>
    <t>ცემენტის ხსნარი M25</t>
  </si>
  <si>
    <t>ცემენტის ხსნარი M50</t>
  </si>
  <si>
    <t>ცემენტის ხსნარი M75</t>
  </si>
  <si>
    <t>ცემენტის ხსნარი M100</t>
  </si>
  <si>
    <t>ცემენტის ხსნარი M200</t>
  </si>
  <si>
    <t>კირ-ცემენტის ხსნარი M200</t>
  </si>
  <si>
    <t>კირ-ცემენტის ხსნარი M25</t>
  </si>
  <si>
    <t>კირ-ცემენტის ხსნარი M50</t>
  </si>
  <si>
    <t>კირ-ცემენტის ხსნარი M75</t>
  </si>
  <si>
    <t>კირ-ცემენტის ხსნარი M100</t>
  </si>
  <si>
    <t>ცემენტის ხსნარი 1:1</t>
  </si>
  <si>
    <t>ცემენტის ხსნარი 1:2</t>
  </si>
  <si>
    <t>ცემენტის ხსნარი 1:3</t>
  </si>
  <si>
    <t>კირ-ცემენტის ხსნარი 1:6</t>
  </si>
  <si>
    <t>კირ-ცემენტის ხსნარი 1:8</t>
  </si>
  <si>
    <t>კირ-ცემენტის ხსნარი 1:9</t>
  </si>
  <si>
    <t>კირის ხსნარი 1:1</t>
  </si>
  <si>
    <t>კირის ხსნარი 1:2,5</t>
  </si>
  <si>
    <t>კირის ხსნარი 1:3</t>
  </si>
  <si>
    <t>საბურულე, ჰიდროსაიზოლაციო და თბოსაიზოლაციო მასალა</t>
  </si>
  <si>
    <t>პერგამინი</t>
  </si>
  <si>
    <t>რუბეროიდი b-1 მ, L-15 მ</t>
  </si>
  <si>
    <t>რუბეროიდი b-1 მ, L-10 მ</t>
  </si>
  <si>
    <t>გეოტექსტილი, დაბალი სიმტკიცის Pc 100 gr.</t>
  </si>
  <si>
    <t>გეოტექსტილი, დაბალი სიმტკიცის Pc 150 gr.</t>
  </si>
  <si>
    <t>გეოტექსტილი, დაბალი სიმტკიცის Pc 200 gr.</t>
  </si>
  <si>
    <t>გეოტექსტილი, დაბალი სიმტკიცის Pc 250 gr.</t>
  </si>
  <si>
    <t>გეოტექსტილი, დაბალი სიმტკიცის Pc 300 gr.</t>
  </si>
  <si>
    <t>გეოტექსტილი, დაბალი სიმტკიცის Pc 1200 gr.</t>
  </si>
  <si>
    <t>გეოტექსტილი, მაღალი სიმტკიცის Pc 127 Kn/m</t>
  </si>
  <si>
    <t>გეოტექსტილი, მაღალი სიმტკიცის Pc 254 Kn/m</t>
  </si>
  <si>
    <t>გეოტექსტილი, მაღალი სიმტკიცის Pc 380 Kn/m</t>
  </si>
  <si>
    <t>გეოტექსტილი, მაღალი სიმტკიცის Pc 507 Kn/m</t>
  </si>
  <si>
    <t>გეოტექსტილი, მაღალი სიმტკიცის Pc 634 Kn/m</t>
  </si>
  <si>
    <t>პენოპლასტი 100X50X2 სმ</t>
  </si>
  <si>
    <t>პენოპლასტი 100X50X3 სმ</t>
  </si>
  <si>
    <t>პენოპლასტი 100X50X4 სმ</t>
  </si>
  <si>
    <t>პენოპლასტი 100X50X5 სმ</t>
  </si>
  <si>
    <t>პოლისტეროლი</t>
  </si>
  <si>
    <t>პენოპლექსი 120X60X3 სმ</t>
  </si>
  <si>
    <t>პენოპლექსი 120X60X2 სმ</t>
  </si>
  <si>
    <t>პენოპლექსი 120X60X4 სმ</t>
  </si>
  <si>
    <t>პენოპლექსი 120X60X5 სმ</t>
  </si>
  <si>
    <t>ასფალტობეტონი და ნავთობპროდუქტი</t>
  </si>
  <si>
    <t>ასფალტობეტონი მსხვილმარცვლოვანი</t>
  </si>
  <si>
    <t>ასფალტობეტონი წვრილმარცვლოვანი</t>
  </si>
  <si>
    <t>ასფალტობეტონი საშუალომარცვლოვანი</t>
  </si>
  <si>
    <t>ასფალტობეტონი წვრილმარცვლოვანი ადჰეზიური დანამატით</t>
  </si>
  <si>
    <t>ასფალტობეტონი მოდიფიცირებული ბიტუმით (SBS)</t>
  </si>
  <si>
    <t>ასფლატობეტონი ქვიშოვანი ტროტუარებისათვის</t>
  </si>
  <si>
    <t>ასფლატობეტონი ფერადი ტროტუარებისათვის</t>
  </si>
  <si>
    <t>ღორღოვან მასტიკური ასფალტი</t>
  </si>
  <si>
    <t>ღორღოვან მასტიკური ასფალტი მოდიფიცირებული ბიტუმით (SBS)</t>
  </si>
  <si>
    <t>საფუძვლისთვის სტაბილიზირებული ღორღი ( ბიტუმი 2-2,5%, ცემენტის 3-4,5%)</t>
  </si>
  <si>
    <t>მოდიფიცირებული ბიტუმი (SBS)</t>
  </si>
  <si>
    <t>ფილერი</t>
  </si>
  <si>
    <t>ბიტუმი ნავთობის</t>
  </si>
  <si>
    <t>ბიტუმის ემულსია</t>
  </si>
  <si>
    <t>მასტიკა ბიტუმ-ზეთოვანი МБ-50</t>
  </si>
  <si>
    <t>მასტიკა ბიტუმ-რეზინის, სახურავის</t>
  </si>
  <si>
    <t>მასტიკა ბიტუმ-პოლიმერული</t>
  </si>
  <si>
    <t>მაზუთი</t>
  </si>
  <si>
    <t>ბენზინი</t>
  </si>
  <si>
    <t>დიზელი</t>
  </si>
  <si>
    <t>ლ</t>
  </si>
  <si>
    <t>ლიტრი</t>
  </si>
  <si>
    <t>ძრავის ზეთი</t>
  </si>
  <si>
    <t>საპოხი მასალები</t>
  </si>
  <si>
    <t>4.2 ლაქი, საღებავი და საგრუნტი მასალები</t>
  </si>
  <si>
    <t>ხის ლაქი</t>
  </si>
  <si>
    <t>ხის ლაქი ანტისეპტიკური</t>
  </si>
  <si>
    <t>ოლიფა</t>
  </si>
  <si>
    <t>ზეთოვანი საღებავი</t>
  </si>
  <si>
    <t>ემალის საღებავი</t>
  </si>
  <si>
    <t>ასფალტის საღებავი</t>
  </si>
  <si>
    <t>წყალემულსიის საღებავი</t>
  </si>
  <si>
    <t>ანტისეპტიკური საღებავი</t>
  </si>
  <si>
    <t>საღებავი საგზაო ნიშნებისათვის</t>
  </si>
  <si>
    <t>საღებავი გზების მარკირების და პარკირებისათვის</t>
  </si>
  <si>
    <t>პიგმენტი</t>
  </si>
  <si>
    <t>ზეთოვანი საღებავის გამხსნელი</t>
  </si>
  <si>
    <t>სინტეტიკური გამხსნელი</t>
  </si>
  <si>
    <t>ნიტრო გამხსნელი</t>
  </si>
  <si>
    <t>ეპოქსიდის საფითხნი</t>
  </si>
  <si>
    <t>4.3 სამშენებლო მასალები სპეციფიკაციის გარეშე</t>
  </si>
  <si>
    <t>ქაფპლასტი, სისქით 4 სმ</t>
  </si>
  <si>
    <t>ქაფპლასტი, სისქით 5 სმ</t>
  </si>
  <si>
    <t>ზუმფარა</t>
  </si>
  <si>
    <t>4.4 პლასტმასის, პოლიმერული, გეოსინთეტიკური ნაკეთობები</t>
  </si>
  <si>
    <t>გეობადე MacGrid EG 20S</t>
  </si>
  <si>
    <t>გეობადე MacGrid EG 30S</t>
  </si>
  <si>
    <t>გეობადე MacGrid EG 40S</t>
  </si>
  <si>
    <t>გეობადე ParaGrid 200</t>
  </si>
  <si>
    <t>გეობადე ParaGrid 300</t>
  </si>
  <si>
    <t>გეობადე ParaGrid 400</t>
  </si>
  <si>
    <t>გეობადე ParaGrid 600</t>
  </si>
  <si>
    <t>გეობადე ParaGrid 1000</t>
  </si>
  <si>
    <t>გეობადე Terram 1000</t>
  </si>
  <si>
    <t>გეობადე Terram 2000</t>
  </si>
  <si>
    <t>გეოტექსტილი 250 გრ/მ²</t>
  </si>
  <si>
    <t>წყლის პოლიეთილენის ავზი 100 ლ</t>
  </si>
  <si>
    <t>წყლის პოლიეთილენის ავზი 200 ლ</t>
  </si>
  <si>
    <t>წყლის პოლიეთილენის ავზი 300 ლ</t>
  </si>
  <si>
    <t>წყლის პოლიეთილენის ავზი 400 ლ</t>
  </si>
  <si>
    <t>წყლის პოლიეთილენის ავზი 500 ლ</t>
  </si>
  <si>
    <t>წყლის პოლიეთილენის ავზი 750 ლ</t>
  </si>
  <si>
    <t>წყლის პოლიეთილენის ავზი 850 ლ</t>
  </si>
  <si>
    <t>წყლის პოლიეთილენის ავზი 1000 ლ</t>
  </si>
  <si>
    <t>წყლის პოლიეთილენის ავზი 1500 ლ</t>
  </si>
  <si>
    <t>წყლის პოლიეთილენის ავზი 2000 ლ</t>
  </si>
  <si>
    <t>წყლის პოლიეთილენის ავზი 3000 ლ</t>
  </si>
  <si>
    <t>წყლის პოლიეთილენის ავზი 4000 ლ</t>
  </si>
  <si>
    <t>4.6 ბურღვა-აფეთქების მასალები</t>
  </si>
  <si>
    <t>ამონიტი 6 ЖВ</t>
  </si>
  <si>
    <t>ელექტროდეტონატორი</t>
  </si>
  <si>
    <t>კაფსულ დეტონატორი</t>
  </si>
  <si>
    <t>ბურღის გვირგვინა d-112 მმ მყარი ფენებისათვის</t>
  </si>
  <si>
    <t>ბურღის გვირგვინა d-120,6 მმ მყარი ფენებისათვის</t>
  </si>
  <si>
    <t>ბურღის გვირგვინა d-132 მმ მყარი ფენებისათვის</t>
  </si>
  <si>
    <t>ბურღის გვირგვინა d-151 მმ მყარი ფენებისათვის</t>
  </si>
  <si>
    <t>ბურღის გვირგვინა d-171 მმ მყარი ფენებისათვის</t>
  </si>
  <si>
    <t>ბურღის გვირგვინა d-190 მმ მყარი ფენებისათვის</t>
  </si>
  <si>
    <t>ბურღის გვირგვინა d-215 მმ მყარი ფენებისათვის</t>
  </si>
  <si>
    <t>ხერხის გვირგვინი d-98 მმ საშუალო ფენებისათვის</t>
  </si>
  <si>
    <t>ხერხის გვირგვინი d-112 მმ საშუალო ფენებისათვის</t>
  </si>
  <si>
    <t>ხერხის გვირგვინი d-132 მმ საშუალო ფენებისათვის</t>
  </si>
  <si>
    <t>ხერხის გვირგვინი d-146 მმ საშუალო ფენებისათვის</t>
  </si>
  <si>
    <t>ხერხის გვირგვინი d-151 მმ საშუალო ფენებისათვის</t>
  </si>
  <si>
    <t>ხერხის გვირგვინი d-215 მმ საშუალო ფენებისათვის</t>
  </si>
  <si>
    <t>საბურღი ძელი d-50 მმ L-4500 მმ</t>
  </si>
  <si>
    <t>საბურღი ძელი d-63 მმ L-4700 მმ</t>
  </si>
  <si>
    <t>საბურღი ძელი d-90 მმ L-900 მმ</t>
  </si>
  <si>
    <t>საბურღი ძელი d-120 მმ L-1900 მმ</t>
  </si>
  <si>
    <t>საბურღი ძელი d-180 მმ L-8060 მმ</t>
  </si>
  <si>
    <t>ბურთულიანი სატეხი d-150 მმ</t>
  </si>
  <si>
    <t>ბურთულიანი სატეხი d-215 მმ</t>
  </si>
  <si>
    <t>სადეტონაციო ზონარი</t>
  </si>
  <si>
    <t>ცეცხლგამტარი ზონარი</t>
  </si>
  <si>
    <t>ემულსირებული ფეთქებადი ნივთიერება (წყალმედეგი)</t>
  </si>
  <si>
    <t>5.1 ხე-მასალა</t>
  </si>
  <si>
    <t>მრგვალი ხე (მორი)</t>
  </si>
  <si>
    <t>ხემასალა დახერხილი ნედლი წიწვოვანი სტანდარტული 6 მ-მდე</t>
  </si>
  <si>
    <t>ხემასალა დახერხილი ნედლი წიწვოვანი 3 მ-მდე</t>
  </si>
  <si>
    <t>ხემასალა დახერხილი მშრალი წიწვოვანი</t>
  </si>
  <si>
    <t>ფიცარი ჩამოგანილი წიწვოვანი, სისქით 13-16 მმ, I ხარისხის</t>
  </si>
  <si>
    <t>ფიცარი ჩამოგანილი წიწვოვანი, სისქით 13-16 მმ, II ხარისხის</t>
  </si>
  <si>
    <t>ფიცარი ჩამოგანილი წიწვოვანი, სისქით 13-16 მმ, III ხარისხის</t>
  </si>
  <si>
    <t>ფიცარი ჩამოგანილი წიწვოვანი, სისქით 19-22 მმ, I ხარისხის</t>
  </si>
  <si>
    <t>ფიცარი ჩამოგანილი წიწვოვანი, სისქით 19-22 მმ, II ხარისხის</t>
  </si>
  <si>
    <t>ფიცარი ჩამოგანილი წიწვოვანი, სისქით 19-22 მმ, III ხარისხის</t>
  </si>
  <si>
    <t>ფიცარი ჩამოგანილი წიწვოვანი, სისქით 25-32 მმ, I ხარისხის</t>
  </si>
  <si>
    <t>ფიცარი ჩამოგანილი წიწვოვანი, სისქით 25-32 მმ, II ხარისხის</t>
  </si>
  <si>
    <t>ფიცარი ჩამოგანილი წიწვოვანი, სისქით 25-32 მმ, III ხარისხის</t>
  </si>
  <si>
    <t>ფიცარი ჩამოგანილი წიწვოვანი, სისქით 40-60 მმ, I ხარისხის</t>
  </si>
  <si>
    <t>ფიცარი ჩამოგანილი წიწვოვანი, სისქით 40-60 მმ, II ხარისხის</t>
  </si>
  <si>
    <t>ფიცარი ჩამოგანილი წიწვოვანი, სისქით 40-60 მმ, III ხარისხის</t>
  </si>
  <si>
    <t>ფიცარი ჩამოგანილი წიწვოვანი, სისქით 70 მმ, I ხარისხის</t>
  </si>
  <si>
    <t>ფიცარი ჩამოგანილი წიწვოვანი, სისქით 70 მმ, II ხარისხის</t>
  </si>
  <si>
    <t>ფიცარი ჩამოგანილი წიწვოვანი, სისქით 70 მმ, III ხარისხის</t>
  </si>
  <si>
    <t>ფიცარი ჩამოუგანავი წიწვოვანი, სისქით 13-16 მმ, II ხარისხის</t>
  </si>
  <si>
    <t>ფიცარი ჩამოუგანავი წიწვოვანი, სისქით 13-16 მმ, III ხარისხის</t>
  </si>
  <si>
    <t>ფიცარი ჩამოუგანავი წიწვოვანი, სისქით 19-22 მმ, II ხარისხის</t>
  </si>
  <si>
    <t>ფიცარი ჩამოუგანავი წიწვოვანი, სისქით 19-22 მმ, III ხარისხის</t>
  </si>
  <si>
    <t>ფიცარი ჩამოუგანავი წიწვოვანი, სისქით 25-32 მმ, II ხარისხის</t>
  </si>
  <si>
    <t>ფიცარი ჩამოუგანავი წიწვოვანი, სისქით 25-32 მმ, III ხარისხის</t>
  </si>
  <si>
    <t>ფიცარი ჩამოუგანავი წიწვოვანი, სისქით 40-60 მმ, II ხარისხის</t>
  </si>
  <si>
    <t>ფიცარი ჩამოუგანავი წიწვოვანი, სისქით 40-60 მმ, III ხარისხის</t>
  </si>
  <si>
    <t>ფიცარი ჩამოუგანავი წიწვოვანი, სისქით 70 მმ, II ხარისხის</t>
  </si>
  <si>
    <t>ფიცარი ჩამოუგანავი წიწვოვანი, სისქით 70 მმ, III ხარისხის</t>
  </si>
  <si>
    <t>ხემასალა დახერხილი "შიპით"</t>
  </si>
  <si>
    <t>ხის ძელი</t>
  </si>
  <si>
    <t>დაპრესილი ხის ფილა OSB ნესტგამძლე 2500X1250X9 მმ</t>
  </si>
  <si>
    <t>დაპრესილი ხის ფილა OSB ნესტგამძლე 2500X1250X12 მმ</t>
  </si>
  <si>
    <t>დაპრესილი ხის ფილა OSB ნესტგამძლე 2500X1250X15 მმ</t>
  </si>
  <si>
    <t>დაპრესილი ხის ფილა OSB ნესტგამძლე 2500X1250X18 მმ</t>
  </si>
  <si>
    <t>კვადრატის ზომის ფანერა შეწებებული 1525X1525X3 მმ</t>
  </si>
  <si>
    <t>კვადრატის ზომის ფანერა შეწებებული 1525X1525X4 მმ</t>
  </si>
  <si>
    <t>კვადრატის ზომის ფანერა შეწებებული 1525X1525X5 მმ</t>
  </si>
  <si>
    <t>კვადრატის ზომის ფანერა შეწებებული 1525X1525X6 მმ</t>
  </si>
  <si>
    <t>კვადრატის ზომის ფანერა შეწებებული 1525X1525X8 მმ</t>
  </si>
  <si>
    <t>კვადრატის ზომის ფანერა შეწებებული 1525X1525X9 მმ</t>
  </si>
  <si>
    <t>კვადრატის ზომის ფანერა შეწებებული 1525X1525X10 მმ</t>
  </si>
  <si>
    <t>კვადრატის ზომის ფანერა შეწებებული 1525X1525X12 მმ</t>
  </si>
  <si>
    <t>კვადრატის ზომის ფანერა შეწებებული 1525X1525X15 მმ</t>
  </si>
  <si>
    <t>კვადრატის ზომის ფანერა შეწებებული 1525X1525X18 მმ</t>
  </si>
  <si>
    <t>კვადრატის ზომის ფანერა შეწებებული 1525X1525X21 მმ</t>
  </si>
  <si>
    <t>ფარი ფიცრის, ყალიბის 25-40 მმ</t>
  </si>
  <si>
    <t>11.2 საგზაო ნიშნები</t>
  </si>
  <si>
    <t>მაფრთხილებელი ნათურა მზის სხივის ეფექტით 90X235X90 მმ</t>
  </si>
  <si>
    <t>ავტოსაგზაო ღილაკი მანათობელით 105X105X20 მმ</t>
  </si>
  <si>
    <t>რეზინის გზის შასი "ბუგოროკი" 1000X250X45 მმ</t>
  </si>
  <si>
    <t>შემოსაღობი დრეკადი ბოძი "ბოძკინტი" 45 სმ</t>
  </si>
  <si>
    <t>შემოსაღობი დრეკადი ბოძი "ბოძკინტი" 75 სმ</t>
  </si>
  <si>
    <t>მოძრაობის უსაფრთხოების სარკე</t>
  </si>
  <si>
    <t>მედიანური გამყოფი ბოძები h-0,5 მ</t>
  </si>
  <si>
    <t>კონუსური მაფრთხილებელი მოციმციმე თვალით</t>
  </si>
  <si>
    <t>საგზაო ასაწყობი ღობე 2660X1100 მმ</t>
  </si>
  <si>
    <t>ფერადი პლასტმასის ჯაჭვი 25 მ</t>
  </si>
  <si>
    <t>პლასტმასის საგზაო ნიშნები</t>
  </si>
  <si>
    <t>მ</t>
  </si>
  <si>
    <t>გასაშლელი მაფრთხილებელი ნიშნები 245X620 მმ</t>
  </si>
  <si>
    <t>პლასტმასის ფარდა ბადე h-1,0 მ, L-50 მ</t>
  </si>
  <si>
    <t>მარშრუტის ბარიერი h-0,93 მ</t>
  </si>
  <si>
    <t>რულ</t>
  </si>
  <si>
    <r>
      <t>მზის ენერგიაზე მომუშავე შუქნიშანი d-200</t>
    </r>
    <r>
      <rPr>
        <sz val="14"/>
        <color theme="1"/>
        <rFont val="Calibri"/>
        <family val="2"/>
      </rPr>
      <t>÷</t>
    </r>
    <r>
      <rPr>
        <sz val="14"/>
        <color theme="1"/>
        <rFont val="Sylfaen"/>
        <family val="1"/>
      </rPr>
      <t>300 მმ</t>
    </r>
  </si>
  <si>
    <r>
      <t>ამწე-მილჩამწყობი d-250</t>
    </r>
    <r>
      <rPr>
        <sz val="14"/>
        <color theme="1"/>
        <rFont val="Calibri"/>
        <family val="2"/>
      </rPr>
      <t>÷</t>
    </r>
    <r>
      <rPr>
        <sz val="14"/>
        <color theme="1"/>
        <rFont val="Sylfaen"/>
        <family val="1"/>
      </rPr>
      <t>500 მმ-მდე</t>
    </r>
  </si>
  <si>
    <r>
      <t>ამწე-მილჩამწყობი d-600</t>
    </r>
    <r>
      <rPr>
        <sz val="14"/>
        <color theme="1"/>
        <rFont val="Calibri"/>
        <family val="2"/>
      </rPr>
      <t>÷9</t>
    </r>
    <r>
      <rPr>
        <sz val="14"/>
        <color theme="1"/>
        <rFont val="Sylfaen"/>
        <family val="1"/>
      </rPr>
      <t>00 მმ-მდე</t>
    </r>
  </si>
  <si>
    <t>მიწის სამუშაოები</t>
  </si>
  <si>
    <t>სამთო სამუშაოები</t>
  </si>
  <si>
    <t>ბურღვა-აფეთქებითი სამუშაოები</t>
  </si>
  <si>
    <t>ჭაბურღილები</t>
  </si>
  <si>
    <t>ხიმინჯები</t>
  </si>
  <si>
    <t>ბეტონის და რკინაბეტონის სამუშაოები</t>
  </si>
  <si>
    <t>ბეტონის და რკინაბეტონის ანაკრები კონსტრუქციები</t>
  </si>
  <si>
    <t>1 კაც/სთ</t>
  </si>
  <si>
    <t>აგურის და ბლოკის კონსტრუქციები</t>
  </si>
  <si>
    <t>ლითონის კონსტრუქციები</t>
  </si>
  <si>
    <t>ხის კონსტრუქციები</t>
  </si>
  <si>
    <t>იატაკები</t>
  </si>
  <si>
    <t>სახურავი</t>
  </si>
  <si>
    <t>კონსტრუქციების დაცვა კოროზიისგან</t>
  </si>
  <si>
    <t>კონსტრუქციები სოფლის მეურნეობაში</t>
  </si>
  <si>
    <t>მოსაპირკეთებელი სამუშაოები</t>
  </si>
  <si>
    <t>შიდა მილგაყვანილობა</t>
  </si>
  <si>
    <t>შიდა წყალსადენ-კანალიზაციის ქსელი</t>
  </si>
  <si>
    <t>გათბობის შიდა ქსელი</t>
  </si>
  <si>
    <t>გაზმომარაგება შიდა ქსელი</t>
  </si>
  <si>
    <t>ჰაერის ვენტილაცია და კონდიცირება</t>
  </si>
  <si>
    <t>განათება</t>
  </si>
  <si>
    <t>წყალსადენი გარე ქსელი</t>
  </si>
  <si>
    <t>კანალიზაცია გარე ქსელი</t>
  </si>
  <si>
    <t>თბო და გაზმომარაგების გარე ქსელი</t>
  </si>
  <si>
    <t>გაზის და ნავთობპროდუქტების გარე ქსელი</t>
  </si>
  <si>
    <t>თბოსაიზოლაციო სამუშაოები</t>
  </si>
  <si>
    <t>საავტომობილო გზები</t>
  </si>
  <si>
    <t>რკინიგზა</t>
  </si>
  <si>
    <t>გვირაბები და მეტროპოლიტენები</t>
  </si>
  <si>
    <t>ხიდები და მილები</t>
  </si>
  <si>
    <t>აეროდრომები</t>
  </si>
  <si>
    <t>ტრამვაის ლიანდაგები</t>
  </si>
  <si>
    <t>ელექტროგადამცემი ხაზები</t>
  </si>
  <si>
    <t>კავშირგაბმულობის ნაგებობები, ტელევიზია</t>
  </si>
  <si>
    <t>მიწის სამუშაოები ჰიდროტექნიკურ ნაგებობებში</t>
  </si>
  <si>
    <t>ბეტონის სამუშაოები ჰიდროტექნიკურ ნაგებობებში</t>
  </si>
  <si>
    <t>ქვის კონსტრუქცია ჰიდროტექნიკურ ნაგებობებში</t>
  </si>
  <si>
    <t>ლითონის კონსტრუქცია ჰიდროტექნიკურ ნაგებობებში</t>
  </si>
  <si>
    <t>ხის კონსტრუქცია ჰიდროტექნიკურ ნაგებობებში</t>
  </si>
  <si>
    <t>ჰიდროიზოლაცია სამუშაოები ჰიდროტექნიკურ ნაგებობეში</t>
  </si>
  <si>
    <t>ნაპირსამაგრი სამუშაოები</t>
  </si>
  <si>
    <t>სანაოსნო გზები და გემხარისხი</t>
  </si>
  <si>
    <t>წყალქვეშა მშენებლობა საყვინთაო სამუშაოები</t>
  </si>
  <si>
    <t>საწარმოო ფეჩები და მილები</t>
  </si>
  <si>
    <t>შენობების და ნაგებობების რეკონსტრუქცია</t>
  </si>
  <si>
    <t>დროებითი ასაწყობი შენობები და ნაგებობები</t>
  </si>
  <si>
    <t>გამწვანება</t>
  </si>
  <si>
    <t>გაზის და ნავთობის ჭაბურღილები</t>
  </si>
  <si>
    <t>გაზის და ნავთობის ჭაბურღილები ზღვის პირობებში</t>
  </si>
  <si>
    <t>ნორმატიული</t>
  </si>
  <si>
    <t>სხვა მანქანები</t>
  </si>
  <si>
    <t>Cross Line</t>
  </si>
  <si>
    <t>საშ.</t>
  </si>
  <si>
    <t>მონაცემთა ბაზა</t>
  </si>
  <si>
    <t>სამუშაოებისა და მასალების დასახელება</t>
  </si>
  <si>
    <t>მასალა</t>
  </si>
  <si>
    <t>ხელფასი</t>
  </si>
  <si>
    <t>მანქანა/მექანიზმი</t>
  </si>
  <si>
    <t xml:space="preserve">სულ </t>
  </si>
  <si>
    <t>ნორმა</t>
  </si>
  <si>
    <t>ერთ.</t>
  </si>
  <si>
    <t>რაოდენობა</t>
  </si>
  <si>
    <t xml:space="preserve">ჯამი </t>
  </si>
  <si>
    <t xml:space="preserve">ფასი </t>
  </si>
  <si>
    <t>1.1.1</t>
  </si>
  <si>
    <t>შრომითი დანახარჯები</t>
  </si>
  <si>
    <t>კაც/სთ</t>
  </si>
  <si>
    <t>1.1.2</t>
  </si>
  <si>
    <t>მანქ/სთ</t>
  </si>
  <si>
    <t>1.1.3</t>
  </si>
  <si>
    <r>
      <t>მ</t>
    </r>
    <r>
      <rPr>
        <sz val="16"/>
        <color theme="1"/>
        <rFont val="Sylfaen"/>
        <family val="1"/>
      </rPr>
      <t>³</t>
    </r>
  </si>
  <si>
    <t>1.1.4</t>
  </si>
  <si>
    <t>ს.რ.ფ</t>
  </si>
  <si>
    <t>სხვა მასალები</t>
  </si>
  <si>
    <t>ექსკავატორი 0,5 მ³ მუხლუხა სვლაზე სხვა სახის მშენებლობაზე</t>
  </si>
  <si>
    <t>მბ</t>
  </si>
  <si>
    <t>აბ</t>
  </si>
  <si>
    <t>ას</t>
  </si>
  <si>
    <t>სხ</t>
  </si>
  <si>
    <t>ინ</t>
  </si>
  <si>
    <t>ხმ</t>
  </si>
  <si>
    <t>კოდი</t>
  </si>
  <si>
    <t>მე-3 კატეგორიის გრუნტის ფენის დამუშავება მანქანა/მექანიზმებით</t>
  </si>
  <si>
    <t>1-17-3</t>
  </si>
  <si>
    <t xml:space="preserve">მე-3 კატეგორიის გრუნტის დამუშავება და დატვირთვა ექსკავატორით ავტოთვითმცლელზე </t>
  </si>
  <si>
    <t>მ.ც</t>
  </si>
  <si>
    <t>მე-3 კატეგორიის გრუნტის დამუშავება ნაყარში</t>
  </si>
  <si>
    <t>მე-4 კატეგორიის გრუნტის დამუშავება ნაყარში</t>
  </si>
  <si>
    <t>27-7-2</t>
  </si>
  <si>
    <t>წყალი</t>
  </si>
  <si>
    <t>საბ.</t>
  </si>
  <si>
    <t>1.1.5</t>
  </si>
  <si>
    <t>1.1.6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</si>
  <si>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</si>
  <si>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</si>
  <si>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</si>
  <si>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</si>
  <si>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</si>
  <si>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</si>
  <si>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</si>
  <si>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</si>
  <si>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</si>
  <si>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საფუძვლის ფენის მოწყობა ფრაქციული ღორღით (ფრ. 0-40მმ),  სისქით 20 სმ.</t>
  </si>
  <si>
    <t>თხევადი ბიტუმის მოსხმა</t>
  </si>
  <si>
    <t>27-63-1</t>
  </si>
  <si>
    <t>1.3.1</t>
  </si>
  <si>
    <t>1.3.2</t>
  </si>
  <si>
    <r>
      <t>1000 მ</t>
    </r>
    <r>
      <rPr>
        <b/>
        <sz val="16"/>
        <color theme="1"/>
        <rFont val="Sylfaen"/>
        <family val="1"/>
      </rPr>
      <t>²</t>
    </r>
  </si>
  <si>
    <r>
      <t>100 მ</t>
    </r>
    <r>
      <rPr>
        <b/>
        <sz val="16"/>
        <color theme="1"/>
        <rFont val="Sylfaen"/>
        <family val="1"/>
      </rPr>
      <t>³</t>
    </r>
  </si>
  <si>
    <r>
      <t>1000 მ</t>
    </r>
    <r>
      <rPr>
        <b/>
        <sz val="16"/>
        <color theme="1"/>
        <rFont val="Sylfaen"/>
        <family val="1"/>
      </rPr>
      <t>³</t>
    </r>
  </si>
  <si>
    <t>1.4.1</t>
  </si>
  <si>
    <t>1.4.2</t>
  </si>
  <si>
    <t>1.4.3</t>
  </si>
  <si>
    <t>1.4.4</t>
  </si>
  <si>
    <t>1.4.5</t>
  </si>
  <si>
    <t>1.4.6</t>
  </si>
  <si>
    <t>1.4.7</t>
  </si>
  <si>
    <r>
      <t>1000 მ</t>
    </r>
    <r>
      <rPr>
        <b/>
        <sz val="16"/>
        <color theme="1"/>
        <rFont val="Sylfaen"/>
        <family val="1"/>
      </rPr>
      <t>²</t>
    </r>
    <r>
      <rPr>
        <b/>
        <sz val="14"/>
        <color theme="1"/>
        <rFont val="Sylfaen"/>
        <family val="1"/>
      </rPr>
      <t xml:space="preserve"> </t>
    </r>
  </si>
  <si>
    <t>საფარის ქვედა ფენის მოწყობა  მსხვილმარცვლოვანი ფოროვანი ღორღოვანი ასფალტობეტონის ცხელი ნარევით, მარკა II, სისქით 6 სმ.</t>
  </si>
  <si>
    <t>1.3.3</t>
  </si>
  <si>
    <t>1.3.4</t>
  </si>
  <si>
    <t>1.3.5</t>
  </si>
  <si>
    <t>1.5.1</t>
  </si>
  <si>
    <t>1.5.2</t>
  </si>
  <si>
    <t>1.5.3</t>
  </si>
  <si>
    <t>1.5.4</t>
  </si>
  <si>
    <t>1.5.5</t>
  </si>
  <si>
    <t>1.5.6</t>
  </si>
  <si>
    <t>მისაყრელი გვერდულების მოწყობა ქვიშა-ხრეშოვანი ნარევით</t>
  </si>
  <si>
    <t>1.1.7</t>
  </si>
  <si>
    <t>1.1.8</t>
  </si>
  <si>
    <t>1.1.9</t>
  </si>
  <si>
    <t>1.1.10</t>
  </si>
  <si>
    <t>1.1.11</t>
  </si>
  <si>
    <t>ასფალტობეტონის საფარის დემონტაჟი სანგრევი ჩაქუჩებით</t>
  </si>
  <si>
    <t>27-9-4</t>
  </si>
  <si>
    <t>ასფალტობეტონის საფარის დაშლა ცივი ფრეზირების მეთოდით, დოლის სიგანით 2000მმ, საშუალო სისქე 9 მმ-მდე</t>
  </si>
  <si>
    <r>
      <t>100 მ</t>
    </r>
    <r>
      <rPr>
        <b/>
        <sz val="16"/>
        <color theme="1"/>
        <rFont val="Sylfaen"/>
        <family val="1"/>
      </rPr>
      <t>²</t>
    </r>
  </si>
  <si>
    <t xml:space="preserve">მოსახერხებელი ტვირთის დატვირთვა ავტოთვითმცლელზე ხელით </t>
  </si>
  <si>
    <t xml:space="preserve">მოუხერხებელი  ტვირთის დატვირთვა ავტოთვითმცლელზე ხელით </t>
  </si>
  <si>
    <t xml:space="preserve">ბეტონის ნაკეთობების ტვირთის დატვირთვა ავტოთვითმცლელზე ხელით </t>
  </si>
  <si>
    <t xml:space="preserve">27-03-009-04  ГЭСН </t>
  </si>
  <si>
    <t xml:space="preserve">1-22-1 Енир </t>
  </si>
  <si>
    <t xml:space="preserve">1-22-2 Енир </t>
  </si>
  <si>
    <t xml:space="preserve">1-22-3 Енир </t>
  </si>
  <si>
    <t>კრებისთი ხარჯთაღრიცხვა</t>
  </si>
  <si>
    <t>%</t>
  </si>
  <si>
    <t>სამშენებლო მასალების ღირებულება, სულ</t>
  </si>
  <si>
    <t>შრომის ანაზღაურება, სულ</t>
  </si>
  <si>
    <t>მანქანა/მექანიზმის ღირებულება, სულ</t>
  </si>
  <si>
    <t>სახარჯთაღრიცხვო ღირებულება, სულ</t>
  </si>
  <si>
    <t>1-1</t>
  </si>
  <si>
    <t>2-1</t>
  </si>
  <si>
    <t>3-1</t>
  </si>
  <si>
    <t>4-1</t>
  </si>
  <si>
    <t>ჯამი</t>
  </si>
  <si>
    <t>გაუთვალისწინებელი ხარჯები</t>
  </si>
  <si>
    <t>დ.ღ.გ</t>
  </si>
  <si>
    <t>მექანიზმი/ტრანსპორტი</t>
  </si>
  <si>
    <t>ტრასის აღდგენა და გამაგრება</t>
  </si>
  <si>
    <t>კმ</t>
  </si>
  <si>
    <t>კვლევა-ძიების კრებული ცხრ-114-2/5 კ=0.85</t>
  </si>
  <si>
    <t>ზედნადები ხარჯები</t>
  </si>
  <si>
    <t>გეგმიური დაგროვება</t>
  </si>
  <si>
    <t>საგზაო სამოსის მოწყობა</t>
  </si>
  <si>
    <t>ავტოთვითსაცლელი 12 ტ სამთო სამუშაოებისათვის</t>
  </si>
  <si>
    <t>ავტოთვითსაცლელი 18 ტ სამთო სამუშაოებისათვის</t>
  </si>
  <si>
    <t>ავტოთვითსაცლელი 27 ტ სამთო სამუშაოებისათვის</t>
  </si>
  <si>
    <t>ავტოთვითსაცლელი 40 ტ სამთო სამუშაოებისათვის</t>
  </si>
  <si>
    <t>ავტოთვითსაცლელი 75 ტ სამთო სამუშაოებისათვის</t>
  </si>
  <si>
    <t>ავტოთვითსაცლელი 180 ტ სამთო სამუშაოებისათვის</t>
  </si>
  <si>
    <t>ავტოთვითსაცლელი 7 ტ სხვა სახის მშენებლობისათვის</t>
  </si>
  <si>
    <t>ავტოთვითსაცლელი 10 ტ სხვა სახის მშენებლობისათვის</t>
  </si>
  <si>
    <t>ავტოთვითსაცლელი 15 ტ სხვა სახის მშენებლობისათვის</t>
  </si>
  <si>
    <t>ავტოთვითსაცლელი 30 ტ სხვა სახის მშენებლობისათვის</t>
  </si>
  <si>
    <t>ავტოთვითსაცლელი 42 ტ სხვა სახის მშენებლობისათვის</t>
  </si>
  <si>
    <t>ქვესაგები ფენის მოწყობა ქვიშახრეშოვანი ნარევით</t>
  </si>
  <si>
    <t>1.6.1</t>
  </si>
  <si>
    <t>1.6.2</t>
  </si>
  <si>
    <t>1.6.3</t>
  </si>
  <si>
    <t>1.6.4</t>
  </si>
  <si>
    <t>საფარის ზედა ფენის მოწყობა  წვრილმარცვლოვანი მკვრივი ღორღოვანი ასფალტობეტონის ცხელი ნარევით, მარკა II, სისქით 4 სმ.</t>
  </si>
  <si>
    <t>ბეტონის ბორდიურის მოწყობა, ზომით 150X300 მმ</t>
  </si>
  <si>
    <t xml:space="preserve">100 მ </t>
  </si>
  <si>
    <t>27-19-1</t>
  </si>
  <si>
    <t>ბაზალტის ბორდიურის მოწყობა, ზომით 150X300 მმ</t>
  </si>
  <si>
    <t>27-19-3</t>
  </si>
  <si>
    <t>8-3-2</t>
  </si>
  <si>
    <r>
      <t>მ</t>
    </r>
    <r>
      <rPr>
        <b/>
        <sz val="16"/>
        <color theme="1"/>
        <rFont val="Sylfaen"/>
        <family val="1"/>
      </rPr>
      <t>³</t>
    </r>
  </si>
  <si>
    <t>ქვიშა-ხრეშოვანი ქვესაგები ფენის მოწყობა, სისქით 10 სმ</t>
  </si>
  <si>
    <t>სასაქონლო ბეტონი მძიმე (ღორღის) F200, W6, M75, B-7</t>
  </si>
  <si>
    <t>სასაქონლო ბეტონი მძიმე (ღორღის) F200, W6, B-7,5</t>
  </si>
  <si>
    <t>სასაქონლო ბეტონი მძიმე (ღორღის) F200, W6, B-10</t>
  </si>
  <si>
    <t>სასაქონლო ბეტონი მძიმე (ღორღის) F200, W6, B-15</t>
  </si>
  <si>
    <t>სასაქონლო ბეტონი მძიმე (ღორღის) F200, W6, B-18,5</t>
  </si>
  <si>
    <t>სასაქონლო ბეტონი მძიმე (ღორღის) F200, W6, B-22,5</t>
  </si>
  <si>
    <t>სასაქონლო ბეტონი მძიმე (ღორღის) F200, W6, B-25</t>
  </si>
  <si>
    <t>სასაქონლო ბეტონი მძიმე (ღორღის) F200, W6, B-30</t>
  </si>
  <si>
    <t>სასაქონლო ბეტონი მძიმე (ღორღის), F200, W6, B-35</t>
  </si>
  <si>
    <t>სასაქონლო ბეტონი მძიმე (ღორღის) F200, W6, B-40</t>
  </si>
  <si>
    <t>6-1-1</t>
  </si>
  <si>
    <t>ბეტონის ფუნდამენტის(საგების) მოწყობა</t>
  </si>
  <si>
    <t>ბეტონის ბორდიური კვეთით 30X15 სმ</t>
  </si>
  <si>
    <t>ბეტონის ბორდიური კვეთით 23X12 სმ</t>
  </si>
  <si>
    <t>100 მ</t>
  </si>
  <si>
    <t xml:space="preserve">27-50-2                    </t>
  </si>
  <si>
    <t>პარაპეტის მოწყობა მონოლითური ბეტონით, ზომით 32.5X32.5 სმ</t>
  </si>
  <si>
    <r>
      <rPr>
        <sz val="14"/>
        <color theme="1"/>
        <rFont val="Sylfaen"/>
        <family val="1"/>
      </rPr>
      <t>მ</t>
    </r>
    <r>
      <rPr>
        <sz val="16"/>
        <color theme="1"/>
        <rFont val="Sylfaen"/>
        <family val="1"/>
      </rPr>
      <t>²</t>
    </r>
  </si>
  <si>
    <t xml:space="preserve">ქვაფენილის მოწყობა გრანიტის ძელურით, ღრეჩოების შევსება ქვიშა-ცემენტის ხნარით </t>
  </si>
  <si>
    <t>27-20-3</t>
  </si>
  <si>
    <r>
      <t>მ</t>
    </r>
    <r>
      <rPr>
        <sz val="16"/>
        <color theme="1"/>
        <rFont val="Sylfaen"/>
        <family val="1"/>
      </rPr>
      <t>²</t>
    </r>
    <r>
      <rPr>
        <sz val="14"/>
        <color theme="1"/>
        <rFont val="Sylfaen"/>
        <family val="1"/>
      </rPr>
      <t xml:space="preserve"> </t>
    </r>
  </si>
  <si>
    <t>გრანიტის ძელურა</t>
  </si>
  <si>
    <t>ხელოვნური ფილა იატაკის მიწაზე დასაგები</t>
  </si>
  <si>
    <t>1.10.1</t>
  </si>
  <si>
    <t>1.11.1</t>
  </si>
  <si>
    <t>1.9.2</t>
  </si>
  <si>
    <t>მიწის ვაკისი</t>
  </si>
  <si>
    <t>თხრილისა და კედლისუკანა სივრცის შევსება ხრეშოვანი გრუნტით</t>
  </si>
  <si>
    <t>1-31-6</t>
  </si>
  <si>
    <t>მე-3 კატეგორიის გრუნტის დამუშავება ხელით</t>
  </si>
  <si>
    <t xml:space="preserve">გრუნტის დატვირთვა ავტოთვითმცლელზე ხელით </t>
  </si>
  <si>
    <t>რ/ბ  კიუვეტების დამზადება და მონტაჟი</t>
  </si>
  <si>
    <t>7-25-5</t>
  </si>
  <si>
    <t>საპრ.</t>
  </si>
  <si>
    <t>1-81-3</t>
  </si>
  <si>
    <t>1.8.1</t>
  </si>
  <si>
    <t>1.8.2</t>
  </si>
  <si>
    <t>1-118-11</t>
  </si>
  <si>
    <t>პნევმატური დამტკეპნი მომუშავე მოძრავ კომპრესორზე</t>
  </si>
  <si>
    <t>15-50-1</t>
  </si>
  <si>
    <t>ტუმბო სამშნებლო ხსნარისათვის 4-6 კუბ.მ/სთ</t>
  </si>
  <si>
    <t>არსებული მილების სათავისების შელესვა ქვიშა-ცემენტის ხსნარით, 22,1 მ3</t>
  </si>
  <si>
    <t>ნაკერების საჭრელი</t>
  </si>
  <si>
    <t>27-28-1</t>
  </si>
  <si>
    <t>ნაწიბურების ჩაჭრა ხერხით (ახალი და ძველი ასფალტბეტონის გადაბმის ადგილზე)</t>
  </si>
  <si>
    <t>1.8.3</t>
  </si>
  <si>
    <t>1.8.4</t>
  </si>
  <si>
    <t>27-42-1</t>
  </si>
  <si>
    <r>
      <t>100 მ</t>
    </r>
    <r>
      <rPr>
        <b/>
        <sz val="16"/>
        <color theme="1"/>
        <rFont val="Sylfaen"/>
        <family val="1"/>
      </rPr>
      <t>²</t>
    </r>
    <r>
      <rPr>
        <b/>
        <sz val="14"/>
        <color theme="1"/>
        <rFont val="Sylfaen"/>
        <family val="1"/>
      </rPr>
      <t xml:space="preserve"> </t>
    </r>
  </si>
  <si>
    <t>არსებული საკომუნიკაციო ჭების მოყვანა საპროექტო ნიშნულზე ბეტონის საფუძველზე</t>
  </si>
  <si>
    <t>1 ც</t>
  </si>
  <si>
    <t>საბაზრო</t>
  </si>
  <si>
    <t>სხვა</t>
  </si>
  <si>
    <t>1000 მ</t>
  </si>
  <si>
    <t>ბიტუმის წასაცხები ჰიდროიზოლაციის მოწყობა, 2 ფენა</t>
  </si>
  <si>
    <t>30-51-3</t>
  </si>
  <si>
    <t>სათავისების ბეტონის (ძირის, ტანის) მოწყობა</t>
  </si>
  <si>
    <t xml:space="preserve">37-64-4                 </t>
  </si>
  <si>
    <r>
      <t xml:space="preserve"> მ</t>
    </r>
    <r>
      <rPr>
        <sz val="16"/>
        <color theme="1"/>
        <rFont val="Sylfaen"/>
        <family val="1"/>
      </rPr>
      <t>³</t>
    </r>
  </si>
  <si>
    <t>ჩასატანებელი დეტალები</t>
  </si>
  <si>
    <t>სტანდარტული საგზაო ნიშნის დაყენება ლითონის დგარებზე, 1 საყრდენზე</t>
  </si>
  <si>
    <t>100 ც</t>
  </si>
  <si>
    <t>27-46-3                   27-47</t>
  </si>
  <si>
    <t>საგზაო ნიშანი შუქამრეკლი I და II ტიპიური ზომის, დაფარული მაღალი ინტენსივობის პრიზმულ-ოპტიკური IV კლასის ფირით, ზომით 700X700X700 მმ</t>
  </si>
  <si>
    <t>საგზაო ნიშანი შუქამრეკლი I და II ტიპიური ზომის, დაფარული მაღალი ინტენსივობის პრიზმულ-ოპტიკური IV კლასის ფირით, ზომით d=600 მმ</t>
  </si>
  <si>
    <t>საგზაო ნიშანი შუქამრეკლი I და II ტიპიური ზომის, დაფარული მაღალი ინტენსივობის პრიზმულ-ოპტიკური IV კლასის ფირით, ზომით 600X600 მმ</t>
  </si>
  <si>
    <t>საგზაო ნიშანი შუქამრეკლი I და II ტიპიური ზომის, დაფარული მაღალი ინტენსივობის პრიზმულ-ოპტიკური IV კლასის ფირით, ზომით 300X600 მმ</t>
  </si>
  <si>
    <t>1.1.12</t>
  </si>
  <si>
    <t>ლითონის დგარი სიგრძით 2.5 მ</t>
  </si>
  <si>
    <t>1.1.13</t>
  </si>
  <si>
    <t>ლითონის დგარი სიგრძით 3.5 მ</t>
  </si>
  <si>
    <t>1.1.14</t>
  </si>
  <si>
    <t>1.1.15</t>
  </si>
  <si>
    <t>ამწე საბურღი</t>
  </si>
  <si>
    <t>ლითონის დგარი სიგრძით 4.0 მ</t>
  </si>
  <si>
    <t>1.1.16</t>
  </si>
  <si>
    <t>საგზაო ნიშანი შუქამრეკლი I და II ტიპიური ზომის, დაფარული მაღალი ინტენსივობის პრიზმულ-ოპტიკური IV კლასის ფირით, ზომით 500X560 მმ</t>
  </si>
  <si>
    <t xml:space="preserve">შრომითი დანახარჯები 141 ც დამატებითი ნიშნების მოსაწყობად </t>
  </si>
  <si>
    <t>მარკირების მანქანა</t>
  </si>
  <si>
    <t>რკინაბეტონის ანაკრები პარაპეტის მოწყობა</t>
  </si>
  <si>
    <t>27-50-1</t>
  </si>
  <si>
    <t>Наименование элементов затрат</t>
  </si>
  <si>
    <t>Единица измерения</t>
  </si>
  <si>
    <t>1-22</t>
  </si>
  <si>
    <t>0,65</t>
  </si>
  <si>
    <t>0,5</t>
  </si>
  <si>
    <t>Группа грунтов</t>
  </si>
  <si>
    <t>1. Затраты труда</t>
  </si>
  <si>
    <t>чел.-ч</t>
  </si>
  <si>
    <t>2. Заработная плата</t>
  </si>
  <si>
    <t>руб.</t>
  </si>
  <si>
    <t>3. Экскаваторы</t>
  </si>
  <si>
    <t>маш.-ч</t>
  </si>
  <si>
    <t>4. Прочие машины</t>
  </si>
  <si>
    <t>5. Щебень</t>
  </si>
  <si>
    <r>
      <t>м</t>
    </r>
    <r>
      <rPr>
        <vertAlign val="superscript"/>
        <sz val="8"/>
        <color rgb="FF000000"/>
        <rFont val="Times New Roman"/>
        <family val="1"/>
      </rPr>
      <t>3</t>
    </r>
  </si>
  <si>
    <t>1,0</t>
  </si>
  <si>
    <t>I</t>
  </si>
  <si>
    <t>IV</t>
  </si>
  <si>
    <t>3. Бульдозеры 79 кВт (108 л.с.)</t>
  </si>
  <si>
    <t>1-25</t>
  </si>
  <si>
    <t>Траншеи</t>
  </si>
  <si>
    <t>Ямы</t>
  </si>
  <si>
    <t>II</t>
  </si>
  <si>
    <t>III</t>
  </si>
  <si>
    <t>62,3</t>
  </si>
  <si>
    <t>74,5</t>
  </si>
  <si>
    <t>85,3</t>
  </si>
  <si>
    <t>1-80</t>
  </si>
  <si>
    <t>30-11-2</t>
  </si>
  <si>
    <t>ბეტონის ელემენტების დაშლა სანგრევი ჩაქუჩებით</t>
  </si>
  <si>
    <t>მე-5 კატეგორიის გრუნტის დამუშავება სანგრევი ჩაქუჩებით</t>
  </si>
  <si>
    <t xml:space="preserve"> გრუნტის დატკეპნა ფენებად</t>
  </si>
  <si>
    <t>1-118-1</t>
  </si>
  <si>
    <t>23-1-2</t>
  </si>
  <si>
    <t>ხრეშოვანი ქვესაგები ფენის მოწყობა მილების ქვეშ</t>
  </si>
  <si>
    <t xml:space="preserve">23-01-030-03  ГЭСН  </t>
  </si>
  <si>
    <t>დიდი დიამეტრის პოლიეთილენის მილების შესადუღებელი აპარატი</t>
  </si>
  <si>
    <t>2.2 პლასტმასის მილები</t>
  </si>
  <si>
    <t>კანალიზაციის გოფრირებული მილი DIZAYN d-100 მმ SN-4</t>
  </si>
  <si>
    <t>კანალიზაციის გოფრირებული მილი DIZAYN d-100 მმ SN-8</t>
  </si>
  <si>
    <t>კანალიზაციის გოფრირებული მილი DIZAYN d-150 მმ SN-4</t>
  </si>
  <si>
    <t>კანალიზაციის გოფრირებული მილი DIZAYN d-150 მმ SN-8</t>
  </si>
  <si>
    <t>კანალიზაციის გოფრირებული მილი DIZAYN d-200 მმ SN-4</t>
  </si>
  <si>
    <t>კანალიზაციის გოფრირებული მილი DIZAYN d-200 მმ SN-8</t>
  </si>
  <si>
    <t>კანალიზაციის გოფრირებული მილი DIZAYN d-250 მმ SN-4</t>
  </si>
  <si>
    <t>კანალიზაციის გოფრირებული მილი DIZAYN d-250 მმ SN-8</t>
  </si>
  <si>
    <t>კანალიზაციის გოფრირებული მილი DIZAYN d-300 მმ SN-4</t>
  </si>
  <si>
    <t>კანალიზაციის გოფრირებული მილი DIZAYN d-300 მმ SN-8</t>
  </si>
  <si>
    <t>კანალიზაციის გოფრირებული მილი DIZAYN d-350 მმ SN-4</t>
  </si>
  <si>
    <t>კანალიზაციის გოფრირებული მილი DIZAYN d-350 მმ SN-8</t>
  </si>
  <si>
    <t>კანალიზაციის გოფრირებული მილი DIZAYN d-450 მმ SN-4</t>
  </si>
  <si>
    <t>კანალიზაციის გოფრირებული მილი DIZAYN d-450 მმ SN-8</t>
  </si>
  <si>
    <t>კანალიზაციის გოფრირებული მილი DIZAYN d-600 მმ SN-4</t>
  </si>
  <si>
    <t>კანალიზაციის გოფრირებული მილი DIZAYN d-600 მმ SN-8</t>
  </si>
  <si>
    <t>კანალიზაციის გოფრირებული მილი FIRAT d-100 მმ SN-4</t>
  </si>
  <si>
    <t>კანალიზაციის გოფრირებული მილი FIRAT d-100 მმ SN-8</t>
  </si>
  <si>
    <t>კანალიზაციის გოფრირებული მილი FIRAT d-150 მმ SN-4</t>
  </si>
  <si>
    <t>კანალიზაციის გოფრირებული მილი FIRAT d-125 მმ SN-4</t>
  </si>
  <si>
    <t>კანალიზაციის გოფრირებული მილი FIRAT d-150 მმ SN-8</t>
  </si>
  <si>
    <t>კანალიზაციის გოფრირებული მილი FIRAT d-200 მმ SN-4</t>
  </si>
  <si>
    <t>კანალიზაციის გოფრირებული მილი FIRAT d-200 მმ SN-8</t>
  </si>
  <si>
    <t>კანალიზაციის გოფრირებული მილი FIRAT d-250 მმ SN-4</t>
  </si>
  <si>
    <t>კანალიზაციის გოფრირებული მილი FIRAT d-250 მმ SN-8</t>
  </si>
  <si>
    <t>კანალიზაციის გოფრირებული მილი FIRAT d-300 მმ SN-4</t>
  </si>
  <si>
    <t>კანალიზაციის გოფრირებული მილი FIRAT d-300 მმ SN-8</t>
  </si>
  <si>
    <t>კანალიზაციის გოფრირებული მილი FIRAT d-600 მმ SN-4</t>
  </si>
  <si>
    <t>კანალიზაციის გოფრირებული მილი FIRAT d-600 მმ SN-8</t>
  </si>
  <si>
    <t>კანალიზაციის გოფრირებული მილი FIRAT d-400 მმ SN-4</t>
  </si>
  <si>
    <t>კანალიზაციის გოფრირებული მილი FIRAT d-400 მმ SN-8</t>
  </si>
  <si>
    <t>კანალიზაციის გოფრირებული მილი FIRAT d-500 მმ SN-4</t>
  </si>
  <si>
    <t>კანალიზაციის გოფრირებული მილი FIRAT d-500 მმ SN-8</t>
  </si>
  <si>
    <t>კანალიზაციის გოფრირებული მილი FIRAT d-700 მმ SN-4</t>
  </si>
  <si>
    <t>კანალიზაციის გოფრირებული მილი FIRAT d-800 მმ SN-4</t>
  </si>
  <si>
    <t>კანალიზაციის გოფრირებული მილი FIRAT d-800 მმ SN-8</t>
  </si>
  <si>
    <t>კანალიზაციის გოფრირებული მილი FIRAT d-1000 მმ SN-4</t>
  </si>
  <si>
    <t>კანალიზაციის გოფრირებული მილი FIRAT d-1000 მმ SN-8</t>
  </si>
  <si>
    <t>პოლიეთილენის გოფრირებული კანალიზაციის მილების მონტაჟი                d-300 მ</t>
  </si>
  <si>
    <t>პოლიეთილენის გოფრირებული კანალიზაციის მილების მონტაჟი                d-400 მ</t>
  </si>
  <si>
    <t>პოლიეთილენის გოფრირებული კანალიზაციის მილების მონტაჟი                d-500 მ</t>
  </si>
  <si>
    <t>23-8-8</t>
  </si>
  <si>
    <t>პოლიეთილენის მილების მონტაჟი d-300 მ</t>
  </si>
  <si>
    <t>23-12-1</t>
  </si>
  <si>
    <t>ჭის მოწყობა ანაკრები რკინაბეტონის რგოლებით d-1000 მმ</t>
  </si>
  <si>
    <t>რკინაბეტონის ჭის გადახურვის ფილა 1,2X1,2X0,22 მ</t>
  </si>
  <si>
    <t>რკინაბეტონის ჭის გადახურვის ფილა 1,8X1,8X0,26 მ</t>
  </si>
  <si>
    <t>რკინაბეტონის ფილა  1,0X1,0X0,15 მ</t>
  </si>
  <si>
    <t>რკინაბეტონის ფილა  1,2X1,2X0,15 მ</t>
  </si>
  <si>
    <t>რკინაბეტონის ფილა  1,5X1,5X0,15 მ</t>
  </si>
  <si>
    <t>რკინაბეტონის ფილა  2,0X2,0X0,15 მ</t>
  </si>
  <si>
    <t>რკინაბეტონის ფილა  2,7X2,7X0,15 მ</t>
  </si>
  <si>
    <t>რკინაბეტონის ფილა  1,0X1,0X0,15 მ თუჯის მგრვალი ხუფი-ცხაურით</t>
  </si>
  <si>
    <t>რკინაბეტონის ფილა  1,2X1,2X0,15 მ  თუჯის მგრვალი ხუფი-ცხაურით</t>
  </si>
  <si>
    <t>რკინაბეტონის ფილა  1,5X1,5X0,15 მ  თუჯის მგრვალი ხუფი-ცხაურით</t>
  </si>
  <si>
    <t>რკინაბეტონის ფილა  2,0X2,0X0,15 მ  თუჯის მგრვალი ხუფი-ცხაურით</t>
  </si>
  <si>
    <t>რკინაბეტონის ფილა  2,7X2,7X0,15 მ  თუჯის მგრვალი ხუფი-ცხაურით</t>
  </si>
  <si>
    <t>რკინაბეტონის ჭის მრგვალი ძირი d-1000 მმ</t>
  </si>
  <si>
    <t>რკინაბეტონის ჭის მრგვალი ძირი d-1500 მმ</t>
  </si>
  <si>
    <t>რკინაბეტონის ჭის ძირი 2,2X2,2X0,18 მ</t>
  </si>
  <si>
    <t>რკინაბეტონის ჭის ძირი 1,7X1,7X0,18 მ</t>
  </si>
  <si>
    <t>რკინაბეტონის ჭის ძირი 1,2X1,2X0,18 მ</t>
  </si>
  <si>
    <t xml:space="preserve">მონოლითური რკინაბეტონის ოთხკუთხა კვეთის ჭის მოწყობა </t>
  </si>
  <si>
    <t>23-17-1</t>
  </si>
  <si>
    <t>23-18-1</t>
  </si>
  <si>
    <t>მონოლითური რკინაბეტონის წყალმიმღები ჭის მოწყობა</t>
  </si>
  <si>
    <t>ქვაყრილის მოწყობა</t>
  </si>
  <si>
    <t>ბუჩქნარის გაკაფვა,შეგროვება და გატანა ნაყარში</t>
  </si>
  <si>
    <t>1 ჰა</t>
  </si>
  <si>
    <t>1-112-1                       1-112-7                             1-114-1</t>
  </si>
  <si>
    <t>ფარცხი ბუჩქნარისთვის (ტრაქტორის გარეშე)</t>
  </si>
  <si>
    <t>1-29-1-8</t>
  </si>
  <si>
    <t>1-29-2-9</t>
  </si>
  <si>
    <t>1-ლი  კატეგორიის გრუნტის დამუშავება ბულდოზერით და გადაადგილება, 50 მ</t>
  </si>
  <si>
    <t>მე-2  კატეგორიის გრუნტის დამუშავება ბულდოზერით და გადაადგილება, 50 მ</t>
  </si>
  <si>
    <t>კლდოვანი გრუნტის გაფხვიერება შპურების მუხტებით საფეხურების სიმაღლით 1 მ</t>
  </si>
  <si>
    <t>3-4-3</t>
  </si>
  <si>
    <t>ბურღის გვრიგვინა</t>
  </si>
  <si>
    <t>ბურღვა აფეთქებითი სამუშაოები</t>
  </si>
  <si>
    <t>ტვირთის ტრანსპორტირება ნაყარში 20 კმ მანძილზე</t>
  </si>
  <si>
    <t>მე-3  კატეგორიის გრუნტის დამუშავება ბულდოზერით და გადაადგილება, 50 მ</t>
  </si>
  <si>
    <t>1-30-7-10</t>
  </si>
  <si>
    <t>ტერიტორიის მოშანდაკება</t>
  </si>
  <si>
    <t>1-68-3</t>
  </si>
  <si>
    <t>1-118-9</t>
  </si>
  <si>
    <t>ინდივიდუალური საგზაო ნიშნის დაყენება ლითონის დგარებზე, 2 საყრდენზე</t>
  </si>
  <si>
    <t>27-46-8</t>
  </si>
  <si>
    <t>ინდივიდუალური პროექტირების ნიშანი ალუმინის პროფილებზე, დაფარული შუქდამბრუნებელი საინჟინრო პრიზმულიi "3M" ტიპის ფირით 1500X510 მმ</t>
  </si>
  <si>
    <t>ინდივიდუალური პროექტირების ნიშანი ალუმინის პროფილებზე, დაფარული შუქდამბრუნებელი საინჟინრო პრიზმულიi "3M" ტიპის ფირით 2000X510 მმ</t>
  </si>
  <si>
    <t>სპეცპროფილის პარაპეტის შეღებვა პერქლორვინილიანი საღებავით</t>
  </si>
  <si>
    <t>15-156-4</t>
  </si>
  <si>
    <t>Енир,Внир</t>
  </si>
  <si>
    <t>უჟანგავი გაბიონის ყუთების მოწყობა</t>
  </si>
  <si>
    <t>3-1-19 ВНиР</t>
  </si>
  <si>
    <t>1-29-5-12</t>
  </si>
  <si>
    <t>ტვირთის ტრანსპორტირება ნაყარში 5  კმ მანძილზე</t>
  </si>
  <si>
    <t>1-29-6-12</t>
  </si>
  <si>
    <t>მე-3  კატეგორიის გრუნტის დამუშავება ბულდოზერით და გადაადგილება, 20 მ</t>
  </si>
  <si>
    <t>1.15.1</t>
  </si>
  <si>
    <t>1.15.2</t>
  </si>
  <si>
    <t>ლითონის კონსტრუქციების შეღებვა</t>
  </si>
  <si>
    <t>30-56-1</t>
  </si>
  <si>
    <t>ლითონის მოაჯირების მოწყობა</t>
  </si>
  <si>
    <t xml:space="preserve">30-48-1                  </t>
  </si>
  <si>
    <t>ლითონის მოაჯირი</t>
  </si>
  <si>
    <t>საფარის მოწყობა ტროტუარზე ასფალტობეტონით, სისქით 3 სმ</t>
  </si>
  <si>
    <t>1.3.6</t>
  </si>
  <si>
    <t>1.3.7</t>
  </si>
  <si>
    <t>1.13.1</t>
  </si>
  <si>
    <t>1.13.3</t>
  </si>
  <si>
    <t>1.13.4</t>
  </si>
  <si>
    <t>1.13.5</t>
  </si>
  <si>
    <t>1.13.6</t>
  </si>
  <si>
    <t>1.13.7</t>
  </si>
  <si>
    <t xml:space="preserve"> ლითონის ცხაურის დამზადება </t>
  </si>
  <si>
    <t>7-17-7</t>
  </si>
  <si>
    <t xml:space="preserve"> ლითონის ცხაურის მონტაჟი</t>
  </si>
  <si>
    <t>8-7-5</t>
  </si>
  <si>
    <t>გრუნტის დატკეპნა ფენებად</t>
  </si>
  <si>
    <t>კედლის ტანზე სადრენაჟო ხვრელების მოწყობა (ф-10 სმ, L-55 სმ)</t>
  </si>
  <si>
    <t>46-21-6</t>
  </si>
  <si>
    <t>რკინაბეტონის საყრდენი კედლის მოწყობა</t>
  </si>
  <si>
    <t>6-11-3</t>
  </si>
  <si>
    <t>საპ.</t>
  </si>
  <si>
    <t>მიერთებებისა და ადგილობრივი შესასვლელების მოწყობის სამუშაოები</t>
  </si>
  <si>
    <t>ეზოებში შესასვლელების მოწყობის სამუშაოები</t>
  </si>
  <si>
    <t>ბურულის მოწყობა კრამიტით</t>
  </si>
  <si>
    <t>12-7-1</t>
  </si>
  <si>
    <t>კრამიტი ადგილობრივი 42X33 სმ</t>
  </si>
  <si>
    <t>საფარის ზედა ფენის მოწყობა  წვრილმარცვლოვანი მკვრივი ღორღოვანი ასფალტობეტონის ცხელი ნარევით, მარკა II, სისქით 5 სმ.</t>
  </si>
  <si>
    <t>1.17.1</t>
  </si>
  <si>
    <t>1.17.2</t>
  </si>
  <si>
    <t>1.17.3</t>
  </si>
  <si>
    <t>1.17.4</t>
  </si>
  <si>
    <t>ლენტური საძირკვლის მოწყობა სისქით 1000-მდე</t>
  </si>
  <si>
    <t>6-1-22</t>
  </si>
  <si>
    <t>აგურის კედლების მოწყობა</t>
  </si>
  <si>
    <t>8-5-3</t>
  </si>
  <si>
    <t>მონოლითური კიბის მოწყობა</t>
  </si>
  <si>
    <t>6-15-2</t>
  </si>
  <si>
    <t>ბეტონის იატაკის მოწყობა</t>
  </si>
  <si>
    <t>6-16-1</t>
  </si>
  <si>
    <t>ხის სახურავის კონსტრუქციის მოწყობა</t>
  </si>
  <si>
    <t>10-11-1</t>
  </si>
  <si>
    <t>ხის სახურავის შეფიცვრის მოწყობა</t>
  </si>
  <si>
    <t>10-36-4</t>
  </si>
  <si>
    <t>15-163-1</t>
  </si>
  <si>
    <t>ხის ლაქით შეღებვა</t>
  </si>
  <si>
    <t>15-164-2</t>
  </si>
  <si>
    <t>ბეტონის შემონაკირწყლის მოწყობა</t>
  </si>
  <si>
    <t>6-1-15</t>
  </si>
  <si>
    <t>1.16.1</t>
  </si>
  <si>
    <t>1.16.2</t>
  </si>
  <si>
    <t>ბარიერი "მწოლიარე პოლიციელი"-ის მონტაჟი</t>
  </si>
  <si>
    <t>ელექტროკალორიფერი</t>
  </si>
  <si>
    <t>ავტომობილი ბორტიანი 5 ტ-მდე</t>
  </si>
  <si>
    <t>ავტომობილი ბორტიანი 8 ტ-მდე</t>
  </si>
  <si>
    <t>ავტომობილი ბორტიანი 10 ტ-მდე</t>
  </si>
  <si>
    <t>ავტომობილი ბორტიანი 15 ტ-მდე</t>
  </si>
  <si>
    <t>საწევარი - ტრაილერი 15 ტ</t>
  </si>
  <si>
    <t>საკიდელა ერთადგილიანი, თვითმწევალი</t>
  </si>
  <si>
    <t>პერფერატორი ტელესკოპური</t>
  </si>
  <si>
    <t>პერფერატორი ხელის</t>
  </si>
  <si>
    <t>პნევმოსაბურღი</t>
  </si>
  <si>
    <t>ბურღი ხელის, პნევმატური</t>
  </si>
  <si>
    <t>ბურღი ხელის, ელექტრო</t>
  </si>
  <si>
    <t>4.1-176</t>
  </si>
  <si>
    <t>4.1-371</t>
  </si>
  <si>
    <t>1-93-6</t>
  </si>
  <si>
    <t>1-84-4</t>
  </si>
  <si>
    <t>მე-6 კატეგორიის გრუნტის დამუშავება სანგრევი ჩაქუჩებით</t>
  </si>
  <si>
    <t>37-64-8</t>
  </si>
  <si>
    <t xml:space="preserve">სხვა მასალები </t>
  </si>
  <si>
    <t>არმატურის ღეროების დაწყობა</t>
  </si>
  <si>
    <t xml:space="preserve">37-66-2               </t>
  </si>
  <si>
    <t>რკინაბეტონის მართკუთხა კვეთის მილის მოწყობა</t>
  </si>
  <si>
    <t>მილის სექციებს შორის ბიტუმით გაჟღენთილი ძენძის ჩატენვა</t>
  </si>
  <si>
    <t>ძენძი</t>
  </si>
  <si>
    <t>ასაკრავი ჰიდროიზოლაციის მოწყობა</t>
  </si>
  <si>
    <r>
      <t>100 მ</t>
    </r>
    <r>
      <rPr>
        <sz val="16"/>
        <color theme="1"/>
        <rFont val="Sylfaen"/>
        <family val="1"/>
      </rPr>
      <t>²</t>
    </r>
    <r>
      <rPr>
        <sz val="14"/>
        <color theme="1"/>
        <rFont val="Sylfaen"/>
        <family val="1"/>
      </rPr>
      <t xml:space="preserve"> </t>
    </r>
  </si>
  <si>
    <t>30-51-2</t>
  </si>
  <si>
    <t>ჯუტის ქსოვილი</t>
  </si>
  <si>
    <t>ჰიდროიზოლაციის დაცვის მიზნით ქაფლასტის ფურცლების მოწყობა</t>
  </si>
  <si>
    <t>ქვის რისბერმის მოწყობა</t>
  </si>
  <si>
    <t>1-123-8</t>
  </si>
  <si>
    <t>1-29-7-13</t>
  </si>
  <si>
    <t>მე-4  კატეგორიის გრუნტის დამუშავება ბულდოზერით და გადაადგილება, 50 მ</t>
  </si>
  <si>
    <t>რკინაბეტონის ანაკრები მილის მონტაჟი d-1000 mm</t>
  </si>
  <si>
    <t>30-39-3</t>
  </si>
  <si>
    <t>რკინაბეტონის ანაკრები მილის მონტაჟი d-1500 mm</t>
  </si>
  <si>
    <t>30-39-8</t>
  </si>
  <si>
    <t>პორტალური კედლის მოწყობა</t>
  </si>
  <si>
    <t xml:space="preserve">37-64-3             </t>
  </si>
  <si>
    <t>1.13.8</t>
  </si>
  <si>
    <t>1.13.9</t>
  </si>
  <si>
    <t>1.13.10</t>
  </si>
  <si>
    <t>არსებული ვაკისის მოსწორება</t>
  </si>
  <si>
    <t>1-32-2</t>
  </si>
  <si>
    <t>Checked</t>
  </si>
  <si>
    <t>დროებითი ბაზის შემოღობვა მავთულბადით ხის ბოძებზე</t>
  </si>
  <si>
    <t>27-50-9</t>
  </si>
  <si>
    <r>
      <t>მ</t>
    </r>
    <r>
      <rPr>
        <sz val="16"/>
        <color theme="1"/>
        <rFont val="Sylfaen"/>
        <family val="1"/>
      </rPr>
      <t>²</t>
    </r>
  </si>
  <si>
    <t>ნაბურღ ნატენი ხიმინჯების მოწყობა d=820 მმ</t>
  </si>
  <si>
    <t xml:space="preserve">05-01-077-03 ГЭСН </t>
  </si>
  <si>
    <t>შემდუღებელი აგრეგატი ტრაქტორზე 79 კვტ (108 ცხ.ძ)</t>
  </si>
  <si>
    <t>შედუღების აგრეგატი  გადასატანი ბენზინის ძრავაზე</t>
  </si>
  <si>
    <t>ავტობეტონმრევი</t>
  </si>
  <si>
    <t>ბეტონის ტუმბო 10 კუბ. მ/სთ სხვა სახის მშენებლობისთვის</t>
  </si>
  <si>
    <t>ბეტონის ტუმბო 10 კუბ. მ/სთ ელ. ძრავით მოძრავი</t>
  </si>
  <si>
    <t>შნეკური ბურღვის დანადგარი ბურღვა-ნატენი ხიმინჯებისათვის</t>
  </si>
  <si>
    <t>რიგელის, საყრდენი ბალიშების და ანტისეისმური საბრჯენების მონოლითური რკინაბეტონით</t>
  </si>
  <si>
    <t>30-8-3</t>
  </si>
  <si>
    <t>რკინაბეტონის ბურჯების ტანის მოწყობა</t>
  </si>
  <si>
    <t>30-8-1</t>
  </si>
  <si>
    <t>სადეფორმაციო ნაკერების მოწყობა</t>
  </si>
  <si>
    <t>ტრანსპორტიორის ლენტი სიგანით 80 სმ</t>
  </si>
  <si>
    <t>L= 12,0 მ რკინაბეტონის ფილების მონტაჟი რეზინის საყრდენ ნაწილებზე 2 ავტოამწის გამოყენებით ურიკებით მიწოდებით</t>
  </si>
  <si>
    <t>30-17-4</t>
  </si>
  <si>
    <t>იატაკი</t>
  </si>
  <si>
    <t>ბეტონის შემასწორებელი ფენის მოწყობა სავალი ნაწილის ფარგლებში</t>
  </si>
  <si>
    <t>11-1-11</t>
  </si>
  <si>
    <t xml:space="preserve">მემბრანული ჰიდროიზოლაციის მოწყობა პოლიმერული მასალებით </t>
  </si>
  <si>
    <t>30-52-2</t>
  </si>
  <si>
    <t>1.44.1</t>
  </si>
  <si>
    <t>1.44.2</t>
  </si>
  <si>
    <t>1.44.3</t>
  </si>
  <si>
    <t>1.44.4</t>
  </si>
  <si>
    <t>ბიტუმის ლაქი</t>
  </si>
  <si>
    <t>1.44.5</t>
  </si>
  <si>
    <t>პოლიმერული მასალა</t>
  </si>
  <si>
    <t>1.44.6</t>
  </si>
  <si>
    <t>ასაწყობი რკინაბეტონის თვალამრიდი ბლოკების მოწყობა</t>
  </si>
  <si>
    <t>30-53-2</t>
  </si>
  <si>
    <t>100 გ.მ.</t>
  </si>
  <si>
    <t>გერმეტიკი</t>
  </si>
  <si>
    <t>გერმიტი</t>
  </si>
  <si>
    <t>მინაქსოვილი</t>
  </si>
  <si>
    <r>
      <t>მ</t>
    </r>
    <r>
      <rPr>
        <sz val="16"/>
        <rFont val="Sylfaen"/>
        <family val="1"/>
      </rPr>
      <t>²</t>
    </r>
  </si>
  <si>
    <t>30-25-1</t>
  </si>
  <si>
    <t>30-22-4</t>
  </si>
  <si>
    <t>ქვაბი ბიტუმის მოძრავი 400 ლ</t>
  </si>
  <si>
    <t>ქვაბი ბიტუმის მოძრავი 550 ლ</t>
  </si>
  <si>
    <t>ქვაბი ბიტუმის მოძრავი 1000 ლ</t>
  </si>
  <si>
    <t>რკინაბეტონის ანაკრები ფილა</t>
  </si>
  <si>
    <t>ანაკრები გადასასვლელი ფილების მოწყობა</t>
  </si>
  <si>
    <t>რკინაბეტონის ღარი LR-4</t>
  </si>
  <si>
    <t>რკინაბეტონის ღარი LR-6</t>
  </si>
  <si>
    <t>30-5-1</t>
  </si>
  <si>
    <t>რკინაბეტონის საძირკველის მოწყობა</t>
  </si>
  <si>
    <t>30-5-2</t>
  </si>
  <si>
    <t>საძირკვლის არმატურის ბადის მოწყობა</t>
  </si>
  <si>
    <t>პოხიერი თიხის ბალიშის მოწყობა სისქით 20 სმ</t>
  </si>
  <si>
    <t>8-4-8</t>
  </si>
  <si>
    <t>1-64-7</t>
  </si>
  <si>
    <t>მე-3 კატეგორიის გრუნტის ფერდობების მოშანდაკება ხელით</t>
  </si>
  <si>
    <t>მე-2 კატეგორიის გრუნტის ფენის დამუშავება მანქანა/მექანიზმებით</t>
  </si>
  <si>
    <t>მე-4 კატეგორიის გრუნტის ფენის დამუშავება მანქანა/მექანიზმებით</t>
  </si>
  <si>
    <t>30-3-3</t>
  </si>
  <si>
    <t>30-3-4</t>
  </si>
  <si>
    <t>30-13</t>
  </si>
  <si>
    <t>რეზინის საყრდენი ნაწილების (300*500*50 მმ) მონტაჟი</t>
  </si>
  <si>
    <t>რეზინის საყრდენი ნაწილი 300*500*50</t>
  </si>
  <si>
    <t>30-29-1</t>
  </si>
  <si>
    <t>მალის ნაშენი</t>
  </si>
  <si>
    <t>ლითონის საცობი</t>
  </si>
  <si>
    <t>ყალიბის ლითონის კონსტრუქციები</t>
  </si>
  <si>
    <t>მალის ნაშენის ლითონის ჩარჩო კონსტრუქციის მოწყობა (ანტიკოროზიული საღებავით კონსტრუქციის ზედაპირის ორ ფენად შეღებვის გათვალისწინებით)</t>
  </si>
  <si>
    <t>ბალახის დათესვა მექანიზირებული წესით</t>
  </si>
  <si>
    <t>1-122-3</t>
  </si>
  <si>
    <t>სათესი ბარდანული</t>
  </si>
  <si>
    <t xml:space="preserve">მიწა </t>
  </si>
  <si>
    <t>ბალახის თესლი</t>
  </si>
  <si>
    <t>სასუქი</t>
  </si>
  <si>
    <t>ელექტრო სამონტაჟო სამუშაოები</t>
  </si>
  <si>
    <t>არსებული რკინაბეტონის ბოძების დემონტაჟი და დროებითი დასაწყობება მისი შემდგომი მონტაჟისთვის</t>
  </si>
  <si>
    <t>33-107-1                       კ=0.8</t>
  </si>
  <si>
    <t>დემონტირებული რკინაბეტონის ბოძების მონტაჟი</t>
  </si>
  <si>
    <t xml:space="preserve">33-107-1            </t>
  </si>
  <si>
    <t>სადენების დემონტაჟი და დროებითი დასაწყობება მისი შემდგომი მონტაჟისთვის</t>
  </si>
  <si>
    <t>33-115-3              კ=0.3</t>
  </si>
  <si>
    <t>დემონტირებული სადენების მონტაჟი</t>
  </si>
  <si>
    <t>33-115-3</t>
  </si>
  <si>
    <t>კოშკურა ტელესკოპური (ავტომობილზე) 0.35 ტ</t>
  </si>
  <si>
    <t>სადენი</t>
  </si>
  <si>
    <t>1-67-3</t>
  </si>
  <si>
    <t>გრუნტის მოხსნა გრეიდერით, მოგროვება 20 მ-ზე</t>
  </si>
  <si>
    <t>შიგა კედლის მაღალხარისხოვანი შელესვა ქვიშა-ცემენტის ხსნარით</t>
  </si>
  <si>
    <t>15-55-9</t>
  </si>
  <si>
    <t>15-168-7</t>
  </si>
  <si>
    <t>ფითხი</t>
  </si>
  <si>
    <t>შიდა  კედლების  შეღებვა</t>
  </si>
  <si>
    <t>ქვიშაცემენტის ხსნარით მოჭიმვის მოწყობა სისქით 40 მმ</t>
  </si>
  <si>
    <t>11-8-1-2</t>
  </si>
  <si>
    <t>ლამინირებული  იატაკის მოწყობა</t>
  </si>
  <si>
    <t>ლამინატი</t>
  </si>
  <si>
    <t>პლინტუსი</t>
  </si>
  <si>
    <t>ლურსმანი</t>
  </si>
  <si>
    <t>11-27-3</t>
  </si>
  <si>
    <t>იატაკზე  ხაოიანი კერამიკული  ფილის  მოწყობა</t>
  </si>
  <si>
    <t>11-21-2</t>
  </si>
  <si>
    <t>კერამიკული ფილა ხაოიანი</t>
  </si>
  <si>
    <r>
      <t>მ</t>
    </r>
    <r>
      <rPr>
        <sz val="18"/>
        <color theme="1"/>
        <rFont val="Sylfaen"/>
        <family val="1"/>
      </rPr>
      <t xml:space="preserve">² </t>
    </r>
  </si>
  <si>
    <t>წებო-ცემენტი</t>
  </si>
  <si>
    <t>10-20-1</t>
  </si>
  <si>
    <t>MDF-ის კარის მოწყობა</t>
  </si>
  <si>
    <t>MDF-ის კარის ბლოკი</t>
  </si>
  <si>
    <t>მე-6 კატეგორიის გრუნტის დამუშავება ექსკავატორის ბაზაზე დამონტაჟებული ჰიდროჩაქუჩებით</t>
  </si>
  <si>
    <t xml:space="preserve">01-02-094-01 ГЭСН </t>
  </si>
  <si>
    <t>Диаметр труб, мм</t>
  </si>
  <si>
    <t>3. Машины</t>
  </si>
  <si>
    <t>- // -</t>
  </si>
  <si>
    <t>22,3</t>
  </si>
  <si>
    <t>26,7</t>
  </si>
  <si>
    <t>35,1</t>
  </si>
  <si>
    <t>41,1</t>
  </si>
  <si>
    <t>4. Трубы стальные</t>
  </si>
  <si>
    <t>м</t>
  </si>
  <si>
    <t>5. Прочие материалы</t>
  </si>
  <si>
    <t>54,8</t>
  </si>
  <si>
    <t>56,2</t>
  </si>
  <si>
    <t>59,3</t>
  </si>
  <si>
    <t>61,8</t>
  </si>
  <si>
    <t>97,3</t>
  </si>
  <si>
    <t>22-5</t>
  </si>
  <si>
    <t>ფოლადის მილი დ-76 მმ, სისქით 2,5 მმ</t>
  </si>
  <si>
    <t>ფოლადის მილი დ-76 მმ, სისქით 3,0 მმ</t>
  </si>
  <si>
    <t>ფოლადის მილი დ-76 მმ, სისქით 3,5 მმ</t>
  </si>
  <si>
    <t>ფოლადის მილი დ-76 მმ, სისქით 4,0 მმ</t>
  </si>
  <si>
    <t>ფოლადის მილი დ-83 მმ, სისქით 5,0 მმ</t>
  </si>
  <si>
    <t>ფოლადის მილი დ-83 მმ, სისქით 3,0 მმ</t>
  </si>
  <si>
    <t>ფოლადის მილი დ-89 მმ, სისქით 2,8 მმ</t>
  </si>
  <si>
    <t>ფოლადის მილი დ-89 მმ, სისქით 3,0 მმ</t>
  </si>
  <si>
    <t>ფოლადის მილი დ-89 მმ, სისქით 3,5 მმ</t>
  </si>
  <si>
    <t>ფოლადის მილი დ-89 მმ, სისქით 4,0 მმ</t>
  </si>
  <si>
    <t>ფოლადის მილი დ-102 მმ, სისქით 2,0 მმ</t>
  </si>
  <si>
    <t>ფოლადის მილი დ-102 მმ, სისქით 3,0 მმ</t>
  </si>
  <si>
    <t>ფოლადის მილი დ-102 მმ, სისქით 3,5 მმ</t>
  </si>
  <si>
    <t>ფოლადის მილი დ-102 მმ, სისქით 4,0 მმ</t>
  </si>
  <si>
    <t>ფოლადის მილი დ-108 მმ, სისქით 3,0 მმ</t>
  </si>
  <si>
    <t>ფოლადის მილი დ-108 მმ, სისქით 3,5 მმ</t>
  </si>
  <si>
    <t>ფოლადის მილი დ-108 მმ, სისქით 4,0 მმ</t>
  </si>
  <si>
    <t>ფოლადის მილი დ-108 მმ, სისქით 4,5 მმ</t>
  </si>
  <si>
    <t>ფოლადის მილი დ-114 მმ, სისქით 3,0 მმ</t>
  </si>
  <si>
    <t>ფოლადის მილი დ-114 მმ, სისქით 3,5 მმ</t>
  </si>
  <si>
    <t>ფოლადის მილი დ-114 მმ, სისქით 4,0 მმ</t>
  </si>
  <si>
    <t>ფოლადის მილი დ-114 მმ, სისქით 4,5 მმ</t>
  </si>
  <si>
    <t>ფოლადის მილი დ-127 მმ, სისქით 3,0 მმ</t>
  </si>
  <si>
    <t>ფოლადის მილი დ-127 მმ, სისქით 3,5 მმ</t>
  </si>
  <si>
    <t>ფოლადის მილი დ-127 მმ, სისქით 4,0 მმ</t>
  </si>
  <si>
    <t>ფოლადის მილი დ-127 მმ, სისქით 4,5 მმ</t>
  </si>
  <si>
    <t>ფოლადის მილი დ-133 მმ, სისქით 4,0 მმ</t>
  </si>
  <si>
    <t>ფოლადის მილი დ-140 მმ, სისქით 3,0 მმ</t>
  </si>
  <si>
    <t>ფოლადის მილი დ-152 მმ, სისქით 4,0 მმ</t>
  </si>
  <si>
    <t>ფოლადის მილი დ-152 მმ, სისქით 5,0 მმ</t>
  </si>
  <si>
    <t>ფოლადის მილი დ-159 მმ, სისქით 3,0 მმ</t>
  </si>
  <si>
    <t>ფოლადის მილი დ-159 მმ, სისქით 4,0 მმ</t>
  </si>
  <si>
    <t>ფოლადის მილი დ-159 მმ, სისქით 4,5 მმ</t>
  </si>
  <si>
    <t>ფოლადის მილი დ-168 მმ, სისქით 4,0 მმ</t>
  </si>
  <si>
    <t>ფოლადის მილი დ-219 მმ, სისქით 4,0 მმ</t>
  </si>
  <si>
    <t>ფოლადის მილი დ-219 მმ, სისქით 4,5 მმ</t>
  </si>
  <si>
    <t>ფოლადის მილი დ-219 მმ, სისქით 5,0 მმ</t>
  </si>
  <si>
    <t>ფოლადის მილი დ-273 მმ, სისქით 5,0 მმ</t>
  </si>
  <si>
    <t>ფოლადის მილი დ-273 მმ, სისქით 4,0 მმ</t>
  </si>
  <si>
    <t>ფოლადის მილი დ-273 მმ, სისქით 8,0 მმ</t>
  </si>
  <si>
    <t>ფოლადის მილი დ-273 მმ, სისქით 6,0 მმ</t>
  </si>
  <si>
    <t>ფოლადის მილი დ-325 მმ, სისქით 4,0 მმ</t>
  </si>
  <si>
    <t>ფოლადის მილი დ-325 მმ, სისქით 5,0 მმ</t>
  </si>
  <si>
    <t>ფოლადის მილი დ-325 მმ, სისქით 6,0 მმ</t>
  </si>
  <si>
    <t>ფოლადის მილი დ-377 მმ, სისქით 4,0 მმ</t>
  </si>
  <si>
    <t>ფოლადის მილი დ-377 მმ, სისქით 10,0 მმ</t>
  </si>
  <si>
    <t>ფოლადის მილი დ-426 მმ, სისქით 4,0 მმ</t>
  </si>
  <si>
    <t>ფოლადის მილი დ-426 მმ, სისქით 12,0 მმ</t>
  </si>
  <si>
    <t>ფოლადის მილი დ-426 მმ, სისქით 6,0 მმ</t>
  </si>
  <si>
    <t>ფოლადის მილი დ-530 მმ, სისქით 12,0 მმ</t>
  </si>
  <si>
    <t>ფოლადის მილი დ-530 მმ, სისქით 6,0 მმ</t>
  </si>
  <si>
    <t>ფოლადის მილი დ-630 მმ, სისქით 5,0 მმ</t>
  </si>
  <si>
    <t>ფოლადის მილი დ-630 მმ, სისქით 7,0 მმ</t>
  </si>
  <si>
    <t>ფოლადის მილი დ-630 მმ, სისქით 12,0 მმ</t>
  </si>
  <si>
    <t>ცხლადგლინული უნაკერო მილები (რუსთავი)</t>
  </si>
  <si>
    <t>ცხლადგლინული უნაკერო მილები დიამეტრით დ=426 მმ-მდე</t>
  </si>
  <si>
    <t>მაგისტრალური ნავთობსადენის მილები</t>
  </si>
  <si>
    <t>ფოლადის მილი დ-168 მმ, სისქით 6,0 მმ</t>
  </si>
  <si>
    <t>ფოლადის მილი დ-219 მმ, სისქით 8,0 მმ</t>
  </si>
  <si>
    <t>ფოლადის მილი დ-245 მმ, სისქით 5,0 მმ</t>
  </si>
  <si>
    <t>ფოლადის მილი დ-245 მმ, სისქით 8,0 მმ</t>
  </si>
  <si>
    <t>ფოლადის მილი დ-325 მმ, სისქით 9,0 მმ</t>
  </si>
  <si>
    <t>ფოლადის მილი დ-377 მმ, სისქით 6,0 მმ</t>
  </si>
  <si>
    <t>ფოლადის მილი დ-377 მმ, სისქით 8,0 მმ</t>
  </si>
  <si>
    <t>ფოლადის მილი დ-425 მმ, სისქით 5,0 მმ</t>
  </si>
  <si>
    <t>ფოლადის მილი დ-425 მმ, სისქით 10,0 მმ</t>
  </si>
  <si>
    <t>ფოლადის მილი დ-530 მმ, სისქით 5,0 მმ</t>
  </si>
  <si>
    <t>ფოლადის მილი დ-720 მმ, სისქით 5,0 მმ</t>
  </si>
  <si>
    <t>ფოლადის მილი დ-720 მმ, სისქით 12,0 მმ</t>
  </si>
  <si>
    <t>ფოლადის მილი დ-820 მმ, სისქით 5,0 მმ</t>
  </si>
  <si>
    <t>ფოლადის მილი დ-820 მმ, სისქით 12,0 მმ</t>
  </si>
  <si>
    <t>ფოლადის მილი დ-914 მმ, სისქით 9,0 მმ (ქარხნული იზოლაციით)</t>
  </si>
  <si>
    <t>ფოლადის მილი დ-1020 მმ, სისქით 9,6 მმ</t>
  </si>
  <si>
    <t>ფოლადის მილი დ-1020 მმ, სისქით 14,9 მმ</t>
  </si>
  <si>
    <t>ფოლადის მილები</t>
  </si>
  <si>
    <t>ლითონის მილის მონტაჟი d=500 მმ, t=5 მმ</t>
  </si>
  <si>
    <t xml:space="preserve">დაშლილი ფილების დატვირთვა ექსკავატორით ავტოთვითმცლელზე </t>
  </si>
  <si>
    <t>ტვირთის ტრანსპორტირება ნაგავსაყრელზე 15  კმ მანძილზე</t>
  </si>
  <si>
    <t>ლითონის მილის მონტაჟი d=400 მმ, t=5 მმ</t>
  </si>
  <si>
    <t>ლითონის მილის დემონტაჟი d=400 მმ</t>
  </si>
  <si>
    <t xml:space="preserve">მე-3 კატეგორიის გრუნტში ტრანშეის გათხრა და დატვირთვა ექსკავატორით ავტოთვითმცლელზე </t>
  </si>
  <si>
    <t>რკინაბეტონის არხის მოწყობა</t>
  </si>
  <si>
    <t>თხრილის შევსება ქვიშა-ხრეშოვანი ნარევით ხელით</t>
  </si>
  <si>
    <t>საფუძვლის ფენის მოწყობა ფრაქციული ღორღით (ფრ. 0-40მმ),  სისქით 10 სმ.</t>
  </si>
  <si>
    <t>თავი 1. მიწის ვაკისი</t>
  </si>
  <si>
    <t>თავი 2. ხელოვნური ნაგებობები</t>
  </si>
  <si>
    <t>თავი 3. გზის სამოსი</t>
  </si>
  <si>
    <t>თავი 4. გზის კუთვნილება და მოწყობილობა</t>
  </si>
  <si>
    <t>4-2</t>
  </si>
  <si>
    <t>ქალაქ ხონში ძიძიგურების უბანის 1480 მ-იანი მონაკვეთის რეაბილიტაციის სამშენებლო სამუშაოების ლოკალურ-რესურსული ხარჯთაღრიცხვა</t>
  </si>
  <si>
    <t>ეზობში შესასვლელებთან  მოწყობილი დაზიანებული ბეტონის ფილების დემონტაჟიდაშლა სანგრევი ჩაქუჩებით</t>
  </si>
  <si>
    <t>ტრანშეის შევსების სამუშაოები</t>
  </si>
  <si>
    <t>ტრანშეის შევსება მილის თავზე ხრეშოვანი გრუნტით მექანიზმებით</t>
  </si>
  <si>
    <t>ტრანშეის შევსება მილის თავზე ქვიშა-ხრეშოვანი გრუნტით ხელით</t>
  </si>
  <si>
    <t>არსებული გრუნტის სანიაღვრის გაწმენდა მთელ სიგრძეზე გზის ორივე მხარეს</t>
  </si>
  <si>
    <t>1.12.1</t>
  </si>
  <si>
    <t>1.15.3</t>
  </si>
  <si>
    <t>1.15.4</t>
  </si>
  <si>
    <t>1.18.1</t>
  </si>
  <si>
    <t>1.18.2</t>
  </si>
  <si>
    <t>1.18.3</t>
  </si>
  <si>
    <t>1.18.4</t>
  </si>
  <si>
    <t>1.19.1</t>
  </si>
  <si>
    <t>1.19.2</t>
  </si>
  <si>
    <t>1.19.3</t>
  </si>
  <si>
    <t>1.19.4</t>
  </si>
  <si>
    <t>1.19.5</t>
  </si>
  <si>
    <t>1.20.1</t>
  </si>
  <si>
    <t>1.20.2</t>
  </si>
  <si>
    <t>1.20.3</t>
  </si>
  <si>
    <t>1.20.4</t>
  </si>
  <si>
    <t>1.20.5</t>
  </si>
  <si>
    <t>1.20.6</t>
  </si>
  <si>
    <t>1.20.7</t>
  </si>
  <si>
    <t>1.20.8</t>
  </si>
  <si>
    <t>1.20.9</t>
  </si>
  <si>
    <t>1.20.10</t>
  </si>
  <si>
    <t>1.20.11</t>
  </si>
  <si>
    <t>ღორღი საავტომობილო გზებისათვის, მარკა 600-1200, ფრაქცია 0-40 მმ</t>
  </si>
  <si>
    <t>საფუძვლის ფენის მოწყობა ფრაქციული ღორღით (ფრ. 0-40მმ), საშუალო  სისქით 10 სმ.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</si>
</sst>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\-0;;@"/>
    <numFmt numFmtId="166" formatCode="0.0;\-0.0;;@"/>
    <numFmt numFmtId="167" formatCode="0.00;\-0.00;;@"/>
    <numFmt numFmtId="168" formatCode="0.0%"/>
    <numFmt numFmtId="169" formatCode="##,##0.00,"/>
    <numFmt numFmtId="170" formatCode="0&quot;.&quot;00;\-0&quot;.&quot;00;0&quot;.&quot;00"/>
    <numFmt numFmtId="171" formatCode="0.000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Sylfaen"/>
      <family val="1"/>
    </font>
    <font>
      <b/>
      <sz val="14"/>
      <color theme="0"/>
      <name val="Calibri"/>
      <family val="2"/>
      <scheme val="minor"/>
    </font>
    <font>
      <sz val="14"/>
      <color rgb="FFFF0000"/>
      <name val="Sylfaen"/>
      <family val="1"/>
    </font>
    <font>
      <sz val="14"/>
      <color theme="1"/>
      <name val="Calibri"/>
      <family val="2"/>
    </font>
    <font>
      <sz val="22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6"/>
      <color theme="1"/>
      <name val="Sylfae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Sylfae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imes New Roman"/>
      <family val="1"/>
    </font>
    <font>
      <vertAlign val="superscript"/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name val="Arial Cyr"/>
      <charset val="204"/>
    </font>
    <font>
      <sz val="14"/>
      <name val="Sylfaen"/>
      <family val="1"/>
    </font>
    <font>
      <sz val="10"/>
      <name val="Arial"/>
      <family val="2"/>
      <charset val="204"/>
    </font>
    <font>
      <b/>
      <sz val="14"/>
      <name val="Sylfaen"/>
      <family val="1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Arial"/>
      <family val="2"/>
    </font>
    <font>
      <b/>
      <sz val="14"/>
      <color rgb="FFFF0000"/>
      <name val="Sylfaen"/>
      <family val="1"/>
    </font>
    <font>
      <sz val="16"/>
      <name val="Sylfaen"/>
      <family val="1"/>
    </font>
    <font>
      <sz val="18"/>
      <color theme="1"/>
      <name val="Sylfae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5B718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  <xf numFmtId="0" fontId="14" fillId="0" borderId="0"/>
    <xf numFmtId="0" fontId="18" fillId="0" borderId="0"/>
    <xf numFmtId="0" fontId="20" fillId="0" borderId="0"/>
    <xf numFmtId="0" fontId="25" fillId="0" borderId="0"/>
  </cellStyleXfs>
  <cellXfs count="272">
    <xf numFmtId="0" fontId="0" fillId="0" borderId="0" xfId="0"/>
    <xf numFmtId="0" fontId="1" fillId="2" borderId="1" xfId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0" fillId="0" borderId="0" xfId="0" applyNumberFormat="1"/>
    <xf numFmtId="166" fontId="8" fillId="3" borderId="2" xfId="0" applyNumberFormat="1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0" fillId="0" borderId="0" xfId="0" applyNumberFormat="1"/>
    <xf numFmtId="167" fontId="8" fillId="3" borderId="2" xfId="0" applyNumberFormat="1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7" fontId="0" fillId="0" borderId="0" xfId="0" applyNumberFormat="1"/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67" fontId="3" fillId="0" borderId="2" xfId="0" applyNumberFormat="1" applyFont="1" applyBorder="1" applyAlignment="1" applyProtection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0" fillId="0" borderId="0" xfId="0" applyFont="1"/>
    <xf numFmtId="167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 wrapText="1"/>
    </xf>
    <xf numFmtId="0" fontId="0" fillId="0" borderId="0" xfId="0" applyFill="1"/>
    <xf numFmtId="171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/>
    </xf>
    <xf numFmtId="0" fontId="4" fillId="2" borderId="22" xfId="1" applyFont="1" applyBorder="1" applyAlignment="1">
      <alignment horizontal="center" vertical="center"/>
    </xf>
    <xf numFmtId="0" fontId="4" fillId="2" borderId="8" xfId="1" applyFont="1" applyBorder="1" applyAlignment="1">
      <alignment horizontal="center" vertical="center"/>
    </xf>
    <xf numFmtId="0" fontId="4" fillId="2" borderId="9" xfId="1" applyFont="1" applyBorder="1" applyAlignment="1">
      <alignment horizontal="center" vertical="center"/>
    </xf>
    <xf numFmtId="167" fontId="8" fillId="0" borderId="2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2" fontId="8" fillId="0" borderId="2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  <xf numFmtId="4" fontId="19" fillId="0" borderId="2" xfId="5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1" fillId="0" borderId="2" xfId="4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4" fontId="21" fillId="0" borderId="2" xfId="5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7" fontId="21" fillId="0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31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4" fontId="19" fillId="0" borderId="2" xfId="5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9" fillId="0" borderId="2" xfId="3" applyFont="1" applyFill="1" applyBorder="1" applyAlignment="1">
      <alignment horizontal="center" vertical="center" wrapText="1"/>
    </xf>
    <xf numFmtId="4" fontId="19" fillId="0" borderId="2" xfId="3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2" fontId="3" fillId="0" borderId="2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6" applyNumberFormat="1" applyFont="1" applyFill="1" applyBorder="1" applyAlignment="1">
      <alignment horizontal="center" vertical="center" wrapText="1"/>
    </xf>
    <xf numFmtId="0" fontId="19" fillId="0" borderId="2" xfId="6" applyFont="1" applyFill="1" applyBorder="1" applyAlignment="1">
      <alignment horizontal="center" vertical="center" wrapText="1"/>
    </xf>
    <xf numFmtId="2" fontId="19" fillId="0" borderId="2" xfId="5" applyNumberFormat="1" applyFont="1" applyFill="1" applyBorder="1" applyAlignment="1">
      <alignment horizontal="center" vertical="center"/>
    </xf>
    <xf numFmtId="0" fontId="21" fillId="0" borderId="2" xfId="6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" fontId="19" fillId="0" borderId="2" xfId="3" applyNumberFormat="1" applyFont="1" applyFill="1" applyBorder="1" applyAlignment="1">
      <alignment horizontal="center" vertical="center" wrapText="1"/>
    </xf>
    <xf numFmtId="0" fontId="21" fillId="0" borderId="2" xfId="3" applyFont="1" applyFill="1" applyBorder="1" applyAlignment="1">
      <alignment horizontal="left" vertical="center" wrapText="1"/>
    </xf>
    <xf numFmtId="4" fontId="21" fillId="0" borderId="2" xfId="3" applyNumberFormat="1" applyFont="1" applyFill="1" applyBorder="1" applyAlignment="1">
      <alignment horizontal="center" vertical="center"/>
    </xf>
    <xf numFmtId="4" fontId="21" fillId="0" borderId="2" xfId="3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21" fillId="0" borderId="2" xfId="6" applyFont="1" applyFill="1" applyBorder="1" applyAlignment="1">
      <alignment horizontal="justify" vertical="center" wrapText="1"/>
    </xf>
    <xf numFmtId="4" fontId="21" fillId="0" borderId="2" xfId="6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" fontId="19" fillId="0" borderId="2" xfId="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8" xfId="0" applyFont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9" fontId="8" fillId="0" borderId="2" xfId="2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9" fontId="8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/>
    <xf numFmtId="167" fontId="3" fillId="0" borderId="2" xfId="0" applyNumberFormat="1" applyFont="1" applyFill="1" applyBorder="1" applyAlignment="1" applyProtection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 applyFill="1"/>
    <xf numFmtId="2" fontId="7" fillId="0" borderId="0" xfId="0" applyNumberFormat="1" applyFont="1" applyFill="1"/>
    <xf numFmtId="0" fontId="3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167" fontId="8" fillId="3" borderId="16" xfId="0" applyNumberFormat="1" applyFont="1" applyFill="1" applyBorder="1" applyAlignment="1">
      <alignment horizontal="center" vertical="center"/>
    </xf>
    <xf numFmtId="167" fontId="8" fillId="3" borderId="18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/>
    </xf>
    <xf numFmtId="0" fontId="4" fillId="2" borderId="22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2" borderId="1" xfId="1" applyAlignment="1">
      <alignment horizontal="center" vertical="center"/>
    </xf>
    <xf numFmtId="0" fontId="4" fillId="2" borderId="8" xfId="1" applyFont="1" applyBorder="1" applyAlignment="1">
      <alignment horizontal="center" vertical="center"/>
    </xf>
    <xf numFmtId="0" fontId="4" fillId="2" borderId="9" xfId="1" applyFont="1" applyBorder="1" applyAlignment="1">
      <alignment horizontal="center" vertical="center"/>
    </xf>
    <xf numFmtId="0" fontId="4" fillId="2" borderId="8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4" fillId="2" borderId="7" xfId="1" applyFont="1" applyBorder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4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9" fillId="0" borderId="2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</cellXfs>
  <cellStyles count="7">
    <cellStyle name="Check Cell" xfId="1" builtinId="23"/>
    <cellStyle name="Normal" xfId="0" builtinId="0"/>
    <cellStyle name="Normal 2 3" xfId="5"/>
    <cellStyle name="Normal 3" xfId="3"/>
    <cellStyle name="Normal_Direct Cost &amp; Revenue as of May 22 2003" xfId="6"/>
    <cellStyle name="Percent" xfId="2" builtinId="5"/>
    <cellStyle name="Обычный_Лист1" xfId="4"/>
  </cellStyles>
  <dxfs count="2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tiko/OneDrive/Projects/IGH%20Institut/2.%20&#4320;&#4317;&#4328;&#4313;&#4304;-&#4326;&#4308;&#4314;&#4312;&#4321;&#4309;&#4304;&#4313;&#4308;/BoQ/RG-BoQ-Updated%2008.02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tiko/OneDrive/Projects/IGH%20Institut/1.%20&#4315;&#4304;&#4320;&#4316;&#4308;&#4323;&#4314;&#4312;-&#4306;&#4323;&#4306;&#4323;&#4311;&#4312;-Task%204/BoQ/Marneuli-Guguti-xidebi%2006.06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tiko/OneDrive/Projects/Absolute%20Service/2.%20&#4334;&#4317;&#4305;&#4312;/BoQ/Xobi-BoQ%2015.06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ლოკალური ხარჯთაღრიცხვა"/>
      <sheetName val="სატენდერო შევსებული"/>
      <sheetName val="ტრანსპორტირება"/>
    </sheetNames>
    <sheetDataSet>
      <sheetData sheetId="0" refreshError="1"/>
      <sheetData sheetId="1" refreshError="1"/>
      <sheetData sheetId="2" refreshError="1"/>
      <sheetData sheetId="3">
        <row r="22">
          <cell r="J22">
            <v>95</v>
          </cell>
          <cell r="K22">
            <v>17.2</v>
          </cell>
        </row>
        <row r="29">
          <cell r="J29">
            <v>121</v>
          </cell>
          <cell r="K29">
            <v>18.77</v>
          </cell>
        </row>
        <row r="31">
          <cell r="J31">
            <v>126</v>
          </cell>
          <cell r="K31">
            <v>18.77</v>
          </cell>
        </row>
        <row r="33">
          <cell r="J33">
            <v>1520</v>
          </cell>
          <cell r="K33">
            <v>34.840000000000003</v>
          </cell>
        </row>
        <row r="44">
          <cell r="J44">
            <v>475</v>
          </cell>
          <cell r="K44">
            <v>20.9</v>
          </cell>
        </row>
        <row r="46">
          <cell r="J46">
            <v>280</v>
          </cell>
          <cell r="K46">
            <v>24.39</v>
          </cell>
        </row>
        <row r="48">
          <cell r="J48">
            <v>1250</v>
          </cell>
          <cell r="K48">
            <v>7.82</v>
          </cell>
        </row>
        <row r="51">
          <cell r="K51">
            <v>34.840000000000003</v>
          </cell>
        </row>
        <row r="52">
          <cell r="J52">
            <v>2087</v>
          </cell>
          <cell r="K52">
            <v>34.840000000000003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1-1"/>
      <sheetName val="1-2"/>
      <sheetName val="1-3"/>
      <sheetName val="ტრანსპორტირება"/>
    </sheetNames>
    <sheetDataSet>
      <sheetData sheetId="0"/>
      <sheetData sheetId="1"/>
      <sheetData sheetId="2"/>
      <sheetData sheetId="3"/>
      <sheetData sheetId="4">
        <row r="37">
          <cell r="J37">
            <v>28</v>
          </cell>
        </row>
        <row r="45">
          <cell r="J45">
            <v>995</v>
          </cell>
          <cell r="K45">
            <v>7.82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1-1"/>
      <sheetName val="2-1"/>
      <sheetName val="3-1"/>
      <sheetName val="3-2"/>
      <sheetName val="3-3"/>
      <sheetName val="3-4"/>
      <sheetName val="3-5"/>
      <sheetName val="4-1"/>
      <sheetName val="5-1"/>
      <sheetName val="5-2"/>
      <sheetName val="5-3"/>
      <sheetName val="სატენდერო კრებსითი"/>
      <sheetName val="სატენდერო"/>
      <sheetName val="ტრანსპორტირებ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0">
          <cell r="K40">
            <v>19.5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72"/>
  <sheetViews>
    <sheetView tabSelected="1" view="pageBreakPreview" zoomScale="55" zoomScaleNormal="55" zoomScaleSheetLayoutView="55" workbookViewId="0">
      <selection activeCell="B10" sqref="B10"/>
    </sheetView>
  </sheetViews>
  <sheetFormatPr defaultRowHeight="15" x14ac:dyDescent="0.25"/>
  <cols>
    <col min="1" max="1" width="15.7109375" style="54" customWidth="1"/>
    <col min="2" max="2" width="105.7109375" style="54" customWidth="1"/>
    <col min="3" max="3" width="9.7109375" style="54" customWidth="1"/>
    <col min="4" max="6" width="32.7109375" style="54" customWidth="1"/>
    <col min="7" max="7" width="34.7109375" style="54" customWidth="1"/>
    <col min="8" max="10" width="20.7109375" style="54" customWidth="1"/>
    <col min="11" max="16384" width="9.140625" style="54"/>
  </cols>
  <sheetData>
    <row r="1" spans="1:7" ht="15" customHeight="1" x14ac:dyDescent="0.25">
      <c r="A1" s="180"/>
      <c r="B1" s="180"/>
      <c r="C1" s="145"/>
      <c r="D1" s="145"/>
      <c r="E1" s="181"/>
      <c r="F1" s="181"/>
      <c r="G1" s="177"/>
    </row>
    <row r="2" spans="1:7" ht="80.099999999999994" customHeight="1" x14ac:dyDescent="0.25">
      <c r="A2" s="184" t="s">
        <v>749</v>
      </c>
      <c r="B2" s="185"/>
      <c r="C2" s="185"/>
      <c r="D2" s="185"/>
      <c r="E2" s="185"/>
      <c r="F2" s="185"/>
      <c r="G2" s="185"/>
    </row>
    <row r="3" spans="1:7" ht="39.950000000000003" customHeight="1" x14ac:dyDescent="0.25">
      <c r="A3" s="186" t="s">
        <v>0</v>
      </c>
      <c r="B3" s="186" t="s">
        <v>658</v>
      </c>
      <c r="C3" s="186" t="s">
        <v>750</v>
      </c>
      <c r="D3" s="187" t="s">
        <v>751</v>
      </c>
      <c r="E3" s="187" t="s">
        <v>752</v>
      </c>
      <c r="F3" s="187" t="s">
        <v>753</v>
      </c>
      <c r="G3" s="187" t="s">
        <v>754</v>
      </c>
    </row>
    <row r="4" spans="1:7" ht="39.950000000000003" customHeight="1" x14ac:dyDescent="0.25">
      <c r="A4" s="186"/>
      <c r="B4" s="186"/>
      <c r="C4" s="186"/>
      <c r="D4" s="187"/>
      <c r="E4" s="187"/>
      <c r="F4" s="187"/>
      <c r="G4" s="187"/>
    </row>
    <row r="5" spans="1:7" ht="39.950000000000003" customHeight="1" x14ac:dyDescent="0.25">
      <c r="A5" s="186"/>
      <c r="B5" s="186"/>
      <c r="C5" s="186"/>
      <c r="D5" s="187"/>
      <c r="E5" s="187"/>
      <c r="F5" s="187"/>
      <c r="G5" s="187"/>
    </row>
    <row r="6" spans="1:7" ht="39.950000000000003" customHeight="1" x14ac:dyDescent="0.25">
      <c r="A6" s="146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</row>
    <row r="7" spans="1:7" ht="39.950000000000003" customHeight="1" x14ac:dyDescent="0.25">
      <c r="A7" s="182" t="s">
        <v>1321</v>
      </c>
      <c r="B7" s="183"/>
      <c r="C7" s="183"/>
      <c r="D7" s="183"/>
      <c r="E7" s="183"/>
      <c r="F7" s="183"/>
      <c r="G7" s="183"/>
    </row>
    <row r="8" spans="1:7" ht="39.950000000000003" customHeight="1" x14ac:dyDescent="0.25">
      <c r="A8" s="72" t="s">
        <v>755</v>
      </c>
      <c r="B8" s="147" t="str">
        <f>'1-1'!B8</f>
        <v>მიწის ვაკისი</v>
      </c>
      <c r="C8" s="147"/>
      <c r="D8" s="147">
        <f>'1-1'!G93</f>
        <v>0</v>
      </c>
      <c r="E8" s="147">
        <f>'1-1'!I93</f>
        <v>0</v>
      </c>
      <c r="F8" s="147">
        <f>'1-1'!K93</f>
        <v>0</v>
      </c>
      <c r="G8" s="147">
        <f>'1-1'!L93</f>
        <v>0</v>
      </c>
    </row>
    <row r="9" spans="1:7" ht="39.950000000000003" customHeight="1" x14ac:dyDescent="0.25">
      <c r="A9" s="182" t="s">
        <v>1322</v>
      </c>
      <c r="B9" s="183"/>
      <c r="C9" s="183"/>
      <c r="D9" s="183"/>
      <c r="E9" s="183"/>
      <c r="F9" s="183"/>
      <c r="G9" s="183"/>
    </row>
    <row r="10" spans="1:7" ht="39.950000000000003" customHeight="1" x14ac:dyDescent="0.25">
      <c r="A10" s="72" t="s">
        <v>756</v>
      </c>
      <c r="B10" s="147" t="str">
        <f>'2-1'!B8</f>
        <v>ტრანშეის შევსების სამუშაოები</v>
      </c>
      <c r="C10" s="147"/>
      <c r="D10" s="147">
        <f>'2-1'!G19</f>
        <v>0</v>
      </c>
      <c r="E10" s="147">
        <f>'2-1'!I19</f>
        <v>0</v>
      </c>
      <c r="F10" s="147">
        <f>'2-1'!K19</f>
        <v>0</v>
      </c>
      <c r="G10" s="147">
        <f>'2-1'!L19</f>
        <v>0</v>
      </c>
    </row>
    <row r="11" spans="1:7" ht="39.950000000000003" customHeight="1" x14ac:dyDescent="0.25">
      <c r="A11" s="182" t="s">
        <v>1323</v>
      </c>
      <c r="B11" s="183"/>
      <c r="C11" s="183"/>
      <c r="D11" s="183"/>
      <c r="E11" s="183"/>
      <c r="F11" s="183"/>
      <c r="G11" s="183"/>
    </row>
    <row r="12" spans="1:7" ht="39.950000000000003" customHeight="1" x14ac:dyDescent="0.25">
      <c r="A12" s="72" t="s">
        <v>757</v>
      </c>
      <c r="B12" s="147" t="str">
        <f>'3-1'!B8</f>
        <v>საგზაო სამოსის მოწყობა</v>
      </c>
      <c r="C12" s="147"/>
      <c r="D12" s="148">
        <f>'3-1'!G48</f>
        <v>0</v>
      </c>
      <c r="E12" s="148">
        <f>'3-1'!I48</f>
        <v>0</v>
      </c>
      <c r="F12" s="148">
        <f>'3-1'!K48</f>
        <v>0</v>
      </c>
      <c r="G12" s="148">
        <f>'3-1'!L48</f>
        <v>0</v>
      </c>
    </row>
    <row r="13" spans="1:7" ht="39.950000000000003" customHeight="1" x14ac:dyDescent="0.25">
      <c r="A13" s="182" t="s">
        <v>1324</v>
      </c>
      <c r="B13" s="183"/>
      <c r="C13" s="183"/>
      <c r="D13" s="183"/>
      <c r="E13" s="183"/>
      <c r="F13" s="183"/>
      <c r="G13" s="183"/>
    </row>
    <row r="14" spans="1:7" ht="39.950000000000003" customHeight="1" x14ac:dyDescent="0.25">
      <c r="A14" s="72" t="s">
        <v>758</v>
      </c>
      <c r="B14" s="147" t="str">
        <f>'4-1'!B8</f>
        <v>მიერთებებისა და ადგილობრივი შესასვლელების მოწყობის სამუშაოები</v>
      </c>
      <c r="C14" s="147"/>
      <c r="D14" s="148">
        <f>'4-1'!G34</f>
        <v>0</v>
      </c>
      <c r="E14" s="148">
        <f>'4-1'!I34</f>
        <v>0</v>
      </c>
      <c r="F14" s="148">
        <f>'4-1'!K34</f>
        <v>0</v>
      </c>
      <c r="G14" s="148">
        <f>'4-1'!L34</f>
        <v>0</v>
      </c>
    </row>
    <row r="15" spans="1:7" ht="39.950000000000003" customHeight="1" x14ac:dyDescent="0.25">
      <c r="A15" s="72" t="s">
        <v>1325</v>
      </c>
      <c r="B15" s="147" t="str">
        <f>'4-2'!B8</f>
        <v>ეზოებში შესასვლელების მოწყობის სამუშაოები</v>
      </c>
      <c r="C15" s="147"/>
      <c r="D15" s="148">
        <f>'4-2'!G34</f>
        <v>0</v>
      </c>
      <c r="E15" s="148">
        <f>'4-2'!I34</f>
        <v>0</v>
      </c>
      <c r="F15" s="148">
        <f>'4-2'!K34</f>
        <v>0</v>
      </c>
      <c r="G15" s="148">
        <f>'4-2'!L34</f>
        <v>0</v>
      </c>
    </row>
    <row r="16" spans="1:7" ht="39.950000000000003" customHeight="1" x14ac:dyDescent="0.25">
      <c r="A16" s="146"/>
      <c r="B16" s="147" t="s">
        <v>759</v>
      </c>
      <c r="C16" s="16"/>
      <c r="D16" s="149">
        <f>ROUND(D8+D10+D12+D14+D15,2)</f>
        <v>0</v>
      </c>
      <c r="E16" s="149">
        <f>ROUND(E8+E10+E12+E14+E15,2)</f>
        <v>0</v>
      </c>
      <c r="F16" s="149">
        <f>ROUND(F8+F10+F12+F14+F15,2)</f>
        <v>0</v>
      </c>
      <c r="G16" s="149">
        <f>ROUND(G8+G10+G12+G14+G15,2)</f>
        <v>0</v>
      </c>
    </row>
    <row r="17" spans="1:7" ht="39.950000000000003" customHeight="1" x14ac:dyDescent="0.25">
      <c r="A17" s="150"/>
      <c r="B17" s="146" t="s">
        <v>760</v>
      </c>
      <c r="C17" s="151">
        <v>0.05</v>
      </c>
      <c r="D17" s="16">
        <f>ROUND(D16*C17,2)</f>
        <v>0</v>
      </c>
      <c r="E17" s="16">
        <f>ROUND(E16*C17,2)</f>
        <v>0</v>
      </c>
      <c r="F17" s="16">
        <f>ROUND(F16*C17,2)</f>
        <v>0</v>
      </c>
      <c r="G17" s="16">
        <f>ROUND(G16*C17,2)</f>
        <v>0</v>
      </c>
    </row>
    <row r="18" spans="1:7" ht="39.950000000000003" customHeight="1" x14ac:dyDescent="0.25">
      <c r="A18" s="150"/>
      <c r="B18" s="146" t="s">
        <v>759</v>
      </c>
      <c r="C18" s="146"/>
      <c r="D18" s="16">
        <f>ROUND(SUM(D16:D17),2)</f>
        <v>0</v>
      </c>
      <c r="E18" s="16">
        <f>ROUND(SUM(E16:E17),2)</f>
        <v>0</v>
      </c>
      <c r="F18" s="16">
        <f>ROUND(SUM(F16:F17),2)</f>
        <v>0</v>
      </c>
      <c r="G18" s="149">
        <f>ROUND(SUM(G16:G17),2)</f>
        <v>0</v>
      </c>
    </row>
    <row r="19" spans="1:7" ht="39.950000000000003" customHeight="1" x14ac:dyDescent="0.25">
      <c r="A19" s="150"/>
      <c r="B19" s="146" t="s">
        <v>761</v>
      </c>
      <c r="C19" s="151">
        <v>0.18</v>
      </c>
      <c r="D19" s="16">
        <f>ROUND(D18*C19,2)</f>
        <v>0</v>
      </c>
      <c r="E19" s="16">
        <f>ROUND(E18*C19,2)</f>
        <v>0</v>
      </c>
      <c r="F19" s="16">
        <f>ROUND(F18*C19,2)</f>
        <v>0</v>
      </c>
      <c r="G19" s="16">
        <f>ROUND(G18*C19,2)</f>
        <v>0</v>
      </c>
    </row>
    <row r="20" spans="1:7" ht="39.950000000000003" customHeight="1" x14ac:dyDescent="0.25">
      <c r="A20" s="150"/>
      <c r="B20" s="146" t="s">
        <v>759</v>
      </c>
      <c r="C20" s="146"/>
      <c r="D20" s="152">
        <f>ROUND(SUM(D18:D19),2)</f>
        <v>0</v>
      </c>
      <c r="E20" s="152">
        <f>ROUND(SUM(E18:E19),2)</f>
        <v>0</v>
      </c>
      <c r="F20" s="152">
        <f>ROUND(SUM(F18:F19),2)</f>
        <v>0</v>
      </c>
      <c r="G20" s="152">
        <f>ROUND(SUM(G18:G19),2)</f>
        <v>0</v>
      </c>
    </row>
    <row r="21" spans="1:7" ht="39.950000000000003" customHeight="1" x14ac:dyDescent="0.35">
      <c r="A21" s="153"/>
      <c r="B21" s="154"/>
      <c r="C21" s="155"/>
      <c r="D21" s="155"/>
      <c r="E21" s="155"/>
      <c r="F21" s="155"/>
      <c r="G21" s="156"/>
    </row>
    <row r="22" spans="1:7" ht="39.950000000000003" customHeight="1" x14ac:dyDescent="0.35">
      <c r="A22" s="153"/>
      <c r="B22" s="154"/>
      <c r="C22" s="155"/>
      <c r="D22" s="155"/>
      <c r="E22" s="155"/>
      <c r="F22" s="155"/>
      <c r="G22" s="155"/>
    </row>
    <row r="23" spans="1:7" ht="39.950000000000003" customHeight="1" x14ac:dyDescent="0.35">
      <c r="A23" s="153"/>
      <c r="B23" s="154"/>
      <c r="C23" s="155"/>
      <c r="D23" s="155"/>
      <c r="E23" s="155"/>
      <c r="F23" s="155"/>
      <c r="G23" s="155"/>
    </row>
    <row r="24" spans="1:7" ht="39.950000000000003" customHeight="1" x14ac:dyDescent="0.35">
      <c r="A24" s="153"/>
      <c r="B24" s="154"/>
      <c r="C24" s="155"/>
      <c r="D24" s="155"/>
      <c r="E24" s="155"/>
      <c r="F24" s="155"/>
      <c r="G24" s="155"/>
    </row>
    <row r="25" spans="1:7" ht="39.950000000000003" customHeight="1" x14ac:dyDescent="0.35">
      <c r="A25" s="153"/>
      <c r="B25" s="154"/>
      <c r="C25" s="155"/>
      <c r="D25" s="155"/>
      <c r="E25" s="155"/>
      <c r="F25" s="155"/>
      <c r="G25" s="155"/>
    </row>
    <row r="26" spans="1:7" ht="39.950000000000003" customHeight="1" x14ac:dyDescent="0.35">
      <c r="A26" s="153"/>
      <c r="B26" s="154"/>
      <c r="C26" s="155"/>
      <c r="D26" s="155"/>
      <c r="E26" s="155"/>
      <c r="F26" s="155"/>
      <c r="G26" s="155"/>
    </row>
    <row r="27" spans="1:7" ht="39.950000000000003" customHeight="1" x14ac:dyDescent="0.35">
      <c r="A27" s="153"/>
      <c r="B27" s="154"/>
      <c r="C27" s="155"/>
      <c r="D27" s="155"/>
      <c r="E27" s="155"/>
      <c r="F27" s="155"/>
      <c r="G27" s="155"/>
    </row>
    <row r="28" spans="1:7" ht="39.950000000000003" customHeight="1" x14ac:dyDescent="0.35">
      <c r="A28" s="153"/>
      <c r="B28" s="154"/>
      <c r="C28" s="155"/>
      <c r="D28" s="155"/>
      <c r="E28" s="155"/>
      <c r="F28" s="155"/>
      <c r="G28" s="155"/>
    </row>
    <row r="29" spans="1:7" ht="39.950000000000003" customHeight="1" x14ac:dyDescent="0.35">
      <c r="A29" s="153"/>
      <c r="B29" s="154"/>
      <c r="C29" s="155"/>
      <c r="D29" s="155"/>
      <c r="E29" s="155"/>
      <c r="F29" s="155"/>
      <c r="G29" s="155"/>
    </row>
    <row r="30" spans="1:7" ht="39.950000000000003" customHeight="1" x14ac:dyDescent="0.35">
      <c r="A30" s="153"/>
      <c r="B30" s="154"/>
      <c r="C30" s="155"/>
      <c r="D30" s="155"/>
      <c r="E30" s="155"/>
      <c r="F30" s="155"/>
      <c r="G30" s="155"/>
    </row>
    <row r="31" spans="1:7" ht="39.950000000000003" customHeight="1" x14ac:dyDescent="0.35">
      <c r="A31" s="153"/>
      <c r="B31" s="154"/>
      <c r="C31" s="155"/>
      <c r="D31" s="155"/>
      <c r="E31" s="155"/>
      <c r="F31" s="155"/>
      <c r="G31" s="155"/>
    </row>
    <row r="32" spans="1:7" ht="39.950000000000003" customHeight="1" x14ac:dyDescent="0.35">
      <c r="A32" s="153"/>
      <c r="B32" s="154"/>
      <c r="C32" s="155"/>
      <c r="D32" s="155"/>
      <c r="E32" s="155"/>
      <c r="F32" s="155"/>
      <c r="G32" s="155"/>
    </row>
    <row r="33" spans="1:7" ht="39.950000000000003" customHeight="1" x14ac:dyDescent="0.35">
      <c r="A33" s="153"/>
      <c r="B33" s="154"/>
      <c r="C33" s="155"/>
      <c r="D33" s="155"/>
      <c r="E33" s="155"/>
      <c r="F33" s="155"/>
      <c r="G33" s="155"/>
    </row>
    <row r="34" spans="1:7" ht="39.950000000000003" customHeight="1" x14ac:dyDescent="0.35">
      <c r="A34" s="153"/>
      <c r="B34" s="154"/>
      <c r="C34" s="155"/>
      <c r="D34" s="155"/>
      <c r="E34" s="155"/>
      <c r="F34" s="155"/>
      <c r="G34" s="155"/>
    </row>
    <row r="35" spans="1:7" ht="39.950000000000003" customHeight="1" x14ac:dyDescent="0.35">
      <c r="A35" s="153"/>
      <c r="B35" s="154"/>
      <c r="C35" s="155"/>
      <c r="D35" s="155"/>
      <c r="E35" s="155"/>
      <c r="F35" s="155"/>
      <c r="G35" s="155"/>
    </row>
    <row r="36" spans="1:7" ht="39.950000000000003" customHeight="1" x14ac:dyDescent="0.35">
      <c r="A36" s="153"/>
      <c r="B36" s="154"/>
      <c r="C36" s="155"/>
      <c r="D36" s="155"/>
      <c r="E36" s="155"/>
      <c r="F36" s="155"/>
      <c r="G36" s="155"/>
    </row>
    <row r="37" spans="1:7" ht="39.950000000000003" customHeight="1" x14ac:dyDescent="0.35">
      <c r="A37" s="153"/>
      <c r="B37" s="154"/>
      <c r="C37" s="155"/>
      <c r="D37" s="155"/>
      <c r="E37" s="155"/>
      <c r="F37" s="155"/>
      <c r="G37" s="155"/>
    </row>
    <row r="38" spans="1:7" ht="39.950000000000003" customHeight="1" x14ac:dyDescent="0.35">
      <c r="A38" s="153"/>
      <c r="B38" s="154"/>
      <c r="C38" s="155"/>
      <c r="D38" s="155"/>
      <c r="E38" s="155"/>
      <c r="F38" s="155"/>
      <c r="G38" s="155"/>
    </row>
    <row r="39" spans="1:7" ht="39.950000000000003" customHeight="1" x14ac:dyDescent="0.35">
      <c r="A39" s="153"/>
      <c r="B39" s="154"/>
      <c r="C39" s="155"/>
      <c r="D39" s="155"/>
      <c r="E39" s="155"/>
      <c r="F39" s="155"/>
      <c r="G39" s="155"/>
    </row>
    <row r="40" spans="1:7" ht="39.950000000000003" customHeight="1" x14ac:dyDescent="0.35">
      <c r="A40" s="153"/>
      <c r="B40" s="154"/>
      <c r="C40" s="155"/>
      <c r="D40" s="155"/>
      <c r="E40" s="155"/>
      <c r="F40" s="155"/>
      <c r="G40" s="155"/>
    </row>
    <row r="41" spans="1:7" ht="39.950000000000003" customHeight="1" x14ac:dyDescent="0.35">
      <c r="A41" s="153"/>
      <c r="B41" s="154"/>
      <c r="C41" s="155"/>
      <c r="D41" s="155"/>
      <c r="E41" s="155"/>
      <c r="F41" s="155"/>
      <c r="G41" s="155"/>
    </row>
    <row r="42" spans="1:7" ht="39.950000000000003" customHeight="1" x14ac:dyDescent="0.35">
      <c r="A42" s="153"/>
      <c r="B42" s="154"/>
      <c r="C42" s="155"/>
      <c r="D42" s="155"/>
      <c r="E42" s="155"/>
      <c r="F42" s="155"/>
      <c r="G42" s="155"/>
    </row>
    <row r="43" spans="1:7" ht="39.950000000000003" customHeight="1" x14ac:dyDescent="0.35">
      <c r="A43" s="153"/>
      <c r="B43" s="154"/>
      <c r="C43" s="155"/>
      <c r="D43" s="155"/>
      <c r="E43" s="155"/>
      <c r="F43" s="155"/>
      <c r="G43" s="155"/>
    </row>
    <row r="44" spans="1:7" ht="39.950000000000003" customHeight="1" x14ac:dyDescent="0.35">
      <c r="A44" s="153"/>
      <c r="B44" s="154"/>
      <c r="C44" s="155"/>
      <c r="D44" s="155"/>
      <c r="E44" s="155"/>
      <c r="F44" s="155"/>
      <c r="G44" s="155"/>
    </row>
    <row r="45" spans="1:7" ht="39.950000000000003" customHeight="1" x14ac:dyDescent="0.35">
      <c r="A45" s="153"/>
      <c r="B45" s="154"/>
      <c r="C45" s="155"/>
      <c r="D45" s="155"/>
      <c r="E45" s="155"/>
      <c r="F45" s="155"/>
      <c r="G45" s="155"/>
    </row>
    <row r="46" spans="1:7" ht="39.950000000000003" customHeight="1" x14ac:dyDescent="0.35">
      <c r="A46" s="153"/>
      <c r="B46" s="154"/>
      <c r="C46" s="155"/>
      <c r="D46" s="155"/>
      <c r="E46" s="155"/>
      <c r="F46" s="155"/>
      <c r="G46" s="155"/>
    </row>
    <row r="47" spans="1:7" ht="39.950000000000003" customHeight="1" x14ac:dyDescent="0.35">
      <c r="A47" s="153"/>
      <c r="B47" s="154"/>
      <c r="C47" s="155"/>
      <c r="D47" s="155"/>
      <c r="E47" s="155"/>
      <c r="F47" s="155"/>
      <c r="G47" s="155"/>
    </row>
    <row r="48" spans="1:7" ht="39.950000000000003" customHeight="1" x14ac:dyDescent="0.35">
      <c r="A48" s="153"/>
      <c r="B48" s="154"/>
      <c r="C48" s="155"/>
      <c r="D48" s="155"/>
      <c r="E48" s="155"/>
      <c r="F48" s="155"/>
      <c r="G48" s="155"/>
    </row>
    <row r="49" spans="1:7" ht="39.950000000000003" customHeight="1" x14ac:dyDescent="0.35">
      <c r="A49" s="153"/>
      <c r="B49" s="154"/>
      <c r="C49" s="155"/>
      <c r="D49" s="155"/>
      <c r="E49" s="155"/>
      <c r="F49" s="155"/>
      <c r="G49" s="155"/>
    </row>
    <row r="50" spans="1:7" ht="39.950000000000003" customHeight="1" x14ac:dyDescent="0.35">
      <c r="A50" s="153"/>
      <c r="B50" s="154"/>
      <c r="C50" s="155"/>
      <c r="D50" s="155"/>
      <c r="E50" s="155"/>
      <c r="F50" s="155"/>
      <c r="G50" s="155"/>
    </row>
    <row r="51" spans="1:7" ht="39.950000000000003" customHeight="1" x14ac:dyDescent="0.35">
      <c r="A51" s="153"/>
      <c r="B51" s="154"/>
      <c r="C51" s="155"/>
      <c r="D51" s="155"/>
      <c r="E51" s="155"/>
      <c r="F51" s="155"/>
      <c r="G51" s="155"/>
    </row>
    <row r="52" spans="1:7" ht="39.950000000000003" customHeight="1" x14ac:dyDescent="0.35">
      <c r="A52" s="153"/>
      <c r="B52" s="154"/>
      <c r="C52" s="155"/>
      <c r="D52" s="155"/>
      <c r="E52" s="155"/>
      <c r="F52" s="155"/>
      <c r="G52" s="155"/>
    </row>
    <row r="53" spans="1:7" ht="39.950000000000003" customHeight="1" x14ac:dyDescent="0.35">
      <c r="A53" s="153"/>
      <c r="B53" s="154"/>
      <c r="C53" s="155"/>
      <c r="D53" s="155"/>
      <c r="E53" s="155"/>
      <c r="F53" s="155"/>
      <c r="G53" s="155"/>
    </row>
    <row r="54" spans="1:7" ht="39.950000000000003" customHeight="1" x14ac:dyDescent="0.35">
      <c r="A54" s="153"/>
      <c r="B54" s="154"/>
      <c r="C54" s="155"/>
      <c r="D54" s="155"/>
      <c r="E54" s="155"/>
      <c r="F54" s="155"/>
      <c r="G54" s="155"/>
    </row>
    <row r="55" spans="1:7" ht="39.950000000000003" customHeight="1" x14ac:dyDescent="0.35">
      <c r="A55" s="153"/>
      <c r="B55" s="154"/>
      <c r="C55" s="155"/>
      <c r="D55" s="155"/>
      <c r="E55" s="155"/>
      <c r="F55" s="155"/>
      <c r="G55" s="155"/>
    </row>
    <row r="56" spans="1:7" x14ac:dyDescent="0.25">
      <c r="B56" s="157"/>
      <c r="C56" s="158"/>
      <c r="D56" s="158"/>
      <c r="E56" s="158"/>
      <c r="F56" s="158"/>
      <c r="G56" s="158"/>
    </row>
    <row r="57" spans="1:7" x14ac:dyDescent="0.25">
      <c r="B57" s="157"/>
      <c r="C57" s="158"/>
      <c r="D57" s="158"/>
      <c r="E57" s="158"/>
      <c r="F57" s="158"/>
      <c r="G57" s="158"/>
    </row>
    <row r="58" spans="1:7" x14ac:dyDescent="0.25">
      <c r="B58" s="157"/>
      <c r="C58" s="158"/>
      <c r="D58" s="158"/>
      <c r="E58" s="158"/>
      <c r="F58" s="158"/>
      <c r="G58" s="158"/>
    </row>
    <row r="59" spans="1:7" x14ac:dyDescent="0.25">
      <c r="B59" s="157"/>
      <c r="C59" s="158"/>
      <c r="D59" s="158"/>
      <c r="E59" s="158"/>
      <c r="F59" s="158"/>
      <c r="G59" s="158"/>
    </row>
    <row r="60" spans="1:7" x14ac:dyDescent="0.25">
      <c r="B60" s="157"/>
      <c r="C60" s="157"/>
      <c r="D60" s="157"/>
      <c r="E60" s="157"/>
      <c r="F60" s="157"/>
      <c r="G60" s="157"/>
    </row>
    <row r="61" spans="1:7" x14ac:dyDescent="0.25">
      <c r="B61" s="157"/>
      <c r="C61" s="157"/>
      <c r="D61" s="157"/>
      <c r="E61" s="157"/>
      <c r="F61" s="157"/>
      <c r="G61" s="157"/>
    </row>
    <row r="62" spans="1:7" x14ac:dyDescent="0.25">
      <c r="B62" s="157"/>
      <c r="C62" s="157"/>
      <c r="D62" s="157"/>
      <c r="E62" s="157"/>
      <c r="F62" s="157"/>
      <c r="G62" s="157"/>
    </row>
    <row r="63" spans="1:7" x14ac:dyDescent="0.25">
      <c r="B63" s="157"/>
      <c r="C63" s="157"/>
      <c r="D63" s="157"/>
      <c r="E63" s="157"/>
      <c r="F63" s="157"/>
      <c r="G63" s="157"/>
    </row>
    <row r="64" spans="1:7" x14ac:dyDescent="0.25">
      <c r="B64" s="157"/>
      <c r="C64" s="157"/>
      <c r="D64" s="157"/>
      <c r="E64" s="157"/>
      <c r="F64" s="157"/>
      <c r="G64" s="157"/>
    </row>
    <row r="65" spans="2:7" x14ac:dyDescent="0.25">
      <c r="B65" s="157"/>
      <c r="C65" s="157"/>
      <c r="D65" s="157"/>
      <c r="E65" s="157"/>
      <c r="F65" s="157"/>
      <c r="G65" s="157"/>
    </row>
    <row r="66" spans="2:7" x14ac:dyDescent="0.25">
      <c r="B66" s="157"/>
      <c r="C66" s="157"/>
      <c r="D66" s="157"/>
      <c r="E66" s="157"/>
      <c r="F66" s="157"/>
      <c r="G66" s="157"/>
    </row>
    <row r="67" spans="2:7" x14ac:dyDescent="0.25">
      <c r="B67" s="157"/>
      <c r="C67" s="157"/>
      <c r="D67" s="157"/>
      <c r="E67" s="157"/>
      <c r="F67" s="157"/>
      <c r="G67" s="157"/>
    </row>
    <row r="68" spans="2:7" x14ac:dyDescent="0.25">
      <c r="B68" s="157"/>
      <c r="C68" s="157"/>
      <c r="D68" s="157"/>
      <c r="E68" s="157"/>
      <c r="F68" s="157"/>
      <c r="G68" s="157"/>
    </row>
    <row r="69" spans="2:7" x14ac:dyDescent="0.25">
      <c r="B69" s="157"/>
      <c r="C69" s="157"/>
      <c r="D69" s="157"/>
      <c r="E69" s="157"/>
      <c r="F69" s="157"/>
      <c r="G69" s="157"/>
    </row>
    <row r="70" spans="2:7" x14ac:dyDescent="0.25">
      <c r="B70" s="157"/>
      <c r="C70" s="157"/>
      <c r="D70" s="157"/>
      <c r="E70" s="157"/>
      <c r="F70" s="157"/>
      <c r="G70" s="157"/>
    </row>
    <row r="71" spans="2:7" x14ac:dyDescent="0.25">
      <c r="B71" s="157"/>
      <c r="C71" s="157"/>
      <c r="D71" s="157"/>
      <c r="E71" s="157"/>
      <c r="F71" s="157"/>
      <c r="G71" s="157"/>
    </row>
    <row r="72" spans="2:7" x14ac:dyDescent="0.25">
      <c r="B72" s="157"/>
      <c r="C72" s="157"/>
      <c r="D72" s="157"/>
      <c r="E72" s="157"/>
      <c r="F72" s="157"/>
      <c r="G72" s="157"/>
    </row>
  </sheetData>
  <mergeCells count="14">
    <mergeCell ref="A13:G13"/>
    <mergeCell ref="A1:B1"/>
    <mergeCell ref="E1:F1"/>
    <mergeCell ref="A2:G2"/>
    <mergeCell ref="A3:A5"/>
    <mergeCell ref="B3:B5"/>
    <mergeCell ref="C3:C5"/>
    <mergeCell ref="D3:D5"/>
    <mergeCell ref="E3:E5"/>
    <mergeCell ref="F3:F5"/>
    <mergeCell ref="G3:G5"/>
    <mergeCell ref="A7:G7"/>
    <mergeCell ref="A9:G9"/>
    <mergeCell ref="A11:G11"/>
  </mergeCells>
  <pageMargins left="0.7" right="0.7" top="0.75" bottom="0.75" header="0.3" footer="0.3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2:Y36"/>
  <sheetViews>
    <sheetView topLeftCell="A11" zoomScale="80" zoomScaleNormal="80" workbookViewId="0">
      <selection activeCell="B30" sqref="B30"/>
    </sheetView>
  </sheetViews>
  <sheetFormatPr defaultRowHeight="15" x14ac:dyDescent="0.25"/>
  <cols>
    <col min="1" max="1" width="3.7109375" customWidth="1"/>
  </cols>
  <sheetData>
    <row r="2" spans="1:21" s="73" customFormat="1" ht="15" customHeight="1" x14ac:dyDescent="0.25">
      <c r="A2" s="81"/>
      <c r="B2" s="261" t="s">
        <v>877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</row>
    <row r="3" spans="1:21" x14ac:dyDescent="0.25">
      <c r="A3" s="81"/>
      <c r="B3" s="262" t="s">
        <v>875</v>
      </c>
      <c r="C3" s="262" t="s">
        <v>876</v>
      </c>
      <c r="D3" s="258" t="s">
        <v>890</v>
      </c>
      <c r="E3" s="259"/>
      <c r="F3" s="259"/>
      <c r="G3" s="259"/>
      <c r="H3" s="259"/>
      <c r="I3" s="260"/>
      <c r="J3" s="258" t="s">
        <v>878</v>
      </c>
      <c r="K3" s="259"/>
      <c r="L3" s="259"/>
      <c r="M3" s="259"/>
      <c r="N3" s="259"/>
      <c r="O3" s="260"/>
      <c r="P3" s="258" t="s">
        <v>879</v>
      </c>
      <c r="Q3" s="259"/>
      <c r="R3" s="259"/>
      <c r="S3" s="259"/>
      <c r="T3" s="259"/>
      <c r="U3" s="260"/>
    </row>
    <row r="4" spans="1:21" x14ac:dyDescent="0.25">
      <c r="A4" s="81"/>
      <c r="B4" s="262"/>
      <c r="C4" s="262"/>
      <c r="D4" s="78">
        <v>1</v>
      </c>
      <c r="E4" s="78">
        <v>2</v>
      </c>
      <c r="F4" s="78">
        <v>3</v>
      </c>
      <c r="G4" s="78">
        <v>4</v>
      </c>
      <c r="H4" s="78">
        <v>5</v>
      </c>
      <c r="I4" s="78">
        <v>6</v>
      </c>
      <c r="J4" s="78">
        <v>1</v>
      </c>
      <c r="K4" s="78">
        <v>2</v>
      </c>
      <c r="L4" s="78">
        <v>3</v>
      </c>
      <c r="M4" s="78">
        <v>4</v>
      </c>
      <c r="N4" s="78">
        <v>5</v>
      </c>
      <c r="O4" s="78">
        <v>6</v>
      </c>
      <c r="P4" s="78">
        <v>1</v>
      </c>
      <c r="Q4" s="78">
        <v>2</v>
      </c>
      <c r="R4" s="78">
        <v>3</v>
      </c>
      <c r="S4" s="78">
        <v>4</v>
      </c>
      <c r="T4" s="78">
        <v>5</v>
      </c>
      <c r="U4" s="78">
        <v>6</v>
      </c>
    </row>
    <row r="5" spans="1:21" x14ac:dyDescent="0.25">
      <c r="A5" s="81"/>
      <c r="B5" s="262"/>
      <c r="C5" s="262"/>
      <c r="D5" s="78">
        <v>1</v>
      </c>
      <c r="E5" s="78">
        <v>2</v>
      </c>
      <c r="F5" s="78">
        <v>3</v>
      </c>
      <c r="G5" s="78">
        <v>4</v>
      </c>
      <c r="H5" s="78">
        <v>5</v>
      </c>
      <c r="I5" s="78">
        <v>6</v>
      </c>
      <c r="J5" s="78">
        <v>7</v>
      </c>
      <c r="K5" s="78">
        <v>8</v>
      </c>
      <c r="L5" s="78">
        <v>9</v>
      </c>
      <c r="M5" s="78">
        <v>10</v>
      </c>
      <c r="N5" s="78">
        <v>11</v>
      </c>
      <c r="O5" s="78">
        <v>12</v>
      </c>
      <c r="P5" s="78">
        <v>13</v>
      </c>
      <c r="Q5" s="78">
        <v>14</v>
      </c>
      <c r="R5" s="78">
        <v>15</v>
      </c>
      <c r="S5" s="78">
        <v>16</v>
      </c>
      <c r="T5" s="78">
        <v>17</v>
      </c>
      <c r="U5" s="78">
        <v>18</v>
      </c>
    </row>
    <row r="6" spans="1:21" ht="22.5" x14ac:dyDescent="0.25">
      <c r="A6" s="81"/>
      <c r="B6" s="76" t="s">
        <v>881</v>
      </c>
      <c r="C6" s="77" t="s">
        <v>882</v>
      </c>
      <c r="D6" s="77">
        <v>6</v>
      </c>
      <c r="E6" s="77">
        <v>7.25</v>
      </c>
      <c r="F6" s="77">
        <v>9.25</v>
      </c>
      <c r="G6" s="77">
        <v>12</v>
      </c>
      <c r="H6" s="77">
        <v>15.5</v>
      </c>
      <c r="I6" s="77">
        <v>18.8</v>
      </c>
      <c r="J6" s="77">
        <v>8.33</v>
      </c>
      <c r="K6" s="77">
        <v>10.199999999999999</v>
      </c>
      <c r="L6" s="77">
        <v>13.2</v>
      </c>
      <c r="M6" s="77">
        <v>16.8</v>
      </c>
      <c r="N6" s="77">
        <v>22.4</v>
      </c>
      <c r="O6" s="77">
        <v>26.8</v>
      </c>
      <c r="P6" s="77">
        <v>13</v>
      </c>
      <c r="Q6" s="77">
        <v>15.5</v>
      </c>
      <c r="R6" s="77">
        <v>20</v>
      </c>
      <c r="S6" s="77">
        <v>27</v>
      </c>
      <c r="T6" s="77">
        <v>35.5</v>
      </c>
      <c r="U6" s="77">
        <v>43</v>
      </c>
    </row>
    <row r="7" spans="1:21" ht="33.75" x14ac:dyDescent="0.25">
      <c r="A7" s="81"/>
      <c r="B7" s="75" t="s">
        <v>883</v>
      </c>
      <c r="C7" s="74" t="s">
        <v>884</v>
      </c>
      <c r="D7" s="74">
        <v>2.96</v>
      </c>
      <c r="E7" s="74">
        <v>3.57</v>
      </c>
      <c r="F7" s="74">
        <v>4.5599999999999996</v>
      </c>
      <c r="G7" s="74">
        <v>5.92</v>
      </c>
      <c r="H7" s="74">
        <v>7.64</v>
      </c>
      <c r="I7" s="74">
        <v>9.27</v>
      </c>
      <c r="J7" s="74">
        <v>4.1100000000000003</v>
      </c>
      <c r="K7" s="74">
        <v>5.0199999999999996</v>
      </c>
      <c r="L7" s="74">
        <v>6.49</v>
      </c>
      <c r="M7" s="74">
        <v>8.27</v>
      </c>
      <c r="N7" s="74">
        <v>11</v>
      </c>
      <c r="O7" s="74">
        <v>13.2</v>
      </c>
      <c r="P7" s="74">
        <v>6.41</v>
      </c>
      <c r="Q7" s="74">
        <v>7.64</v>
      </c>
      <c r="R7" s="74">
        <v>9.86</v>
      </c>
      <c r="S7" s="74">
        <v>13.3</v>
      </c>
      <c r="T7" s="74">
        <v>17.5</v>
      </c>
      <c r="U7" s="74">
        <v>21.2</v>
      </c>
    </row>
    <row r="8" spans="1:21" ht="33.75" x14ac:dyDescent="0.25">
      <c r="A8" s="81"/>
      <c r="B8" s="75" t="s">
        <v>885</v>
      </c>
      <c r="C8" s="74" t="s">
        <v>886</v>
      </c>
      <c r="D8" s="74">
        <v>13.4</v>
      </c>
      <c r="E8" s="74">
        <v>16.2</v>
      </c>
      <c r="F8" s="74">
        <v>20.7</v>
      </c>
      <c r="G8" s="74">
        <v>26.9</v>
      </c>
      <c r="H8" s="74">
        <v>34.700000000000003</v>
      </c>
      <c r="I8" s="74">
        <v>42</v>
      </c>
      <c r="J8" s="74">
        <v>18.600000000000001</v>
      </c>
      <c r="K8" s="74">
        <v>22.8</v>
      </c>
      <c r="L8" s="74">
        <v>29.5</v>
      </c>
      <c r="M8" s="74">
        <v>37.6</v>
      </c>
      <c r="N8" s="74">
        <v>50.1</v>
      </c>
      <c r="O8" s="74">
        <v>60.1</v>
      </c>
      <c r="P8" s="74">
        <v>29.1</v>
      </c>
      <c r="Q8" s="74">
        <v>34.700000000000003</v>
      </c>
      <c r="R8" s="74">
        <v>44.8</v>
      </c>
      <c r="S8" s="74">
        <v>60.5</v>
      </c>
      <c r="T8" s="74">
        <v>79.5</v>
      </c>
      <c r="U8" s="74">
        <v>96.3</v>
      </c>
    </row>
    <row r="9" spans="1:21" ht="22.5" x14ac:dyDescent="0.25">
      <c r="A9" s="81"/>
      <c r="B9" s="75" t="s">
        <v>887</v>
      </c>
      <c r="C9" s="74" t="s">
        <v>884</v>
      </c>
      <c r="D9" s="74">
        <v>1.1599999999999999</v>
      </c>
      <c r="E9" s="74">
        <v>1.35</v>
      </c>
      <c r="F9" s="74">
        <v>1.36</v>
      </c>
      <c r="G9" s="74">
        <v>1.41</v>
      </c>
      <c r="H9" s="74">
        <v>2.68</v>
      </c>
      <c r="I9" s="74">
        <v>2.74</v>
      </c>
      <c r="J9" s="74">
        <v>1.85</v>
      </c>
      <c r="K9" s="74">
        <v>2.09</v>
      </c>
      <c r="L9" s="74">
        <v>2.1</v>
      </c>
      <c r="M9" s="74">
        <v>2.2400000000000002</v>
      </c>
      <c r="N9" s="74">
        <v>4.26</v>
      </c>
      <c r="O9" s="74">
        <v>4.3499999999999996</v>
      </c>
      <c r="P9" s="74">
        <v>1.82</v>
      </c>
      <c r="Q9" s="74">
        <v>2.09</v>
      </c>
      <c r="R9" s="74">
        <v>2.1</v>
      </c>
      <c r="S9" s="74">
        <v>2.21</v>
      </c>
      <c r="T9" s="74">
        <v>4.26</v>
      </c>
      <c r="U9" s="74">
        <v>4.3499999999999996</v>
      </c>
    </row>
    <row r="10" spans="1:21" x14ac:dyDescent="0.25">
      <c r="A10" s="81"/>
      <c r="B10" s="75" t="s">
        <v>888</v>
      </c>
      <c r="C10" s="74" t="s">
        <v>889</v>
      </c>
      <c r="D10" s="74">
        <v>0.03</v>
      </c>
      <c r="E10" s="74">
        <v>0.04</v>
      </c>
      <c r="F10" s="74">
        <v>0.05</v>
      </c>
      <c r="G10" s="74">
        <v>0.06</v>
      </c>
      <c r="H10" s="74">
        <v>7.0000000000000007E-2</v>
      </c>
      <c r="I10" s="74">
        <v>0.09</v>
      </c>
      <c r="J10" s="74">
        <v>0.03</v>
      </c>
      <c r="K10" s="74">
        <v>0.04</v>
      </c>
      <c r="L10" s="74">
        <v>0.05</v>
      </c>
      <c r="M10" s="74">
        <v>0.06</v>
      </c>
      <c r="N10" s="74">
        <v>7.0000000000000007E-2</v>
      </c>
      <c r="O10" s="74">
        <v>0.09</v>
      </c>
      <c r="P10" s="74">
        <v>0.03</v>
      </c>
      <c r="Q10" s="74">
        <v>0.04</v>
      </c>
      <c r="R10" s="74">
        <v>0.05</v>
      </c>
      <c r="S10" s="74">
        <v>0.06</v>
      </c>
      <c r="T10" s="74">
        <v>7.0000000000000007E-2</v>
      </c>
      <c r="U10" s="74">
        <v>0.09</v>
      </c>
    </row>
    <row r="12" spans="1:21" ht="15" customHeight="1" x14ac:dyDescent="0.25">
      <c r="B12" s="263" t="s">
        <v>894</v>
      </c>
      <c r="C12" s="263"/>
      <c r="D12" s="263"/>
      <c r="E12" s="263"/>
      <c r="F12" s="263"/>
      <c r="G12" s="263"/>
      <c r="H12" s="263"/>
      <c r="I12" s="263"/>
      <c r="K12" s="267" t="s">
        <v>902</v>
      </c>
      <c r="L12" s="267"/>
      <c r="M12" s="267"/>
      <c r="N12" s="267"/>
      <c r="O12" s="267"/>
      <c r="P12" s="267"/>
      <c r="Q12" s="267"/>
      <c r="R12" s="267"/>
      <c r="S12" s="267"/>
      <c r="T12" s="267"/>
    </row>
    <row r="13" spans="1:21" ht="15" customHeight="1" x14ac:dyDescent="0.25">
      <c r="B13" s="262" t="s">
        <v>875</v>
      </c>
      <c r="C13" s="262" t="s">
        <v>876</v>
      </c>
      <c r="D13" s="262" t="s">
        <v>880</v>
      </c>
      <c r="E13" s="262"/>
      <c r="F13" s="262"/>
      <c r="G13" s="262"/>
      <c r="H13" s="262"/>
      <c r="I13" s="262"/>
      <c r="K13" s="268" t="s">
        <v>875</v>
      </c>
      <c r="L13" s="268" t="s">
        <v>876</v>
      </c>
      <c r="M13" s="264" t="s">
        <v>895</v>
      </c>
      <c r="N13" s="265"/>
      <c r="O13" s="265"/>
      <c r="P13" s="266"/>
      <c r="Q13" s="264" t="s">
        <v>896</v>
      </c>
      <c r="R13" s="265"/>
      <c r="S13" s="265"/>
      <c r="T13" s="266"/>
    </row>
    <row r="14" spans="1:21" x14ac:dyDescent="0.25">
      <c r="B14" s="262"/>
      <c r="C14" s="262"/>
      <c r="D14" s="78">
        <v>1</v>
      </c>
      <c r="E14" s="78">
        <v>2</v>
      </c>
      <c r="F14" s="80">
        <v>3</v>
      </c>
      <c r="G14" s="78">
        <v>4</v>
      </c>
      <c r="H14" s="78">
        <v>5</v>
      </c>
      <c r="I14" s="78">
        <v>6</v>
      </c>
      <c r="K14" s="269"/>
      <c r="L14" s="269"/>
      <c r="M14" s="264" t="s">
        <v>880</v>
      </c>
      <c r="N14" s="265"/>
      <c r="O14" s="265"/>
      <c r="P14" s="265"/>
      <c r="Q14" s="265"/>
      <c r="R14" s="265"/>
      <c r="S14" s="265"/>
      <c r="T14" s="266"/>
    </row>
    <row r="15" spans="1:21" x14ac:dyDescent="0.25">
      <c r="B15" s="262"/>
      <c r="C15" s="262"/>
      <c r="D15" s="78">
        <v>1</v>
      </c>
      <c r="E15" s="78">
        <v>2</v>
      </c>
      <c r="F15" s="80">
        <v>2</v>
      </c>
      <c r="G15" s="78">
        <v>3</v>
      </c>
      <c r="H15" s="78">
        <v>4</v>
      </c>
      <c r="I15" s="78">
        <v>4</v>
      </c>
      <c r="K15" s="269"/>
      <c r="L15" s="269"/>
      <c r="M15" s="74">
        <v>1</v>
      </c>
      <c r="N15" s="74">
        <v>2</v>
      </c>
      <c r="O15" s="74">
        <v>3</v>
      </c>
      <c r="P15" s="74">
        <v>4</v>
      </c>
      <c r="Q15" s="74" t="s">
        <v>891</v>
      </c>
      <c r="R15" s="74" t="s">
        <v>897</v>
      </c>
      <c r="S15" s="74" t="s">
        <v>898</v>
      </c>
      <c r="T15" s="74" t="s">
        <v>892</v>
      </c>
    </row>
    <row r="16" spans="1:21" ht="18" customHeight="1" x14ac:dyDescent="0.25">
      <c r="B16" s="76" t="s">
        <v>881</v>
      </c>
      <c r="C16" s="77" t="s">
        <v>882</v>
      </c>
      <c r="D16" s="77">
        <v>2.63</v>
      </c>
      <c r="E16" s="77">
        <v>3.23</v>
      </c>
      <c r="F16" s="77">
        <v>3.23</v>
      </c>
      <c r="G16" s="77">
        <v>3.52</v>
      </c>
      <c r="H16" s="77">
        <v>0</v>
      </c>
      <c r="I16" s="77">
        <v>0</v>
      </c>
      <c r="K16" s="270"/>
      <c r="L16" s="270"/>
      <c r="M16" s="74">
        <v>1</v>
      </c>
      <c r="N16" s="74">
        <v>2</v>
      </c>
      <c r="O16" s="74">
        <v>3</v>
      </c>
      <c r="P16" s="74">
        <v>4</v>
      </c>
      <c r="Q16" s="74">
        <v>5</v>
      </c>
      <c r="R16" s="74">
        <v>6</v>
      </c>
      <c r="S16" s="74">
        <v>7</v>
      </c>
      <c r="T16" s="74">
        <v>8</v>
      </c>
    </row>
    <row r="17" spans="2:25" ht="18" customHeight="1" x14ac:dyDescent="0.25">
      <c r="B17" s="75" t="s">
        <v>883</v>
      </c>
      <c r="C17" s="74" t="s">
        <v>884</v>
      </c>
      <c r="D17" s="74">
        <v>1.3</v>
      </c>
      <c r="E17" s="74">
        <v>1.59</v>
      </c>
      <c r="F17" s="74">
        <v>1.59</v>
      </c>
      <c r="G17" s="74">
        <v>1.74</v>
      </c>
      <c r="H17" s="74">
        <v>0</v>
      </c>
      <c r="I17" s="74">
        <v>0</v>
      </c>
      <c r="K17" s="75" t="s">
        <v>881</v>
      </c>
      <c r="L17" s="74" t="s">
        <v>882</v>
      </c>
      <c r="M17" s="74">
        <v>131</v>
      </c>
      <c r="N17" s="74">
        <v>154</v>
      </c>
      <c r="O17" s="74">
        <v>206</v>
      </c>
      <c r="P17" s="74">
        <v>299</v>
      </c>
      <c r="Q17" s="74">
        <v>173</v>
      </c>
      <c r="R17" s="74">
        <v>282</v>
      </c>
      <c r="S17" s="74">
        <v>388</v>
      </c>
      <c r="T17" s="74">
        <v>615</v>
      </c>
    </row>
    <row r="18" spans="2:25" ht="16.5" customHeight="1" x14ac:dyDescent="0.25">
      <c r="B18" s="75" t="s">
        <v>893</v>
      </c>
      <c r="C18" s="74" t="s">
        <v>886</v>
      </c>
      <c r="D18" s="74">
        <v>2.95</v>
      </c>
      <c r="E18" s="74">
        <v>3.62</v>
      </c>
      <c r="F18" s="74">
        <v>3.62</v>
      </c>
      <c r="G18" s="74">
        <v>3.94</v>
      </c>
      <c r="H18" s="74">
        <v>10.4</v>
      </c>
      <c r="I18" s="74">
        <v>10.4</v>
      </c>
      <c r="K18" s="75" t="s">
        <v>883</v>
      </c>
      <c r="L18" s="74" t="s">
        <v>884</v>
      </c>
      <c r="M18" s="74" t="s">
        <v>899</v>
      </c>
      <c r="N18" s="74" t="s">
        <v>900</v>
      </c>
      <c r="O18" s="74">
        <v>110</v>
      </c>
      <c r="P18" s="74">
        <v>194</v>
      </c>
      <c r="Q18" s="74" t="s">
        <v>901</v>
      </c>
      <c r="R18" s="74">
        <v>139</v>
      </c>
      <c r="S18" s="74">
        <v>205</v>
      </c>
      <c r="T18" s="74">
        <v>368</v>
      </c>
    </row>
    <row r="19" spans="2:25" ht="15.75" customHeight="1" x14ac:dyDescent="0.25">
      <c r="B19" s="75" t="s">
        <v>887</v>
      </c>
      <c r="C19" s="74" t="s">
        <v>884</v>
      </c>
      <c r="D19" s="74">
        <v>0.16</v>
      </c>
      <c r="E19" s="74">
        <v>0.18</v>
      </c>
      <c r="F19" s="74">
        <v>0.18</v>
      </c>
      <c r="G19" s="74">
        <v>0.19</v>
      </c>
      <c r="H19" s="74">
        <v>0.24</v>
      </c>
      <c r="I19" s="74">
        <v>0.24</v>
      </c>
    </row>
    <row r="20" spans="2:25" x14ac:dyDescent="0.25">
      <c r="B20" s="75" t="s">
        <v>888</v>
      </c>
      <c r="C20" s="74" t="s">
        <v>889</v>
      </c>
      <c r="D20" s="74">
        <v>0.02</v>
      </c>
      <c r="E20" s="74">
        <v>0.04</v>
      </c>
      <c r="F20" s="74">
        <v>0.04</v>
      </c>
      <c r="G20" s="74">
        <v>0.06</v>
      </c>
      <c r="H20" s="74">
        <v>0.08</v>
      </c>
      <c r="I20" s="74">
        <v>0.08</v>
      </c>
    </row>
    <row r="22" spans="2:25" x14ac:dyDescent="0.25">
      <c r="B22" s="255" t="s">
        <v>1236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</row>
    <row r="23" spans="2:25" ht="15.75" customHeight="1" x14ac:dyDescent="0.25">
      <c r="B23" s="256" t="s">
        <v>875</v>
      </c>
      <c r="C23" s="256" t="s">
        <v>876</v>
      </c>
      <c r="D23" s="252" t="s">
        <v>1221</v>
      </c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4"/>
    </row>
    <row r="24" spans="2:25" ht="15.75" x14ac:dyDescent="0.25">
      <c r="B24" s="256"/>
      <c r="C24" s="256"/>
      <c r="D24" s="142">
        <v>50</v>
      </c>
      <c r="E24" s="142">
        <v>75</v>
      </c>
      <c r="F24" s="142">
        <v>100</v>
      </c>
      <c r="G24" s="142">
        <v>125</v>
      </c>
      <c r="H24" s="142">
        <v>150</v>
      </c>
      <c r="I24" s="142">
        <v>200</v>
      </c>
      <c r="J24" s="142">
        <v>250</v>
      </c>
      <c r="K24" s="142">
        <v>300</v>
      </c>
      <c r="L24" s="142">
        <v>350</v>
      </c>
      <c r="M24" s="142">
        <v>400</v>
      </c>
      <c r="N24" s="142">
        <v>500</v>
      </c>
      <c r="O24" s="142">
        <v>600</v>
      </c>
      <c r="P24" s="142">
        <v>700</v>
      </c>
      <c r="Q24" s="142">
        <v>800</v>
      </c>
      <c r="R24" s="142">
        <v>900</v>
      </c>
      <c r="S24" s="142">
        <v>1000</v>
      </c>
      <c r="T24" s="142">
        <v>1100</v>
      </c>
      <c r="U24" s="142">
        <v>1200</v>
      </c>
      <c r="V24" s="142">
        <v>1300</v>
      </c>
      <c r="W24" s="142">
        <v>1400</v>
      </c>
      <c r="X24" s="142">
        <v>1500</v>
      </c>
      <c r="Y24" s="142">
        <v>1600</v>
      </c>
    </row>
    <row r="25" spans="2:25" ht="15.75" x14ac:dyDescent="0.25">
      <c r="B25" s="257"/>
      <c r="C25" s="257"/>
      <c r="D25" s="142">
        <v>1</v>
      </c>
      <c r="E25" s="142">
        <v>2</v>
      </c>
      <c r="F25" s="142">
        <v>3</v>
      </c>
      <c r="G25" s="142">
        <v>4</v>
      </c>
      <c r="H25" s="142">
        <v>5</v>
      </c>
      <c r="I25" s="142">
        <v>6</v>
      </c>
      <c r="J25" s="142">
        <v>7</v>
      </c>
      <c r="K25" s="142">
        <v>8</v>
      </c>
      <c r="L25" s="142">
        <v>9</v>
      </c>
      <c r="M25" s="142">
        <v>10</v>
      </c>
      <c r="N25" s="142">
        <v>11</v>
      </c>
      <c r="O25" s="142">
        <v>12</v>
      </c>
      <c r="P25" s="142">
        <v>13</v>
      </c>
      <c r="Q25" s="142">
        <v>14</v>
      </c>
      <c r="R25" s="142">
        <v>15</v>
      </c>
      <c r="S25" s="142">
        <v>16</v>
      </c>
      <c r="T25" s="142">
        <v>17</v>
      </c>
      <c r="U25" s="142">
        <v>18</v>
      </c>
      <c r="V25" s="142">
        <v>19</v>
      </c>
      <c r="W25" s="142">
        <v>20</v>
      </c>
      <c r="X25" s="142">
        <v>21</v>
      </c>
      <c r="Y25" s="142">
        <v>22</v>
      </c>
    </row>
    <row r="26" spans="2:25" ht="15" customHeight="1" x14ac:dyDescent="0.25">
      <c r="B26" s="143" t="s">
        <v>881</v>
      </c>
      <c r="C26" s="142" t="s">
        <v>882</v>
      </c>
      <c r="D26" s="142">
        <v>318</v>
      </c>
      <c r="E26" s="142">
        <v>345</v>
      </c>
      <c r="F26" s="142">
        <v>353</v>
      </c>
      <c r="G26" s="142">
        <v>426</v>
      </c>
      <c r="H26" s="142">
        <v>403</v>
      </c>
      <c r="I26" s="142">
        <v>426</v>
      </c>
      <c r="J26" s="142">
        <v>512</v>
      </c>
      <c r="K26" s="142">
        <v>594</v>
      </c>
      <c r="L26" s="142">
        <v>713</v>
      </c>
      <c r="M26" s="142">
        <v>745</v>
      </c>
      <c r="N26" s="142">
        <v>973</v>
      </c>
      <c r="O26" s="142">
        <v>1150</v>
      </c>
      <c r="P26" s="142">
        <v>1320</v>
      </c>
      <c r="Q26" s="142">
        <v>1420</v>
      </c>
      <c r="R26" s="142">
        <v>1710</v>
      </c>
      <c r="S26" s="142">
        <v>1870</v>
      </c>
      <c r="T26" s="142">
        <v>2340</v>
      </c>
      <c r="U26" s="142">
        <v>2380</v>
      </c>
      <c r="V26" s="142">
        <v>2830</v>
      </c>
      <c r="W26" s="142">
        <v>2870</v>
      </c>
      <c r="X26" s="142">
        <v>3170</v>
      </c>
      <c r="Y26" s="142">
        <v>3210</v>
      </c>
    </row>
    <row r="27" spans="2:25" ht="15" customHeight="1" x14ac:dyDescent="0.25">
      <c r="B27" s="143" t="s">
        <v>883</v>
      </c>
      <c r="C27" s="142" t="s">
        <v>884</v>
      </c>
      <c r="D27" s="142">
        <v>194</v>
      </c>
      <c r="E27" s="142">
        <v>210</v>
      </c>
      <c r="F27" s="142">
        <v>216</v>
      </c>
      <c r="G27" s="142">
        <v>262</v>
      </c>
      <c r="H27" s="142">
        <v>247</v>
      </c>
      <c r="I27" s="142">
        <v>263</v>
      </c>
      <c r="J27" s="142">
        <v>316</v>
      </c>
      <c r="K27" s="142">
        <v>368</v>
      </c>
      <c r="L27" s="142">
        <v>439</v>
      </c>
      <c r="M27" s="142">
        <v>461</v>
      </c>
      <c r="N27" s="142">
        <v>602</v>
      </c>
      <c r="O27" s="142">
        <v>712</v>
      </c>
      <c r="P27" s="142">
        <v>819</v>
      </c>
      <c r="Q27" s="142">
        <v>885</v>
      </c>
      <c r="R27" s="142">
        <v>1060</v>
      </c>
      <c r="S27" s="142">
        <v>1160</v>
      </c>
      <c r="T27" s="142">
        <v>1460</v>
      </c>
      <c r="U27" s="142">
        <v>1500</v>
      </c>
      <c r="V27" s="142">
        <v>1760</v>
      </c>
      <c r="W27" s="142">
        <v>1790</v>
      </c>
      <c r="X27" s="142">
        <v>1980</v>
      </c>
      <c r="Y27" s="142">
        <v>2000</v>
      </c>
    </row>
    <row r="28" spans="2:25" ht="15" customHeight="1" x14ac:dyDescent="0.25">
      <c r="B28" s="143" t="s">
        <v>1222</v>
      </c>
      <c r="C28" s="142" t="s">
        <v>1223</v>
      </c>
      <c r="D28" s="142" t="s">
        <v>1224</v>
      </c>
      <c r="E28" s="142" t="s">
        <v>1225</v>
      </c>
      <c r="F28" s="142" t="s">
        <v>1226</v>
      </c>
      <c r="G28" s="142" t="s">
        <v>1227</v>
      </c>
      <c r="H28" s="142">
        <v>105</v>
      </c>
      <c r="I28" s="142">
        <v>217</v>
      </c>
      <c r="J28" s="142">
        <v>236</v>
      </c>
      <c r="K28" s="142">
        <v>282</v>
      </c>
      <c r="L28" s="142">
        <v>335</v>
      </c>
      <c r="M28" s="142">
        <v>380</v>
      </c>
      <c r="N28" s="142">
        <v>483</v>
      </c>
      <c r="O28" s="142">
        <v>598</v>
      </c>
      <c r="P28" s="142">
        <v>702</v>
      </c>
      <c r="Q28" s="142">
        <v>791</v>
      </c>
      <c r="R28" s="142">
        <v>1300</v>
      </c>
      <c r="S28" s="142">
        <v>1350</v>
      </c>
      <c r="T28" s="142">
        <v>1730</v>
      </c>
      <c r="U28" s="142">
        <v>1830</v>
      </c>
      <c r="V28" s="142">
        <v>2160</v>
      </c>
      <c r="W28" s="142">
        <v>2220</v>
      </c>
      <c r="X28" s="142">
        <v>2510</v>
      </c>
      <c r="Y28" s="142">
        <v>2560</v>
      </c>
    </row>
    <row r="29" spans="2:25" ht="15" customHeight="1" x14ac:dyDescent="0.25">
      <c r="B29" s="143" t="s">
        <v>1228</v>
      </c>
      <c r="C29" s="142" t="s">
        <v>1229</v>
      </c>
      <c r="D29" s="142">
        <v>998</v>
      </c>
      <c r="E29" s="142">
        <v>998</v>
      </c>
      <c r="F29" s="142">
        <v>998</v>
      </c>
      <c r="G29" s="142">
        <v>998</v>
      </c>
      <c r="H29" s="142">
        <v>999</v>
      </c>
      <c r="I29" s="142">
        <v>999</v>
      </c>
      <c r="J29" s="142">
        <v>995</v>
      </c>
      <c r="K29" s="142">
        <v>995</v>
      </c>
      <c r="L29" s="142">
        <v>995</v>
      </c>
      <c r="M29" s="142">
        <v>995</v>
      </c>
      <c r="N29" s="142">
        <v>995</v>
      </c>
      <c r="O29" s="142">
        <v>1003</v>
      </c>
      <c r="P29" s="142">
        <v>1003</v>
      </c>
      <c r="Q29" s="142">
        <v>1003</v>
      </c>
      <c r="R29" s="142">
        <v>1003</v>
      </c>
      <c r="S29" s="142">
        <v>1003</v>
      </c>
      <c r="T29" s="142">
        <v>1003</v>
      </c>
      <c r="U29" s="142">
        <v>1003</v>
      </c>
      <c r="V29" s="142">
        <v>1003</v>
      </c>
      <c r="W29" s="142">
        <v>1003</v>
      </c>
      <c r="X29" s="142">
        <v>1003</v>
      </c>
      <c r="Y29" s="142">
        <v>1003</v>
      </c>
    </row>
    <row r="30" spans="2:25" ht="15" customHeight="1" x14ac:dyDescent="0.25">
      <c r="B30" s="143" t="s">
        <v>1230</v>
      </c>
      <c r="C30" s="142" t="s">
        <v>884</v>
      </c>
      <c r="D30" s="142" t="s">
        <v>1231</v>
      </c>
      <c r="E30" s="142" t="s">
        <v>1232</v>
      </c>
      <c r="F30" s="142" t="s">
        <v>1233</v>
      </c>
      <c r="G30" s="142" t="s">
        <v>1234</v>
      </c>
      <c r="H30" s="142" t="s">
        <v>1235</v>
      </c>
      <c r="I30" s="142">
        <v>108</v>
      </c>
      <c r="J30" s="142">
        <v>118</v>
      </c>
      <c r="K30" s="142">
        <v>140</v>
      </c>
      <c r="L30" s="142">
        <v>163</v>
      </c>
      <c r="M30" s="142">
        <v>184</v>
      </c>
      <c r="N30" s="142">
        <v>220</v>
      </c>
      <c r="O30" s="142">
        <v>287</v>
      </c>
      <c r="P30" s="142">
        <v>331</v>
      </c>
      <c r="Q30" s="142">
        <v>338</v>
      </c>
      <c r="R30" s="142">
        <v>391</v>
      </c>
      <c r="S30" s="142">
        <v>452</v>
      </c>
      <c r="T30" s="142">
        <v>557</v>
      </c>
      <c r="U30" s="142">
        <v>628</v>
      </c>
      <c r="V30" s="142">
        <v>704</v>
      </c>
      <c r="W30" s="142">
        <v>786</v>
      </c>
      <c r="X30" s="142">
        <v>904</v>
      </c>
      <c r="Y30" s="142">
        <v>994</v>
      </c>
    </row>
    <row r="31" spans="2:25" ht="15" customHeight="1" x14ac:dyDescent="0.25"/>
    <row r="32" spans="2:2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20">
    <mergeCell ref="B2:U2"/>
    <mergeCell ref="B3:B5"/>
    <mergeCell ref="C3:C5"/>
    <mergeCell ref="B13:B15"/>
    <mergeCell ref="C13:C15"/>
    <mergeCell ref="B12:I12"/>
    <mergeCell ref="D13:I13"/>
    <mergeCell ref="D3:I3"/>
    <mergeCell ref="Q13:T13"/>
    <mergeCell ref="M14:T14"/>
    <mergeCell ref="K12:T12"/>
    <mergeCell ref="K13:K16"/>
    <mergeCell ref="L13:L16"/>
    <mergeCell ref="M13:P13"/>
    <mergeCell ref="D23:Y23"/>
    <mergeCell ref="B22:Y22"/>
    <mergeCell ref="B23:B25"/>
    <mergeCell ref="C23:C25"/>
    <mergeCell ref="J3:O3"/>
    <mergeCell ref="P3:U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88"/>
  <sheetViews>
    <sheetView view="pageBreakPreview" zoomScale="60" zoomScaleNormal="55" workbookViewId="0">
      <selection sqref="A1:XFD1048576"/>
    </sheetView>
  </sheetViews>
  <sheetFormatPr defaultRowHeight="15" x14ac:dyDescent="0.25"/>
  <cols>
    <col min="1" max="1" width="15.7109375" style="54" customWidth="1"/>
    <col min="2" max="2" width="105.7109375" style="54" customWidth="1"/>
    <col min="3" max="4" width="12.7109375" style="54" customWidth="1"/>
    <col min="5" max="6" width="15.7109375" style="54" customWidth="1"/>
    <col min="7" max="7" width="17.7109375" style="54" customWidth="1"/>
    <col min="8" max="8" width="15.7109375" style="54" customWidth="1"/>
    <col min="9" max="9" width="17.7109375" style="54" customWidth="1"/>
    <col min="10" max="10" width="15.7109375" style="54" customWidth="1"/>
    <col min="11" max="11" width="17.7109375" style="54" customWidth="1"/>
    <col min="12" max="12" width="21.28515625" style="175" bestFit="1" customWidth="1"/>
    <col min="13" max="16384" width="9.140625" style="54"/>
  </cols>
  <sheetData>
    <row r="1" spans="1:12" ht="15" customHeight="1" x14ac:dyDescent="0.25">
      <c r="A1" s="206" t="str">
        <f>'1-1'!A1</f>
        <v>ქალაქ ხონში ძიძიგურების უბანის 1480 მ-იანი მონაკვეთის რეაბილიტაციის სამშენებლო სამუშაოების ლოკალურ-რესურსული ხარჯთაღრიცხვა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5" customHeight="1" x14ac:dyDescent="0.2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5" customHeigh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39.950000000000003" customHeight="1" x14ac:dyDescent="0.25">
      <c r="A4" s="186" t="s">
        <v>0</v>
      </c>
      <c r="B4" s="186" t="s">
        <v>658</v>
      </c>
      <c r="C4" s="188" t="s">
        <v>2</v>
      </c>
      <c r="D4" s="182" t="s">
        <v>653</v>
      </c>
      <c r="E4" s="191"/>
      <c r="F4" s="186" t="s">
        <v>659</v>
      </c>
      <c r="G4" s="186"/>
      <c r="H4" s="186" t="s">
        <v>660</v>
      </c>
      <c r="I4" s="186"/>
      <c r="J4" s="187" t="s">
        <v>762</v>
      </c>
      <c r="K4" s="187"/>
      <c r="L4" s="192" t="s">
        <v>662</v>
      </c>
    </row>
    <row r="5" spans="1:12" ht="39.950000000000003" customHeight="1" x14ac:dyDescent="0.25">
      <c r="A5" s="186"/>
      <c r="B5" s="186"/>
      <c r="C5" s="189"/>
      <c r="D5" s="188" t="s">
        <v>664</v>
      </c>
      <c r="E5" s="187" t="s">
        <v>665</v>
      </c>
      <c r="F5" s="178" t="s">
        <v>664</v>
      </c>
      <c r="G5" s="195" t="s">
        <v>666</v>
      </c>
      <c r="H5" s="178" t="s">
        <v>664</v>
      </c>
      <c r="I5" s="195" t="s">
        <v>666</v>
      </c>
      <c r="J5" s="178" t="s">
        <v>664</v>
      </c>
      <c r="K5" s="195" t="s">
        <v>666</v>
      </c>
      <c r="L5" s="193"/>
    </row>
    <row r="6" spans="1:12" ht="39.950000000000003" customHeight="1" x14ac:dyDescent="0.25">
      <c r="A6" s="186"/>
      <c r="B6" s="186"/>
      <c r="C6" s="190"/>
      <c r="D6" s="190"/>
      <c r="E6" s="187"/>
      <c r="F6" s="178" t="s">
        <v>667</v>
      </c>
      <c r="G6" s="196"/>
      <c r="H6" s="178" t="s">
        <v>667</v>
      </c>
      <c r="I6" s="196"/>
      <c r="J6" s="178" t="s">
        <v>667</v>
      </c>
      <c r="K6" s="196"/>
      <c r="L6" s="194"/>
    </row>
    <row r="7" spans="1:12" ht="39.950000000000003" customHeight="1" x14ac:dyDescent="0.25">
      <c r="A7" s="178">
        <v>1</v>
      </c>
      <c r="B7" s="178">
        <v>3</v>
      </c>
      <c r="C7" s="178">
        <v>4</v>
      </c>
      <c r="D7" s="178">
        <v>5</v>
      </c>
      <c r="E7" s="178">
        <v>6</v>
      </c>
      <c r="F7" s="178">
        <v>7</v>
      </c>
      <c r="G7" s="178">
        <v>8</v>
      </c>
      <c r="H7" s="178">
        <v>9</v>
      </c>
      <c r="I7" s="178">
        <v>10</v>
      </c>
      <c r="J7" s="178">
        <v>11</v>
      </c>
      <c r="K7" s="178">
        <v>12</v>
      </c>
      <c r="L7" s="178">
        <v>13</v>
      </c>
    </row>
    <row r="8" spans="1:12" ht="80.099999999999994" customHeight="1" x14ac:dyDescent="0.25">
      <c r="A8" s="178"/>
      <c r="B8" s="179" t="s">
        <v>1038</v>
      </c>
      <c r="C8" s="16"/>
      <c r="D8" s="16"/>
      <c r="E8" s="16"/>
      <c r="F8" s="16"/>
      <c r="G8" s="16"/>
      <c r="H8" s="16"/>
      <c r="I8" s="16"/>
      <c r="J8" s="16"/>
      <c r="K8" s="16"/>
      <c r="L8" s="149"/>
    </row>
    <row r="9" spans="1:12" s="160" customFormat="1" ht="39" x14ac:dyDescent="0.25">
      <c r="A9" s="39">
        <v>1.1000000000000001</v>
      </c>
      <c r="B9" s="83" t="s">
        <v>1320</v>
      </c>
      <c r="C9" s="178" t="s">
        <v>711</v>
      </c>
      <c r="D9" s="178"/>
      <c r="E9" s="159">
        <v>899.44</v>
      </c>
      <c r="F9" s="163"/>
      <c r="G9" s="163"/>
      <c r="H9" s="163"/>
      <c r="I9" s="163"/>
      <c r="J9" s="163"/>
      <c r="K9" s="164"/>
      <c r="L9" s="152"/>
    </row>
    <row r="10" spans="1:12" ht="39.950000000000003" customHeight="1" x14ac:dyDescent="0.25">
      <c r="A10" s="16" t="s">
        <v>668</v>
      </c>
      <c r="B10" s="165" t="s">
        <v>669</v>
      </c>
      <c r="C10" s="16" t="s">
        <v>670</v>
      </c>
      <c r="D10" s="16">
        <f>IF(MID(RIGHT(B9,6),1,2)&gt;"18",33+28.6,33)</f>
        <v>33</v>
      </c>
      <c r="E10" s="149">
        <f>D10*E9/1000</f>
        <v>29.681519999999999</v>
      </c>
      <c r="F10" s="166"/>
      <c r="G10" s="166"/>
      <c r="H10" s="167"/>
      <c r="I10" s="149"/>
      <c r="J10" s="166"/>
      <c r="K10" s="162"/>
      <c r="L10" s="149"/>
    </row>
    <row r="11" spans="1:12" ht="39.950000000000003" customHeight="1" x14ac:dyDescent="0.25">
      <c r="A11" s="16" t="s">
        <v>671</v>
      </c>
      <c r="B11" s="16" t="s">
        <v>241</v>
      </c>
      <c r="C11" s="16" t="s">
        <v>672</v>
      </c>
      <c r="D11" s="16">
        <f>IF(MID(RIGHT(B9,6),1,2)&gt;"18",1.91+0.42,1.91)</f>
        <v>1.91</v>
      </c>
      <c r="E11" s="149">
        <f>D11*E9/1000</f>
        <v>1.7179304</v>
      </c>
      <c r="F11" s="166"/>
      <c r="G11" s="166"/>
      <c r="H11" s="166"/>
      <c r="I11" s="166"/>
      <c r="J11" s="161"/>
      <c r="K11" s="162"/>
      <c r="L11" s="149"/>
    </row>
    <row r="12" spans="1:12" ht="39.950000000000003" customHeight="1" x14ac:dyDescent="0.25">
      <c r="A12" s="16" t="s">
        <v>673</v>
      </c>
      <c r="B12" s="16" t="s">
        <v>235</v>
      </c>
      <c r="C12" s="16" t="s">
        <v>672</v>
      </c>
      <c r="D12" s="16">
        <v>2.58</v>
      </c>
      <c r="E12" s="149">
        <f>D12*E9/1000</f>
        <v>2.3205552000000003</v>
      </c>
      <c r="F12" s="166"/>
      <c r="G12" s="166"/>
      <c r="H12" s="166"/>
      <c r="I12" s="166"/>
      <c r="J12" s="161"/>
      <c r="K12" s="162"/>
      <c r="L12" s="149"/>
    </row>
    <row r="13" spans="1:12" ht="39.950000000000003" customHeight="1" x14ac:dyDescent="0.25">
      <c r="A13" s="16" t="s">
        <v>675</v>
      </c>
      <c r="B13" s="16" t="s">
        <v>259</v>
      </c>
      <c r="C13" s="16" t="s">
        <v>672</v>
      </c>
      <c r="D13" s="16">
        <f>IF(MID(RIGHT(B9,6),1,2)&gt;"18",11.2+7.6,11.2)</f>
        <v>11.2</v>
      </c>
      <c r="E13" s="149">
        <f>D13*E9/1000</f>
        <v>10.073727999999999</v>
      </c>
      <c r="F13" s="166"/>
      <c r="G13" s="166"/>
      <c r="H13" s="166"/>
      <c r="I13" s="166"/>
      <c r="J13" s="161"/>
      <c r="K13" s="162"/>
      <c r="L13" s="149"/>
    </row>
    <row r="14" spans="1:12" ht="39.950000000000003" customHeight="1" x14ac:dyDescent="0.25">
      <c r="A14" s="16" t="s">
        <v>695</v>
      </c>
      <c r="B14" s="16" t="s">
        <v>260</v>
      </c>
      <c r="C14" s="16" t="s">
        <v>672</v>
      </c>
      <c r="D14" s="16">
        <f>IF(MID(RIGHT(B9,6),1,2)&gt;"18",24.8+15.1,24.8)</f>
        <v>24.8</v>
      </c>
      <c r="E14" s="149">
        <f>D14*E9/1000</f>
        <v>22.306112000000002</v>
      </c>
      <c r="F14" s="166"/>
      <c r="G14" s="166"/>
      <c r="H14" s="166"/>
      <c r="I14" s="166"/>
      <c r="J14" s="161"/>
      <c r="K14" s="162"/>
      <c r="L14" s="149"/>
    </row>
    <row r="15" spans="1:12" ht="39.950000000000003" customHeight="1" x14ac:dyDescent="0.25">
      <c r="A15" s="16" t="s">
        <v>696</v>
      </c>
      <c r="B15" s="16" t="s">
        <v>267</v>
      </c>
      <c r="C15" s="16" t="s">
        <v>672</v>
      </c>
      <c r="D15" s="16">
        <v>0.53</v>
      </c>
      <c r="E15" s="149">
        <f>D15*E9/1000</f>
        <v>0.47670320000000005</v>
      </c>
      <c r="F15" s="166"/>
      <c r="G15" s="166"/>
      <c r="H15" s="166"/>
      <c r="I15" s="166"/>
      <c r="J15" s="161"/>
      <c r="K15" s="162"/>
      <c r="L15" s="149"/>
    </row>
    <row r="16" spans="1:12" ht="39.950000000000003" customHeight="1" x14ac:dyDescent="0.25">
      <c r="A16" s="16" t="s">
        <v>733</v>
      </c>
      <c r="B16" s="16" t="s">
        <v>266</v>
      </c>
      <c r="C16" s="16" t="s">
        <v>672</v>
      </c>
      <c r="D16" s="16">
        <f>IF(MID(RIGHT(B9,6),1,2)&gt;"18",4.14+2.76,4.14)</f>
        <v>4.1399999999999997</v>
      </c>
      <c r="E16" s="149">
        <f>D16*E9/1000</f>
        <v>3.7236815999999999</v>
      </c>
      <c r="F16" s="166"/>
      <c r="G16" s="166"/>
      <c r="H16" s="166"/>
      <c r="I16" s="166"/>
      <c r="J16" s="161"/>
      <c r="K16" s="162"/>
      <c r="L16" s="149"/>
    </row>
    <row r="17" spans="1:12" ht="39.950000000000003" customHeight="1" x14ac:dyDescent="0.25">
      <c r="A17" s="16" t="s">
        <v>734</v>
      </c>
      <c r="B17" s="165" t="s">
        <v>693</v>
      </c>
      <c r="C17" s="16" t="s">
        <v>674</v>
      </c>
      <c r="D17" s="16">
        <f>IF(MID(RIGHT(B9,6),1,2)&gt;"18",30+20,30)</f>
        <v>30</v>
      </c>
      <c r="E17" s="149">
        <f>D17*E9/1000</f>
        <v>26.9832</v>
      </c>
      <c r="F17" s="162"/>
      <c r="G17" s="149"/>
      <c r="H17" s="166"/>
      <c r="I17" s="166"/>
      <c r="J17" s="161"/>
      <c r="K17" s="162"/>
      <c r="L17" s="149"/>
    </row>
    <row r="18" spans="1:12" ht="39.950000000000003" customHeight="1" x14ac:dyDescent="0.25">
      <c r="A18" s="16" t="s">
        <v>735</v>
      </c>
      <c r="B18" s="16" t="s">
        <v>353</v>
      </c>
      <c r="C18" s="16" t="s">
        <v>674</v>
      </c>
      <c r="D18" s="165">
        <f>189-12.6*5</f>
        <v>126</v>
      </c>
      <c r="E18" s="149">
        <f>D18*E9/1000</f>
        <v>113.32944000000001</v>
      </c>
      <c r="F18" s="271"/>
      <c r="G18" s="149"/>
      <c r="H18" s="166"/>
      <c r="I18" s="166"/>
      <c r="J18" s="161"/>
      <c r="K18" s="162"/>
      <c r="L18" s="149"/>
    </row>
    <row r="19" spans="1:12" s="160" customFormat="1" ht="39.950000000000003" customHeight="1" x14ac:dyDescent="0.25">
      <c r="A19" s="39">
        <v>1.2</v>
      </c>
      <c r="B19" s="83" t="s">
        <v>707</v>
      </c>
      <c r="C19" s="178" t="s">
        <v>9</v>
      </c>
      <c r="D19" s="178"/>
      <c r="E19" s="152">
        <v>0.54</v>
      </c>
      <c r="F19" s="163"/>
      <c r="G19" s="163"/>
      <c r="H19" s="163"/>
      <c r="I19" s="163"/>
      <c r="J19" s="163"/>
      <c r="K19" s="163"/>
      <c r="L19" s="152"/>
    </row>
    <row r="20" spans="1:12" ht="39.950000000000003" customHeight="1" x14ac:dyDescent="0.25">
      <c r="A20" s="16" t="s">
        <v>697</v>
      </c>
      <c r="B20" s="165" t="s">
        <v>239</v>
      </c>
      <c r="C20" s="16" t="s">
        <v>672</v>
      </c>
      <c r="D20" s="16">
        <v>0.3</v>
      </c>
      <c r="E20" s="166">
        <f>ROUND(D20*E19,1)</f>
        <v>0.2</v>
      </c>
      <c r="F20" s="166"/>
      <c r="G20" s="166"/>
      <c r="H20" s="166"/>
      <c r="I20" s="166"/>
      <c r="J20" s="161"/>
      <c r="K20" s="149"/>
      <c r="L20" s="149"/>
    </row>
    <row r="21" spans="1:12" ht="39.950000000000003" customHeight="1" x14ac:dyDescent="0.25">
      <c r="A21" s="16" t="s">
        <v>698</v>
      </c>
      <c r="B21" s="16" t="s">
        <v>452</v>
      </c>
      <c r="C21" s="16" t="s">
        <v>9</v>
      </c>
      <c r="D21" s="16">
        <v>1.03</v>
      </c>
      <c r="E21" s="149">
        <f>ROUND(D21*E19,2)</f>
        <v>0.56000000000000005</v>
      </c>
      <c r="F21" s="162"/>
      <c r="G21" s="149"/>
      <c r="H21" s="166"/>
      <c r="I21" s="166"/>
      <c r="J21" s="161"/>
      <c r="K21" s="149"/>
      <c r="L21" s="149"/>
    </row>
    <row r="22" spans="1:12" s="160" customFormat="1" ht="39.950000000000003" customHeight="1" x14ac:dyDescent="0.25">
      <c r="A22" s="39">
        <v>1.3</v>
      </c>
      <c r="B22" s="83" t="s">
        <v>1042</v>
      </c>
      <c r="C22" s="178" t="s">
        <v>721</v>
      </c>
      <c r="D22" s="178"/>
      <c r="E22" s="159">
        <f>E9</f>
        <v>899.44</v>
      </c>
      <c r="F22" s="163"/>
      <c r="G22" s="163"/>
      <c r="H22" s="163"/>
      <c r="I22" s="163"/>
      <c r="J22" s="163"/>
      <c r="K22" s="163"/>
      <c r="L22" s="152"/>
    </row>
    <row r="23" spans="1:12" ht="39.950000000000003" customHeight="1" x14ac:dyDescent="0.25">
      <c r="A23" s="16" t="s">
        <v>709</v>
      </c>
      <c r="B23" s="165" t="s">
        <v>669</v>
      </c>
      <c r="C23" s="16" t="s">
        <v>670</v>
      </c>
      <c r="D23" s="16">
        <f>IF(MID(RIGHT(B22,5),1,1)&gt;"4",(37.5+((MID(RIGHT(B22,5),1,1)-4)*2*0.07)),"37.5")</f>
        <v>37.64</v>
      </c>
      <c r="E23" s="149">
        <f>D23*E22/1000</f>
        <v>33.854921600000004</v>
      </c>
      <c r="F23" s="166"/>
      <c r="G23" s="166"/>
      <c r="H23" s="167"/>
      <c r="I23" s="149"/>
      <c r="J23" s="166"/>
      <c r="K23" s="166"/>
      <c r="L23" s="149"/>
    </row>
    <row r="24" spans="1:12" ht="39.950000000000003" customHeight="1" x14ac:dyDescent="0.25">
      <c r="A24" s="16" t="s">
        <v>710</v>
      </c>
      <c r="B24" s="16" t="s">
        <v>269</v>
      </c>
      <c r="C24" s="16" t="s">
        <v>672</v>
      </c>
      <c r="D24" s="16">
        <v>3.02</v>
      </c>
      <c r="E24" s="149">
        <f>D24*E22/1000</f>
        <v>2.7163088000000002</v>
      </c>
      <c r="F24" s="166"/>
      <c r="G24" s="166"/>
      <c r="H24" s="166"/>
      <c r="I24" s="166"/>
      <c r="J24" s="161"/>
      <c r="K24" s="149"/>
      <c r="L24" s="149"/>
    </row>
    <row r="25" spans="1:12" ht="39.950000000000003" customHeight="1" x14ac:dyDescent="0.25">
      <c r="A25" s="16" t="s">
        <v>723</v>
      </c>
      <c r="B25" s="16" t="s">
        <v>259</v>
      </c>
      <c r="C25" s="16" t="s">
        <v>672</v>
      </c>
      <c r="D25" s="16">
        <v>3.7</v>
      </c>
      <c r="E25" s="149">
        <f>D25*E22/1000</f>
        <v>3.3279280000000004</v>
      </c>
      <c r="F25" s="166"/>
      <c r="G25" s="166"/>
      <c r="H25" s="166"/>
      <c r="I25" s="166"/>
      <c r="J25" s="161"/>
      <c r="K25" s="149"/>
      <c r="L25" s="149"/>
    </row>
    <row r="26" spans="1:12" ht="39.950000000000003" customHeight="1" x14ac:dyDescent="0.25">
      <c r="A26" s="16" t="s">
        <v>724</v>
      </c>
      <c r="B26" s="16" t="s">
        <v>260</v>
      </c>
      <c r="C26" s="16" t="s">
        <v>672</v>
      </c>
      <c r="D26" s="16">
        <v>11.1</v>
      </c>
      <c r="E26" s="149">
        <f>D26*E22/1000</f>
        <v>9.983784</v>
      </c>
      <c r="F26" s="166"/>
      <c r="G26" s="166"/>
      <c r="H26" s="166"/>
      <c r="I26" s="166"/>
      <c r="J26" s="161"/>
      <c r="K26" s="149"/>
      <c r="L26" s="149"/>
    </row>
    <row r="27" spans="1:12" ht="39.950000000000003" customHeight="1" x14ac:dyDescent="0.25">
      <c r="A27" s="16" t="s">
        <v>725</v>
      </c>
      <c r="B27" s="165" t="s">
        <v>654</v>
      </c>
      <c r="C27" s="16" t="s">
        <v>393</v>
      </c>
      <c r="D27" s="16">
        <v>2.2999999999999998</v>
      </c>
      <c r="E27" s="149">
        <f>D27*E22/1000</f>
        <v>2.0687120000000001</v>
      </c>
      <c r="F27" s="166"/>
      <c r="G27" s="166"/>
      <c r="H27" s="166"/>
      <c r="I27" s="166"/>
      <c r="J27" s="161"/>
      <c r="K27" s="149"/>
      <c r="L27" s="149"/>
    </row>
    <row r="28" spans="1:12" ht="39.950000000000003" customHeight="1" x14ac:dyDescent="0.25">
      <c r="A28" s="16" t="s">
        <v>1019</v>
      </c>
      <c r="B28" s="16" t="s">
        <v>441</v>
      </c>
      <c r="C28" s="16" t="s">
        <v>9</v>
      </c>
      <c r="D28" s="16">
        <f>IF(MID(RIGHT(B22,5),1,1)&gt;"4",(97.4+((MID(RIGHT(B22,5),1,1)-4)*2*12.1)),IF(MID(RIGHT(B22,5),1,1)="4","97.4",IF(MID(RIGHT(B22,5),1,1)&lt;"4",(97.4-((4-MID(RIGHT(B22,5),1,1))*2*12.1)))))</f>
        <v>121.60000000000001</v>
      </c>
      <c r="E28" s="149">
        <f>D28*E22/1000</f>
        <v>109.37190400000001</v>
      </c>
      <c r="F28" s="162"/>
      <c r="G28" s="149"/>
      <c r="H28" s="166"/>
      <c r="I28" s="166"/>
      <c r="J28" s="161"/>
      <c r="K28" s="149"/>
      <c r="L28" s="149"/>
    </row>
    <row r="29" spans="1:12" ht="39.950000000000003" customHeight="1" x14ac:dyDescent="0.25">
      <c r="A29" s="16" t="s">
        <v>1020</v>
      </c>
      <c r="B29" s="165" t="s">
        <v>677</v>
      </c>
      <c r="C29" s="16" t="s">
        <v>393</v>
      </c>
      <c r="D29" s="16">
        <f>IF(MID(RIGHT(B22,5),1,1)&gt;"4",(14.5+((MID(RIGHT(B22,5),1,1)-4)*2*0.2)),"14.5")</f>
        <v>14.9</v>
      </c>
      <c r="E29" s="149">
        <f>D29*E22/1000</f>
        <v>13.401656000000001</v>
      </c>
      <c r="F29" s="162"/>
      <c r="G29" s="149"/>
      <c r="H29" s="166"/>
      <c r="I29" s="166"/>
      <c r="J29" s="161"/>
      <c r="K29" s="149"/>
      <c r="L29" s="149"/>
    </row>
    <row r="30" spans="1:12" ht="39.950000000000003" customHeight="1" x14ac:dyDescent="0.25">
      <c r="A30" s="150"/>
      <c r="B30" s="178" t="s">
        <v>759</v>
      </c>
      <c r="C30" s="16"/>
      <c r="D30" s="16"/>
      <c r="E30" s="16"/>
      <c r="F30" s="16"/>
      <c r="G30" s="149"/>
      <c r="H30" s="149"/>
      <c r="I30" s="149"/>
      <c r="J30" s="166"/>
      <c r="K30" s="149"/>
      <c r="L30" s="149"/>
    </row>
    <row r="31" spans="1:12" ht="39.950000000000003" customHeight="1" x14ac:dyDescent="0.25">
      <c r="A31" s="150"/>
      <c r="B31" s="178" t="s">
        <v>766</v>
      </c>
      <c r="C31" s="172" t="s">
        <v>750</v>
      </c>
      <c r="D31" s="172"/>
      <c r="E31" s="178">
        <v>10</v>
      </c>
      <c r="F31" s="16"/>
      <c r="G31" s="16"/>
      <c r="H31" s="16"/>
      <c r="I31" s="16"/>
      <c r="J31" s="16"/>
      <c r="K31" s="16"/>
      <c r="L31" s="149"/>
    </row>
    <row r="32" spans="1:12" ht="39.950000000000003" customHeight="1" x14ac:dyDescent="0.25">
      <c r="A32" s="150"/>
      <c r="B32" s="178" t="s">
        <v>759</v>
      </c>
      <c r="C32" s="178"/>
      <c r="D32" s="178"/>
      <c r="E32" s="178"/>
      <c r="F32" s="16"/>
      <c r="G32" s="166"/>
      <c r="H32" s="16"/>
      <c r="I32" s="166"/>
      <c r="J32" s="16"/>
      <c r="K32" s="166"/>
      <c r="L32" s="149"/>
    </row>
    <row r="33" spans="1:12" ht="39.950000000000003" customHeight="1" x14ac:dyDescent="0.25">
      <c r="A33" s="150"/>
      <c r="B33" s="178" t="s">
        <v>767</v>
      </c>
      <c r="C33" s="172" t="s">
        <v>750</v>
      </c>
      <c r="D33" s="172"/>
      <c r="E33" s="178">
        <v>8</v>
      </c>
      <c r="F33" s="16"/>
      <c r="G33" s="16"/>
      <c r="H33" s="16"/>
      <c r="I33" s="16"/>
      <c r="J33" s="16"/>
      <c r="K33" s="16"/>
      <c r="L33" s="149"/>
    </row>
    <row r="34" spans="1:12" ht="39.950000000000003" customHeight="1" x14ac:dyDescent="0.25">
      <c r="A34" s="150"/>
      <c r="B34" s="178" t="s">
        <v>759</v>
      </c>
      <c r="C34" s="178"/>
      <c r="D34" s="178"/>
      <c r="E34" s="178"/>
      <c r="F34" s="16"/>
      <c r="G34" s="16"/>
      <c r="H34" s="16"/>
      <c r="I34" s="16"/>
      <c r="J34" s="16"/>
      <c r="K34" s="16"/>
      <c r="L34" s="149"/>
    </row>
    <row r="35" spans="1:12" ht="39.950000000000003" customHeight="1" x14ac:dyDescent="0.35">
      <c r="A35" s="153"/>
      <c r="B35" s="154"/>
      <c r="C35" s="155"/>
      <c r="D35" s="155"/>
      <c r="E35" s="155"/>
      <c r="F35" s="155"/>
      <c r="G35" s="155"/>
      <c r="H35" s="155"/>
      <c r="I35" s="155"/>
      <c r="J35" s="155"/>
      <c r="K35" s="155"/>
      <c r="L35" s="156"/>
    </row>
    <row r="36" spans="1:12" ht="39.950000000000003" customHeight="1" x14ac:dyDescent="0.35">
      <c r="A36" s="153"/>
      <c r="B36" s="154"/>
      <c r="C36" s="155"/>
      <c r="D36" s="155"/>
      <c r="E36" s="155"/>
      <c r="F36" s="155"/>
      <c r="G36" s="155"/>
      <c r="H36" s="155"/>
      <c r="I36" s="155"/>
      <c r="J36" s="155"/>
      <c r="K36" s="155"/>
      <c r="L36" s="156"/>
    </row>
    <row r="37" spans="1:12" ht="39.950000000000003" customHeight="1" x14ac:dyDescent="0.35">
      <c r="A37" s="153"/>
      <c r="B37" s="154"/>
      <c r="C37" s="155"/>
      <c r="D37" s="155"/>
      <c r="E37" s="155"/>
      <c r="F37" s="155"/>
      <c r="G37" s="155"/>
      <c r="H37" s="155"/>
      <c r="I37" s="155"/>
      <c r="J37" s="155"/>
      <c r="K37" s="155"/>
      <c r="L37" s="156"/>
    </row>
    <row r="38" spans="1:12" ht="39.950000000000003" customHeight="1" x14ac:dyDescent="0.35">
      <c r="A38" s="153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6"/>
    </row>
    <row r="39" spans="1:12" ht="39.950000000000003" customHeight="1" x14ac:dyDescent="0.35">
      <c r="A39" s="153"/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6"/>
    </row>
    <row r="40" spans="1:12" ht="39.950000000000003" customHeight="1" x14ac:dyDescent="0.35">
      <c r="A40" s="153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6"/>
    </row>
    <row r="41" spans="1:12" ht="39.950000000000003" customHeight="1" x14ac:dyDescent="0.35">
      <c r="A41" s="153"/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6"/>
    </row>
    <row r="42" spans="1:12" ht="39.950000000000003" customHeight="1" x14ac:dyDescent="0.35">
      <c r="A42" s="153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56"/>
    </row>
    <row r="43" spans="1:12" ht="39.950000000000003" customHeight="1" x14ac:dyDescent="0.35">
      <c r="A43" s="153"/>
      <c r="B43" s="154"/>
      <c r="C43" s="155"/>
      <c r="D43" s="155"/>
      <c r="E43" s="155"/>
      <c r="F43" s="155"/>
      <c r="G43" s="155"/>
      <c r="H43" s="155"/>
      <c r="I43" s="155"/>
      <c r="J43" s="155"/>
      <c r="K43" s="155"/>
      <c r="L43" s="156"/>
    </row>
    <row r="44" spans="1:12" ht="39.950000000000003" customHeight="1" x14ac:dyDescent="0.35">
      <c r="A44" s="153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56"/>
    </row>
    <row r="45" spans="1:12" ht="39.950000000000003" customHeight="1" x14ac:dyDescent="0.35">
      <c r="A45" s="153"/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6"/>
    </row>
    <row r="46" spans="1:12" ht="39.950000000000003" customHeight="1" x14ac:dyDescent="0.35">
      <c r="A46" s="153"/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6"/>
    </row>
    <row r="47" spans="1:12" ht="39.950000000000003" customHeight="1" x14ac:dyDescent="0.35">
      <c r="A47" s="153"/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6"/>
    </row>
    <row r="48" spans="1:12" ht="39.950000000000003" customHeight="1" x14ac:dyDescent="0.35">
      <c r="A48" s="153"/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6"/>
    </row>
    <row r="49" spans="1:12" ht="39.950000000000003" customHeight="1" x14ac:dyDescent="0.35">
      <c r="A49" s="153"/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6"/>
    </row>
    <row r="50" spans="1:12" ht="39.950000000000003" customHeight="1" x14ac:dyDescent="0.35">
      <c r="A50" s="153"/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156"/>
    </row>
    <row r="51" spans="1:12" ht="39.950000000000003" customHeight="1" x14ac:dyDescent="0.35">
      <c r="A51" s="153"/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6"/>
    </row>
    <row r="52" spans="1:12" ht="39.950000000000003" customHeight="1" x14ac:dyDescent="0.35">
      <c r="A52" s="153"/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6"/>
    </row>
    <row r="53" spans="1:12" ht="39.950000000000003" customHeight="1" x14ac:dyDescent="0.35">
      <c r="A53" s="153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6"/>
    </row>
    <row r="54" spans="1:12" ht="39.950000000000003" customHeight="1" x14ac:dyDescent="0.35">
      <c r="A54" s="153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6"/>
    </row>
    <row r="55" spans="1:12" ht="39.950000000000003" customHeight="1" x14ac:dyDescent="0.35">
      <c r="A55" s="153"/>
      <c r="B55" s="154"/>
      <c r="C55" s="155"/>
      <c r="D55" s="155"/>
      <c r="E55" s="155"/>
      <c r="F55" s="155"/>
      <c r="G55" s="155"/>
      <c r="H55" s="155"/>
      <c r="I55" s="155"/>
      <c r="J55" s="155"/>
      <c r="K55" s="155"/>
      <c r="L55" s="156"/>
    </row>
    <row r="56" spans="1:12" ht="39.950000000000003" customHeight="1" x14ac:dyDescent="0.35">
      <c r="A56" s="153"/>
      <c r="B56" s="154"/>
      <c r="C56" s="155"/>
      <c r="D56" s="155"/>
      <c r="E56" s="155"/>
      <c r="F56" s="155"/>
      <c r="G56" s="155"/>
      <c r="H56" s="155"/>
      <c r="I56" s="155"/>
      <c r="J56" s="155"/>
      <c r="K56" s="155"/>
      <c r="L56" s="156"/>
    </row>
    <row r="57" spans="1:12" ht="39.950000000000003" customHeight="1" x14ac:dyDescent="0.35">
      <c r="A57" s="153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6"/>
    </row>
    <row r="58" spans="1:12" ht="39.950000000000003" customHeight="1" x14ac:dyDescent="0.35">
      <c r="A58" s="153"/>
      <c r="B58" s="154"/>
      <c r="C58" s="155"/>
      <c r="D58" s="155"/>
      <c r="E58" s="155"/>
      <c r="F58" s="155"/>
      <c r="G58" s="155"/>
      <c r="H58" s="155"/>
      <c r="I58" s="155"/>
      <c r="J58" s="155"/>
      <c r="K58" s="155"/>
      <c r="L58" s="156"/>
    </row>
    <row r="59" spans="1:12" ht="39.950000000000003" customHeight="1" x14ac:dyDescent="0.35">
      <c r="A59" s="153"/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6"/>
    </row>
    <row r="60" spans="1:12" ht="39.950000000000003" customHeight="1" x14ac:dyDescent="0.35">
      <c r="A60" s="153"/>
      <c r="B60" s="154"/>
      <c r="C60" s="155"/>
      <c r="D60" s="155"/>
      <c r="E60" s="155"/>
      <c r="F60" s="155"/>
      <c r="G60" s="155"/>
      <c r="H60" s="155"/>
      <c r="I60" s="155"/>
      <c r="J60" s="155"/>
      <c r="K60" s="155"/>
      <c r="L60" s="156"/>
    </row>
    <row r="61" spans="1:12" ht="39.950000000000003" customHeight="1" x14ac:dyDescent="0.35">
      <c r="A61" s="153"/>
      <c r="B61" s="154"/>
      <c r="C61" s="155"/>
      <c r="D61" s="155"/>
      <c r="E61" s="155"/>
      <c r="F61" s="155"/>
      <c r="G61" s="155"/>
      <c r="H61" s="155"/>
      <c r="I61" s="155"/>
      <c r="J61" s="155"/>
      <c r="K61" s="155"/>
      <c r="L61" s="156"/>
    </row>
    <row r="62" spans="1:12" ht="39.950000000000003" customHeight="1" x14ac:dyDescent="0.35">
      <c r="A62" s="153"/>
      <c r="B62" s="154"/>
      <c r="C62" s="155"/>
      <c r="D62" s="155"/>
      <c r="E62" s="155"/>
      <c r="F62" s="155"/>
      <c r="G62" s="155"/>
      <c r="H62" s="155"/>
      <c r="I62" s="155"/>
      <c r="J62" s="155"/>
      <c r="K62" s="155"/>
      <c r="L62" s="156"/>
    </row>
    <row r="63" spans="1:12" ht="39.950000000000003" customHeight="1" x14ac:dyDescent="0.35">
      <c r="A63" s="153"/>
      <c r="B63" s="154"/>
      <c r="C63" s="155"/>
      <c r="D63" s="155"/>
      <c r="E63" s="155"/>
      <c r="F63" s="155"/>
      <c r="G63" s="155"/>
      <c r="H63" s="155"/>
      <c r="I63" s="155"/>
      <c r="J63" s="155"/>
      <c r="K63" s="155"/>
      <c r="L63" s="156"/>
    </row>
    <row r="64" spans="1:12" ht="39.950000000000003" customHeight="1" x14ac:dyDescent="0.35">
      <c r="A64" s="153"/>
      <c r="B64" s="154"/>
      <c r="C64" s="155"/>
      <c r="D64" s="155"/>
      <c r="E64" s="155"/>
      <c r="F64" s="155"/>
      <c r="G64" s="155"/>
      <c r="H64" s="155"/>
      <c r="I64" s="155"/>
      <c r="J64" s="155"/>
      <c r="K64" s="155"/>
      <c r="L64" s="156"/>
    </row>
    <row r="65" spans="1:12" ht="39.950000000000003" customHeight="1" x14ac:dyDescent="0.35">
      <c r="A65" s="153"/>
      <c r="B65" s="154"/>
      <c r="C65" s="155"/>
      <c r="D65" s="155"/>
      <c r="E65" s="155"/>
      <c r="F65" s="155"/>
      <c r="G65" s="155"/>
      <c r="H65" s="155"/>
      <c r="I65" s="155"/>
      <c r="J65" s="155"/>
      <c r="K65" s="155"/>
      <c r="L65" s="156"/>
    </row>
    <row r="66" spans="1:12" ht="39.950000000000003" customHeight="1" x14ac:dyDescent="0.35">
      <c r="A66" s="153"/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6"/>
    </row>
    <row r="67" spans="1:12" ht="39.950000000000003" customHeight="1" x14ac:dyDescent="0.35">
      <c r="A67" s="153"/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6"/>
    </row>
    <row r="68" spans="1:12" ht="39.950000000000003" customHeight="1" x14ac:dyDescent="0.35">
      <c r="A68" s="153"/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6"/>
    </row>
    <row r="69" spans="1:12" ht="39.950000000000003" customHeight="1" x14ac:dyDescent="0.35">
      <c r="A69" s="153"/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6"/>
    </row>
    <row r="70" spans="1:12" ht="39.950000000000003" customHeight="1" x14ac:dyDescent="0.35">
      <c r="A70" s="153"/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6"/>
    </row>
    <row r="71" spans="1:12" ht="39.950000000000003" customHeight="1" x14ac:dyDescent="0.35">
      <c r="A71" s="153"/>
      <c r="B71" s="154"/>
      <c r="C71" s="155"/>
      <c r="D71" s="155"/>
      <c r="E71" s="155"/>
      <c r="F71" s="155"/>
      <c r="G71" s="155"/>
      <c r="H71" s="155"/>
      <c r="I71" s="155"/>
      <c r="J71" s="155"/>
      <c r="K71" s="155"/>
      <c r="L71" s="156"/>
    </row>
    <row r="72" spans="1:12" x14ac:dyDescent="0.25">
      <c r="B72" s="157"/>
      <c r="C72" s="158"/>
      <c r="D72" s="158"/>
      <c r="E72" s="158"/>
      <c r="F72" s="158"/>
      <c r="G72" s="158"/>
      <c r="H72" s="158"/>
      <c r="I72" s="158"/>
      <c r="J72" s="158"/>
      <c r="K72" s="158"/>
      <c r="L72" s="173"/>
    </row>
    <row r="73" spans="1:12" x14ac:dyDescent="0.25">
      <c r="B73" s="157"/>
      <c r="C73" s="158"/>
      <c r="D73" s="158"/>
      <c r="E73" s="158"/>
      <c r="F73" s="158"/>
      <c r="G73" s="158"/>
      <c r="H73" s="158"/>
      <c r="I73" s="158"/>
      <c r="J73" s="158"/>
      <c r="K73" s="158"/>
      <c r="L73" s="173"/>
    </row>
    <row r="74" spans="1:12" x14ac:dyDescent="0.25">
      <c r="B74" s="157"/>
      <c r="C74" s="158"/>
      <c r="D74" s="158"/>
      <c r="E74" s="158"/>
      <c r="F74" s="158"/>
      <c r="G74" s="158"/>
      <c r="H74" s="158"/>
      <c r="I74" s="158"/>
      <c r="J74" s="158"/>
      <c r="K74" s="158"/>
      <c r="L74" s="173"/>
    </row>
    <row r="75" spans="1:12" x14ac:dyDescent="0.25">
      <c r="B75" s="157"/>
      <c r="C75" s="158"/>
      <c r="D75" s="158"/>
      <c r="E75" s="158"/>
      <c r="F75" s="158"/>
      <c r="G75" s="158"/>
      <c r="H75" s="158"/>
      <c r="I75" s="158"/>
      <c r="J75" s="158"/>
      <c r="K75" s="158"/>
      <c r="L75" s="173"/>
    </row>
    <row r="76" spans="1:12" x14ac:dyDescent="0.25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74"/>
    </row>
    <row r="77" spans="1:12" x14ac:dyDescent="0.25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74"/>
    </row>
    <row r="78" spans="1:12" x14ac:dyDescent="0.25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74"/>
    </row>
    <row r="79" spans="1:12" x14ac:dyDescent="0.25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74"/>
    </row>
    <row r="80" spans="1:12" x14ac:dyDescent="0.25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74"/>
    </row>
    <row r="81" spans="2:12" x14ac:dyDescent="0.25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74"/>
    </row>
    <row r="82" spans="2:12" x14ac:dyDescent="0.25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74"/>
    </row>
    <row r="83" spans="2:12" x14ac:dyDescent="0.25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74"/>
    </row>
    <row r="84" spans="2:12" x14ac:dyDescent="0.25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74"/>
    </row>
    <row r="85" spans="2:12" x14ac:dyDescent="0.25"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74"/>
    </row>
    <row r="86" spans="2:12" x14ac:dyDescent="0.25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74"/>
    </row>
    <row r="87" spans="2:12" x14ac:dyDescent="0.25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74"/>
    </row>
    <row r="88" spans="2:12" x14ac:dyDescent="0.25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74"/>
    </row>
  </sheetData>
  <mergeCells count="14">
    <mergeCell ref="A1:L3"/>
    <mergeCell ref="A4:A6"/>
    <mergeCell ref="B4:B6"/>
    <mergeCell ref="C4:C6"/>
    <mergeCell ref="D4:E4"/>
    <mergeCell ref="F4:G4"/>
    <mergeCell ref="H4:I4"/>
    <mergeCell ref="J4:K4"/>
    <mergeCell ref="L4:L6"/>
    <mergeCell ref="D5:D6"/>
    <mergeCell ref="E5:E6"/>
    <mergeCell ref="G5:G6"/>
    <mergeCell ref="I5:I6"/>
    <mergeCell ref="K5:K6"/>
  </mergeCells>
  <pageMargins left="0.7" right="0.7" top="0.75" bottom="0.75" header="0.3" footer="0.3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147"/>
  <sheetViews>
    <sheetView view="pageBreakPreview" topLeftCell="A73" zoomScale="60" zoomScaleNormal="55" workbookViewId="0">
      <selection activeCell="B83" sqref="B83"/>
    </sheetView>
  </sheetViews>
  <sheetFormatPr defaultRowHeight="15" x14ac:dyDescent="0.25"/>
  <cols>
    <col min="1" max="1" width="15.7109375" style="54" customWidth="1"/>
    <col min="2" max="2" width="105.7109375" style="54" customWidth="1"/>
    <col min="3" max="4" width="12.7109375" style="54" customWidth="1"/>
    <col min="5" max="6" width="15.7109375" style="54" customWidth="1"/>
    <col min="7" max="7" width="17.7109375" style="54" customWidth="1"/>
    <col min="8" max="8" width="15.7109375" style="54" customWidth="1"/>
    <col min="9" max="9" width="17.7109375" style="54" customWidth="1"/>
    <col min="10" max="10" width="15.7109375" style="54" customWidth="1"/>
    <col min="11" max="11" width="17.7109375" style="54" customWidth="1"/>
    <col min="12" max="12" width="21.28515625" style="175" bestFit="1" customWidth="1"/>
    <col min="13" max="13" width="9.140625" style="54"/>
    <col min="14" max="14" width="22.7109375" style="54" customWidth="1"/>
    <col min="15" max="16384" width="9.140625" style="54"/>
  </cols>
  <sheetData>
    <row r="1" spans="1:12" ht="15" customHeight="1" x14ac:dyDescent="0.25">
      <c r="A1" s="197" t="s">
        <v>1326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ht="15" customHeight="1" x14ac:dyDescent="0.25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2"/>
    </row>
    <row r="3" spans="1:12" ht="15" customHeight="1" x14ac:dyDescent="0.25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</row>
    <row r="4" spans="1:12" ht="39.950000000000003" customHeight="1" x14ac:dyDescent="0.25">
      <c r="A4" s="186" t="s">
        <v>0</v>
      </c>
      <c r="B4" s="186" t="s">
        <v>658</v>
      </c>
      <c r="C4" s="188" t="s">
        <v>2</v>
      </c>
      <c r="D4" s="182" t="s">
        <v>653</v>
      </c>
      <c r="E4" s="191"/>
      <c r="F4" s="186" t="s">
        <v>659</v>
      </c>
      <c r="G4" s="186"/>
      <c r="H4" s="186" t="s">
        <v>660</v>
      </c>
      <c r="I4" s="186"/>
      <c r="J4" s="187" t="s">
        <v>762</v>
      </c>
      <c r="K4" s="187"/>
      <c r="L4" s="192" t="s">
        <v>662</v>
      </c>
    </row>
    <row r="5" spans="1:12" ht="39.950000000000003" customHeight="1" x14ac:dyDescent="0.25">
      <c r="A5" s="186"/>
      <c r="B5" s="186"/>
      <c r="C5" s="189"/>
      <c r="D5" s="188" t="s">
        <v>664</v>
      </c>
      <c r="E5" s="187" t="s">
        <v>665</v>
      </c>
      <c r="F5" s="178" t="s">
        <v>664</v>
      </c>
      <c r="G5" s="195" t="s">
        <v>666</v>
      </c>
      <c r="H5" s="178" t="s">
        <v>664</v>
      </c>
      <c r="I5" s="195" t="s">
        <v>666</v>
      </c>
      <c r="J5" s="178" t="s">
        <v>664</v>
      </c>
      <c r="K5" s="195" t="s">
        <v>666</v>
      </c>
      <c r="L5" s="193"/>
    </row>
    <row r="6" spans="1:12" ht="39.950000000000003" customHeight="1" x14ac:dyDescent="0.25">
      <c r="A6" s="186"/>
      <c r="B6" s="186"/>
      <c r="C6" s="190"/>
      <c r="D6" s="190"/>
      <c r="E6" s="187"/>
      <c r="F6" s="178" t="s">
        <v>667</v>
      </c>
      <c r="G6" s="196"/>
      <c r="H6" s="178" t="s">
        <v>667</v>
      </c>
      <c r="I6" s="196"/>
      <c r="J6" s="178" t="s">
        <v>667</v>
      </c>
      <c r="K6" s="196"/>
      <c r="L6" s="194"/>
    </row>
    <row r="7" spans="1:12" ht="39.950000000000003" customHeight="1" x14ac:dyDescent="0.25">
      <c r="A7" s="178">
        <v>1</v>
      </c>
      <c r="B7" s="178">
        <v>3</v>
      </c>
      <c r="C7" s="178">
        <v>4</v>
      </c>
      <c r="D7" s="178">
        <v>5</v>
      </c>
      <c r="E7" s="178">
        <v>6</v>
      </c>
      <c r="F7" s="178">
        <v>7</v>
      </c>
      <c r="G7" s="178">
        <v>8</v>
      </c>
      <c r="H7" s="178">
        <v>9</v>
      </c>
      <c r="I7" s="178">
        <v>10</v>
      </c>
      <c r="J7" s="178">
        <v>11</v>
      </c>
      <c r="K7" s="178">
        <v>12</v>
      </c>
      <c r="L7" s="178">
        <v>13</v>
      </c>
    </row>
    <row r="8" spans="1:12" ht="80.099999999999994" customHeight="1" x14ac:dyDescent="0.25">
      <c r="A8" s="178"/>
      <c r="B8" s="179" t="s">
        <v>820</v>
      </c>
      <c r="C8" s="16"/>
      <c r="D8" s="16"/>
      <c r="E8" s="16"/>
      <c r="F8" s="16"/>
      <c r="G8" s="16"/>
      <c r="H8" s="16"/>
      <c r="I8" s="16"/>
      <c r="J8" s="16"/>
      <c r="K8" s="16"/>
      <c r="L8" s="149"/>
    </row>
    <row r="9" spans="1:12" s="160" customFormat="1" ht="39.950000000000003" customHeight="1" x14ac:dyDescent="0.25">
      <c r="A9" s="39">
        <v>1.1000000000000001</v>
      </c>
      <c r="B9" s="83" t="s">
        <v>1010</v>
      </c>
      <c r="C9" s="178" t="s">
        <v>713</v>
      </c>
      <c r="D9" s="92"/>
      <c r="E9" s="159">
        <v>80.53</v>
      </c>
      <c r="F9" s="93"/>
      <c r="G9" s="93"/>
      <c r="H9" s="93"/>
      <c r="I9" s="94"/>
      <c r="J9" s="97"/>
      <c r="K9" s="97"/>
      <c r="L9" s="152"/>
    </row>
    <row r="10" spans="1:12" ht="39.950000000000003" customHeight="1" x14ac:dyDescent="0.25">
      <c r="A10" s="16">
        <v>1.1000000000000001</v>
      </c>
      <c r="B10" s="16" t="s">
        <v>231</v>
      </c>
      <c r="C10" s="16" t="s">
        <v>672</v>
      </c>
      <c r="D10" s="91">
        <f>8.9+(6.28*1)</f>
        <v>15.18</v>
      </c>
      <c r="E10" s="149">
        <f>D10*E9/1000</f>
        <v>1.2224454</v>
      </c>
      <c r="F10" s="89"/>
      <c r="G10" s="89"/>
      <c r="H10" s="89"/>
      <c r="I10" s="90"/>
      <c r="J10" s="161"/>
      <c r="K10" s="162"/>
      <c r="L10" s="149"/>
    </row>
    <row r="11" spans="1:12" s="160" customFormat="1" ht="39.950000000000003" customHeight="1" x14ac:dyDescent="0.25">
      <c r="A11" s="39">
        <v>1.2</v>
      </c>
      <c r="B11" s="83" t="s">
        <v>688</v>
      </c>
      <c r="C11" s="178" t="s">
        <v>713</v>
      </c>
      <c r="D11" s="178"/>
      <c r="E11" s="159">
        <v>1094.7</v>
      </c>
      <c r="F11" s="163"/>
      <c r="G11" s="163"/>
      <c r="H11" s="163"/>
      <c r="I11" s="163"/>
      <c r="J11" s="161"/>
      <c r="K11" s="164"/>
      <c r="L11" s="152"/>
    </row>
    <row r="12" spans="1:12" ht="39.950000000000003" customHeight="1" x14ac:dyDescent="0.25">
      <c r="A12" s="16" t="s">
        <v>697</v>
      </c>
      <c r="B12" s="165" t="s">
        <v>669</v>
      </c>
      <c r="C12" s="16" t="s">
        <v>670</v>
      </c>
      <c r="D12" s="16">
        <f>IF(AND((ISNUMBER(--MID(B11,4,1))),(MID(B13,13,4)="1,0 ")),HLOOKUP(--MID(B11,4,1),SN!$D$4:$I$10,3,FALSE),IF(AND(MID(B13,13,4)="1,0 ",ISNUMBER(--LEFT(B11,1))),HLOOKUP(--LEFT(B11,1),SN!$D$4:$I$10,3,FALSE),IF(AND((ISNUMBER(--MID(B11,4,1))),(MID(B13,13,4)="0,5 ")),HLOOKUP(--MID(B11,4,1),SN!$P$4:$U$10,3,FALSE),IF(AND(MID(B13,13,4)="0,5 ",ISNUMBER(--LEFT(B11,1))),HLOOKUP(--LEFT(B11,1),SN!$P$4:$U$10,3,FALSE),IF(AND((ISNUMBER(--MID(B11,4,1))),(MID(B13,13,4)="0,65")),HLOOKUP(--MID(B11,4,1),SN!$J$4:$O$10,3,FALSE),IF(AND(MID(B13,13,4)="0,65",ISNUMBER(--LEFT(B11,1))),HLOOKUP(--LEFT(B11,1),SN!$J$4:$O$10,3,FALSE),IF(AND((ISNUMBER(--MID(B11,4,1))),ISTEXT(B13)),HLOOKUP(--MID(B11,4,1),SN!$P$4:$U$10,3,FALSE),IF(AND(ISTEXT(B11),ISNUMBER(--LEFT(B11,1))),HLOOKUP(--LEFT(B11,1),SN!$P$4:$U$10,3,FALSE)))))))))</f>
        <v>20</v>
      </c>
      <c r="E12" s="149">
        <f>D12*E11/1000</f>
        <v>21.893999999999998</v>
      </c>
      <c r="F12" s="149"/>
      <c r="G12" s="166"/>
      <c r="H12" s="167"/>
      <c r="I12" s="149"/>
      <c r="J12" s="161"/>
      <c r="K12" s="162"/>
      <c r="L12" s="149"/>
    </row>
    <row r="13" spans="1:12" ht="39.950000000000003" customHeight="1" x14ac:dyDescent="0.25">
      <c r="A13" s="16" t="s">
        <v>698</v>
      </c>
      <c r="B13" s="16" t="s">
        <v>678</v>
      </c>
      <c r="C13" s="16" t="s">
        <v>672</v>
      </c>
      <c r="D13" s="16">
        <f>IF(AND((ISNUMBER(--MID(B11,4,1))),(MID(B13,13,4)="1,0 ")),HLOOKUP(--MID(B11,4,1),SN!$D$4:$I$10,5,FALSE),IF(AND(MID(B13,13,4)="1,0 ",ISNUMBER(--LEFT(B11,1))),HLOOKUP(--LEFT(B11,1),SN!$D$4:$I$10,5,FALSE),IF(AND((ISNUMBER(--MID(B11,4,1))),(MID(B13,13,4)="0,5 ")),HLOOKUP(--MID(B11,4,1),SN!$P$4:$U$10,5,FALSE),IF(AND(MID(B13,13,4)="0,5 ",ISNUMBER(--LEFT(B11,1))),HLOOKUP(--LEFT(B11,1),SN!$P$4:$U$10,5,FALSE),IF(AND((ISNUMBER(--MID(B11,4,1))),(MID(B13,13,4)="0,65")),HLOOKUP(--MID(B11,4,1),SN!$J$4:$O$10,5,FALSE),IF(AND(MID(B13,13,4)="0,65",ISNUMBER(--LEFT(B11,1))),HLOOKUP(--LEFT(B11,1),SN!$J$4:$O$10,5,FALSE),IF(AND((ISNUMBER(--MID(B11,4,1))),ISTEXT(B13)),HLOOKUP(--MID(B11,4,1),SN!$P$4:$U$10,5,FALSE),IF(AND(ISTEXT(B11),ISNUMBER(--LEFT(B11,1))),HLOOKUP(--LEFT(B11,1),SN!$P$4:$U$10,5,FALSE)))))))))</f>
        <v>44.8</v>
      </c>
      <c r="E13" s="149">
        <f>D13*E11/1000</f>
        <v>49.042559999999995</v>
      </c>
      <c r="F13" s="166"/>
      <c r="G13" s="166"/>
      <c r="H13" s="166"/>
      <c r="I13" s="166"/>
      <c r="J13" s="161"/>
      <c r="K13" s="162"/>
      <c r="L13" s="149"/>
    </row>
    <row r="14" spans="1:12" ht="39.950000000000003" customHeight="1" x14ac:dyDescent="0.25">
      <c r="A14" s="16" t="s">
        <v>699</v>
      </c>
      <c r="B14" s="165" t="s">
        <v>654</v>
      </c>
      <c r="C14" s="16" t="s">
        <v>393</v>
      </c>
      <c r="D14" s="16">
        <f>IF(AND((ISNUMBER(--MID(B11,4,1))),(MID(B13,13,4)="1,0 ")),HLOOKUP(--MID(B11,4,1),SN!$D$4:$I$10,6,FALSE),IF(AND(MID(B13,13,4)="1,0 ",ISNUMBER(--LEFT(B11,1))),HLOOKUP(--LEFT(B11,1),SN!$D$4:$I$10,6,FALSE),IF(AND((ISNUMBER(--MID(B11,4,1))),(MID(B13,13,4)="0,5 ")),HLOOKUP(--MID(B11,4,1),SN!$P$4:$U$10,6,FALSE),IF(AND(MID(B13,13,4)="0,5 ",ISNUMBER(--LEFT(B11,1))),HLOOKUP(--LEFT(B11,1),SN!$P$4:$U$10,6,FALSE),IF(AND((ISNUMBER(--MID(B11,4,1))),(MID(B13,13,4)="0,65")),HLOOKUP(--MID(B11,4,1),SN!$J$4:$O$10,6,FALSE),IF(AND(MID(B13,13,4)="0,65",ISNUMBER(--LEFT(B11,1))),HLOOKUP(--LEFT(B11,1),SN!$J$4:$O$10,6,FALSE),IF(AND((ISNUMBER(--MID(B11,4,1))),ISTEXT(B13)),HLOOKUP(--MID(B11,4,1),SN!$P$4:$U$10,6,FALSE),IF(AND(ISTEXT(B11),ISNUMBER(--LEFT(B11,1))),HLOOKUP(--LEFT(B11,1),SN!$P$4:$U$10,6,FALSE)))))))))</f>
        <v>2.1</v>
      </c>
      <c r="E14" s="149">
        <f>D14*E11/1000</f>
        <v>2.2988700000000004</v>
      </c>
      <c r="F14" s="166"/>
      <c r="G14" s="166"/>
      <c r="H14" s="166"/>
      <c r="I14" s="166"/>
      <c r="J14" s="161"/>
      <c r="K14" s="162"/>
      <c r="L14" s="149"/>
    </row>
    <row r="15" spans="1:12" ht="39.950000000000003" customHeight="1" x14ac:dyDescent="0.25">
      <c r="A15" s="16" t="s">
        <v>700</v>
      </c>
      <c r="B15" s="16" t="s">
        <v>337</v>
      </c>
      <c r="C15" s="16" t="s">
        <v>674</v>
      </c>
      <c r="D15" s="16">
        <f>IF(AND((ISNUMBER(--MID(B11,4,1))),(MID(B13,13,4)="1,0 ")),HLOOKUP(--MID(B11,4,1),SN!$D$4:$I$10,7,FALSE),IF(AND(MID(B13,13,4)="1,0 ",ISNUMBER(--LEFT(B11,1))),HLOOKUP(--LEFT(B11,1),SN!$D$4:$I$10,7,FALSE),IF(AND((ISNUMBER(--MID(B11,4,1))),(MID(B13,13,4)="0,5 ")),HLOOKUP(--MID(B11,4,1),SN!$P$4:$U$10,7,FALSE),IF(AND(MID(B13,13,4)="0,5 ",ISNUMBER(--LEFT(B11,1))),HLOOKUP(--LEFT(B11,1),SN!$P$4:$U$10,7,FALSE),IF(AND((ISNUMBER(--MID(B11,4,1))),(MID(B13,13,4)="0,65")),HLOOKUP(--MID(B11,4,1),SN!$J$4:$O$10,7,FALSE),IF(AND(MID(B13,13,4)="0,65",ISNUMBER(--LEFT(B11,1))),HLOOKUP(--LEFT(B11,1),SN!$J$4:$O$10,7,FALSE),IF(AND((ISNUMBER(--MID(B11,4,1))),ISTEXT(B13)),HLOOKUP(--MID(B11,4,1),SN!$P$4:$U$10,7,FALSE),IF(AND(ISTEXT(B11),ISNUMBER(--LEFT(B11,1))),HLOOKUP(--LEFT(B11,1),SN!$P$4:$U$10,7,FALSE)))))))))</f>
        <v>0.05</v>
      </c>
      <c r="E15" s="149">
        <f>D15*E11/1000</f>
        <v>5.4735000000000006E-2</v>
      </c>
      <c r="F15" s="162"/>
      <c r="G15" s="149"/>
      <c r="H15" s="166"/>
      <c r="I15" s="166"/>
      <c r="J15" s="161"/>
      <c r="K15" s="162"/>
      <c r="L15" s="149"/>
    </row>
    <row r="16" spans="1:12" s="160" customFormat="1" ht="39.950000000000003" customHeight="1" x14ac:dyDescent="0.25">
      <c r="A16" s="39">
        <v>1.3</v>
      </c>
      <c r="B16" s="83" t="s">
        <v>1008</v>
      </c>
      <c r="C16" s="178" t="s">
        <v>9</v>
      </c>
      <c r="D16" s="178"/>
      <c r="E16" s="163">
        <f>E11*1.9</f>
        <v>2079.9299999999998</v>
      </c>
      <c r="F16" s="163"/>
      <c r="G16" s="163"/>
      <c r="H16" s="163"/>
      <c r="I16" s="163"/>
      <c r="J16" s="164"/>
      <c r="K16" s="164"/>
      <c r="L16" s="152"/>
    </row>
    <row r="17" spans="1:13" s="160" customFormat="1" ht="39.950000000000003" customHeight="1" x14ac:dyDescent="0.25">
      <c r="A17" s="39">
        <v>1.4</v>
      </c>
      <c r="B17" s="83" t="s">
        <v>690</v>
      </c>
      <c r="C17" s="178" t="s">
        <v>713</v>
      </c>
      <c r="D17" s="178"/>
      <c r="E17" s="159">
        <f>E11</f>
        <v>1094.7</v>
      </c>
      <c r="F17" s="163"/>
      <c r="G17" s="163"/>
      <c r="H17" s="163"/>
      <c r="I17" s="163"/>
      <c r="J17" s="161"/>
      <c r="K17" s="164"/>
      <c r="L17" s="152"/>
    </row>
    <row r="18" spans="1:13" ht="39.950000000000003" customHeight="1" x14ac:dyDescent="0.25">
      <c r="A18" s="16" t="s">
        <v>714</v>
      </c>
      <c r="B18" s="165" t="s">
        <v>669</v>
      </c>
      <c r="C18" s="16" t="s">
        <v>670</v>
      </c>
      <c r="D18" s="16">
        <f>IF(ISNUMBER(--MID(B17,4,1)),HLOOKUP(--MID(B17,4,1),SN!$D$14:$I$20,3,FALSE),IF(ISNUMBER(--LEFT(B17,1)),HLOOKUP(--LEFT(B17,1),SN!$D$14:$I$20,3,FALSE)))</f>
        <v>3.23</v>
      </c>
      <c r="E18" s="149">
        <f>D18*E17/1000</f>
        <v>3.5358810000000003</v>
      </c>
      <c r="F18" s="166"/>
      <c r="G18" s="166"/>
      <c r="H18" s="167"/>
      <c r="I18" s="149"/>
      <c r="J18" s="161"/>
      <c r="K18" s="162"/>
      <c r="L18" s="149"/>
    </row>
    <row r="19" spans="1:13" ht="39.950000000000003" customHeight="1" x14ac:dyDescent="0.25">
      <c r="A19" s="16" t="s">
        <v>715</v>
      </c>
      <c r="B19" s="16" t="s">
        <v>230</v>
      </c>
      <c r="C19" s="16" t="s">
        <v>672</v>
      </c>
      <c r="D19" s="16">
        <f>IF(ISNUMBER(--MID(B17,4,1)),HLOOKUP(--MID(B17,4,1),SN!$D$14:$I$20,5,FALSE),IF(ISNUMBER(--LEFT(B17,1)),HLOOKUP(--LEFT(B17,1),SN!$D$14:$I$20,5,FALSE)))</f>
        <v>3.62</v>
      </c>
      <c r="E19" s="149">
        <f>D19*E17/1000</f>
        <v>3.9628140000000003</v>
      </c>
      <c r="F19" s="166"/>
      <c r="G19" s="166"/>
      <c r="H19" s="166"/>
      <c r="I19" s="166"/>
      <c r="J19" s="161"/>
      <c r="K19" s="162"/>
      <c r="L19" s="149"/>
    </row>
    <row r="20" spans="1:13" ht="39.950000000000003" customHeight="1" x14ac:dyDescent="0.25">
      <c r="A20" s="16" t="s">
        <v>716</v>
      </c>
      <c r="B20" s="165" t="s">
        <v>654</v>
      </c>
      <c r="C20" s="16" t="s">
        <v>393</v>
      </c>
      <c r="D20" s="16">
        <f>IF(ISNUMBER(--MID(B17,4,1)),HLOOKUP(--MID(B17,4,1),SN!$D$14:$I$20,6,FALSE),IF(ISNUMBER(--LEFT(B17,1)),HLOOKUP(--LEFT(B17,1),SN!$D$14:$I$20,6,FALSE)))</f>
        <v>0.18</v>
      </c>
      <c r="E20" s="149">
        <f>D20*E17/1000</f>
        <v>0.197046</v>
      </c>
      <c r="F20" s="166"/>
      <c r="G20" s="166"/>
      <c r="H20" s="166"/>
      <c r="I20" s="166"/>
      <c r="J20" s="161"/>
      <c r="K20" s="162"/>
      <c r="L20" s="149"/>
    </row>
    <row r="21" spans="1:13" ht="39.950000000000003" customHeight="1" x14ac:dyDescent="0.25">
      <c r="A21" s="16" t="s">
        <v>717</v>
      </c>
      <c r="B21" s="16" t="s">
        <v>337</v>
      </c>
      <c r="C21" s="16" t="s">
        <v>674</v>
      </c>
      <c r="D21" s="16">
        <f>IF(ISNUMBER(--MID(B17,4,1)),HLOOKUP(--MID(B17,4,1),SN!$D$14:$I$20,7,FALSE),IF(ISNUMBER(--LEFT(B17,1)),HLOOKUP(--LEFT(B17,1),SN!$D$14:$I$20,7,FALSE)))</f>
        <v>0.04</v>
      </c>
      <c r="E21" s="149">
        <f>D21*E17/1000</f>
        <v>4.3788000000000001E-2</v>
      </c>
      <c r="F21" s="162"/>
      <c r="G21" s="149"/>
      <c r="H21" s="166"/>
      <c r="I21" s="166"/>
      <c r="J21" s="161"/>
      <c r="K21" s="162"/>
      <c r="L21" s="149"/>
    </row>
    <row r="22" spans="1:13" s="160" customFormat="1" ht="39.950000000000003" customHeight="1" x14ac:dyDescent="0.25">
      <c r="A22" s="39">
        <v>1.5</v>
      </c>
      <c r="B22" s="83" t="s">
        <v>1327</v>
      </c>
      <c r="C22" s="178" t="s">
        <v>712</v>
      </c>
      <c r="D22" s="178"/>
      <c r="E22" s="168">
        <v>17</v>
      </c>
      <c r="F22" s="163"/>
      <c r="G22" s="163"/>
      <c r="H22" s="163"/>
      <c r="I22" s="163"/>
      <c r="J22" s="164"/>
      <c r="K22" s="164"/>
      <c r="L22" s="152"/>
    </row>
    <row r="23" spans="1:13" ht="39.950000000000003" customHeight="1" x14ac:dyDescent="0.25">
      <c r="A23" s="16" t="s">
        <v>726</v>
      </c>
      <c r="B23" s="165" t="s">
        <v>669</v>
      </c>
      <c r="C23" s="16" t="s">
        <v>670</v>
      </c>
      <c r="D23" s="16">
        <v>1020</v>
      </c>
      <c r="E23" s="149">
        <f>D23*E22/100</f>
        <v>173.4</v>
      </c>
      <c r="F23" s="166"/>
      <c r="G23" s="166"/>
      <c r="H23" s="167"/>
      <c r="I23" s="149"/>
      <c r="J23" s="162"/>
      <c r="K23" s="162"/>
      <c r="L23" s="149"/>
    </row>
    <row r="24" spans="1:13" ht="39.950000000000003" customHeight="1" x14ac:dyDescent="0.25">
      <c r="A24" s="16" t="s">
        <v>727</v>
      </c>
      <c r="B24" s="165" t="s">
        <v>654</v>
      </c>
      <c r="C24" s="16" t="s">
        <v>672</v>
      </c>
      <c r="D24" s="16">
        <v>799</v>
      </c>
      <c r="E24" s="149">
        <f>D24*E22/100</f>
        <v>135.83000000000001</v>
      </c>
      <c r="F24" s="166"/>
      <c r="G24" s="166"/>
      <c r="H24" s="166"/>
      <c r="I24" s="166"/>
      <c r="J24" s="161"/>
      <c r="K24" s="162"/>
      <c r="L24" s="149"/>
    </row>
    <row r="25" spans="1:13" s="160" customFormat="1" ht="39.950000000000003" customHeight="1" x14ac:dyDescent="0.25">
      <c r="A25" s="39">
        <v>1.6</v>
      </c>
      <c r="B25" s="83" t="s">
        <v>1313</v>
      </c>
      <c r="C25" s="178" t="s">
        <v>713</v>
      </c>
      <c r="D25" s="178"/>
      <c r="E25" s="159">
        <f>E22</f>
        <v>17</v>
      </c>
      <c r="F25" s="163"/>
      <c r="G25" s="163"/>
      <c r="H25" s="163"/>
      <c r="I25" s="163"/>
      <c r="J25" s="161"/>
      <c r="K25" s="164"/>
      <c r="L25" s="152"/>
    </row>
    <row r="26" spans="1:13" ht="39.950000000000003" customHeight="1" x14ac:dyDescent="0.25">
      <c r="A26" s="16" t="s">
        <v>781</v>
      </c>
      <c r="B26" s="165" t="s">
        <v>669</v>
      </c>
      <c r="C26" s="16" t="s">
        <v>670</v>
      </c>
      <c r="D26" s="16">
        <v>20</v>
      </c>
      <c r="E26" s="149">
        <f>D26*E25/1000</f>
        <v>0.34</v>
      </c>
      <c r="F26" s="149"/>
      <c r="G26" s="166"/>
      <c r="H26" s="167"/>
      <c r="I26" s="149"/>
      <c r="J26" s="161"/>
      <c r="K26" s="162"/>
      <c r="L26" s="149"/>
    </row>
    <row r="27" spans="1:13" ht="39.950000000000003" customHeight="1" x14ac:dyDescent="0.25">
      <c r="A27" s="16" t="s">
        <v>782</v>
      </c>
      <c r="B27" s="16" t="s">
        <v>678</v>
      </c>
      <c r="C27" s="16" t="s">
        <v>672</v>
      </c>
      <c r="D27" s="16">
        <v>44.8</v>
      </c>
      <c r="E27" s="149">
        <f>D27*E25/1000</f>
        <v>0.76159999999999994</v>
      </c>
      <c r="F27" s="166"/>
      <c r="G27" s="166"/>
      <c r="H27" s="166"/>
      <c r="I27" s="166"/>
      <c r="J27" s="161"/>
      <c r="K27" s="162"/>
      <c r="L27" s="149"/>
    </row>
    <row r="28" spans="1:13" ht="39.950000000000003" customHeight="1" x14ac:dyDescent="0.25">
      <c r="A28" s="16" t="s">
        <v>783</v>
      </c>
      <c r="B28" s="165" t="s">
        <v>654</v>
      </c>
      <c r="C28" s="16" t="s">
        <v>393</v>
      </c>
      <c r="D28" s="16">
        <v>2.1</v>
      </c>
      <c r="E28" s="149">
        <f>D28*E25/1000</f>
        <v>3.5700000000000003E-2</v>
      </c>
      <c r="F28" s="166"/>
      <c r="G28" s="166"/>
      <c r="H28" s="166"/>
      <c r="I28" s="166"/>
      <c r="J28" s="161"/>
      <c r="K28" s="162"/>
      <c r="L28" s="149"/>
    </row>
    <row r="29" spans="1:13" ht="39.950000000000003" customHeight="1" x14ac:dyDescent="0.25">
      <c r="A29" s="16" t="s">
        <v>784</v>
      </c>
      <c r="B29" s="16" t="s">
        <v>337</v>
      </c>
      <c r="C29" s="16" t="s">
        <v>674</v>
      </c>
      <c r="D29" s="16">
        <v>0.05</v>
      </c>
      <c r="E29" s="149">
        <f>D29*E25/1000</f>
        <v>8.5000000000000006E-4</v>
      </c>
      <c r="F29" s="162"/>
      <c r="G29" s="149"/>
      <c r="H29" s="166"/>
      <c r="I29" s="166"/>
      <c r="J29" s="161"/>
      <c r="K29" s="162"/>
      <c r="L29" s="149"/>
    </row>
    <row r="30" spans="1:13" s="160" customFormat="1" ht="39.950000000000003" customHeight="1" x14ac:dyDescent="0.25">
      <c r="A30" s="39">
        <v>1.7</v>
      </c>
      <c r="B30" s="83" t="s">
        <v>1314</v>
      </c>
      <c r="C30" s="178" t="s">
        <v>9</v>
      </c>
      <c r="D30" s="178"/>
      <c r="E30" s="163">
        <f>E25*2.4</f>
        <v>40.799999999999997</v>
      </c>
      <c r="F30" s="163"/>
      <c r="G30" s="163"/>
      <c r="H30" s="163"/>
      <c r="I30" s="163"/>
      <c r="J30" s="164"/>
      <c r="K30" s="164"/>
      <c r="L30" s="152"/>
    </row>
    <row r="31" spans="1:13" s="160" customFormat="1" ht="39.950000000000003" customHeight="1" x14ac:dyDescent="0.25">
      <c r="A31" s="39">
        <v>1.8</v>
      </c>
      <c r="B31" s="83" t="s">
        <v>1316</v>
      </c>
      <c r="C31" s="178" t="s">
        <v>847</v>
      </c>
      <c r="D31" s="178"/>
      <c r="E31" s="159">
        <v>107</v>
      </c>
      <c r="F31" s="163"/>
      <c r="G31" s="163"/>
      <c r="H31" s="163"/>
      <c r="I31" s="163"/>
      <c r="J31" s="163"/>
      <c r="K31" s="163"/>
      <c r="L31" s="152"/>
      <c r="M31" s="169"/>
    </row>
    <row r="32" spans="1:13" ht="39.950000000000003" customHeight="1" x14ac:dyDescent="0.25">
      <c r="A32" s="16" t="s">
        <v>829</v>
      </c>
      <c r="B32" s="165" t="s">
        <v>669</v>
      </c>
      <c r="C32" s="16" t="s">
        <v>670</v>
      </c>
      <c r="D32" s="16">
        <f>745*0.7</f>
        <v>521.5</v>
      </c>
      <c r="E32" s="149">
        <f>D32*E31/1000</f>
        <v>55.8005</v>
      </c>
      <c r="F32" s="166"/>
      <c r="G32" s="166"/>
      <c r="H32" s="167"/>
      <c r="I32" s="149"/>
      <c r="J32" s="166"/>
      <c r="K32" s="166"/>
      <c r="L32" s="149"/>
    </row>
    <row r="33" spans="1:13" ht="39.950000000000003" customHeight="1" x14ac:dyDescent="0.25">
      <c r="A33" s="16" t="s">
        <v>830</v>
      </c>
      <c r="B33" s="165" t="s">
        <v>654</v>
      </c>
      <c r="C33" s="16" t="s">
        <v>393</v>
      </c>
      <c r="D33" s="16">
        <f>380*0.7</f>
        <v>266</v>
      </c>
      <c r="E33" s="149">
        <f>D33*E31/1000</f>
        <v>28.462</v>
      </c>
      <c r="F33" s="170"/>
      <c r="G33" s="149"/>
      <c r="H33" s="166"/>
      <c r="I33" s="166"/>
      <c r="J33" s="161"/>
      <c r="K33" s="149"/>
      <c r="L33" s="149"/>
    </row>
    <row r="34" spans="1:13" ht="39.950000000000003" customHeight="1" x14ac:dyDescent="0.25">
      <c r="A34" s="16" t="s">
        <v>840</v>
      </c>
      <c r="B34" s="165" t="s">
        <v>677</v>
      </c>
      <c r="C34" s="16" t="s">
        <v>393</v>
      </c>
      <c r="D34" s="16">
        <f>184*0.7</f>
        <v>128.79999999999998</v>
      </c>
      <c r="E34" s="149">
        <f>D34*E31/1000</f>
        <v>13.781599999999999</v>
      </c>
      <c r="F34" s="162"/>
      <c r="G34" s="149"/>
      <c r="H34" s="166"/>
      <c r="I34" s="166"/>
      <c r="J34" s="166"/>
      <c r="K34" s="166"/>
      <c r="L34" s="149"/>
    </row>
    <row r="35" spans="1:13" s="160" customFormat="1" ht="39.950000000000003" customHeight="1" x14ac:dyDescent="0.25">
      <c r="A35" s="70">
        <v>1.9</v>
      </c>
      <c r="B35" s="83" t="s">
        <v>1317</v>
      </c>
      <c r="C35" s="178" t="s">
        <v>713</v>
      </c>
      <c r="D35" s="178"/>
      <c r="E35" s="159">
        <v>156.6</v>
      </c>
      <c r="F35" s="163"/>
      <c r="G35" s="163"/>
      <c r="H35" s="163"/>
      <c r="I35" s="163"/>
      <c r="J35" s="161"/>
      <c r="K35" s="164"/>
      <c r="L35" s="152"/>
    </row>
    <row r="36" spans="1:13" ht="39.950000000000003" customHeight="1" x14ac:dyDescent="0.25">
      <c r="A36" s="16" t="s">
        <v>817</v>
      </c>
      <c r="B36" s="165" t="s">
        <v>669</v>
      </c>
      <c r="C36" s="16" t="s">
        <v>670</v>
      </c>
      <c r="D36" s="16">
        <f>IF(AND((ISNUMBER(--MID(B35,4,1))),(MID(B37,13,4)="1,0 ")),HLOOKUP(--MID(B35,4,1),SN!$D$4:$I$10,3,FALSE),IF(AND(MID(B37,13,4)="1,0 ",ISNUMBER(--LEFT(B35,1))),HLOOKUP(--LEFT(B35,1),SN!$D$4:$I$10,3,FALSE),IF(AND((ISNUMBER(--MID(B35,4,1))),(MID(B37,13,4)="0,5 ")),HLOOKUP(--MID(B35,4,1),SN!$P$4:$U$10,3,FALSE),IF(AND(MID(B37,13,4)="0,5 ",ISNUMBER(--LEFT(B35,1))),HLOOKUP(--LEFT(B35,1),SN!$P$4:$U$10,3,FALSE),IF(AND((ISNUMBER(--MID(B35,4,1))),(MID(B37,13,4)="0,65")),HLOOKUP(--MID(B35,4,1),SN!$J$4:$O$10,3,FALSE),IF(AND(MID(B37,13,4)="0,65",ISNUMBER(--LEFT(B35,1))),HLOOKUP(--LEFT(B35,1),SN!$J$4:$O$10,3,FALSE),IF(AND((ISNUMBER(--MID(B35,4,1))),ISTEXT(B37)),HLOOKUP(--MID(B35,4,1),SN!$P$4:$U$10,3,FALSE),IF(AND(ISTEXT(B35),ISNUMBER(--LEFT(B35,1))),HLOOKUP(--LEFT(B35,1),SN!$P$4:$U$10,3,FALSE)))))))))</f>
        <v>20</v>
      </c>
      <c r="E36" s="149">
        <f>D36*E35/1000</f>
        <v>3.1320000000000001</v>
      </c>
      <c r="F36" s="149"/>
      <c r="G36" s="166"/>
      <c r="H36" s="167"/>
      <c r="I36" s="149"/>
      <c r="J36" s="161"/>
      <c r="K36" s="162"/>
      <c r="L36" s="149"/>
    </row>
    <row r="37" spans="1:13" ht="39.950000000000003" customHeight="1" x14ac:dyDescent="0.25">
      <c r="A37" s="16" t="s">
        <v>830</v>
      </c>
      <c r="B37" s="16" t="s">
        <v>678</v>
      </c>
      <c r="C37" s="16" t="s">
        <v>672</v>
      </c>
      <c r="D37" s="16">
        <f>IF(AND((ISNUMBER(--MID(B35,4,1))),(MID(B37,13,4)="1,0 ")),HLOOKUP(--MID(B35,4,1),SN!$D$4:$I$10,5,FALSE),IF(AND(MID(B37,13,4)="1,0 ",ISNUMBER(--LEFT(B35,1))),HLOOKUP(--LEFT(B35,1),SN!$D$4:$I$10,5,FALSE),IF(AND((ISNUMBER(--MID(B35,4,1))),(MID(B37,13,4)="0,5 ")),HLOOKUP(--MID(B35,4,1),SN!$P$4:$U$10,5,FALSE),IF(AND(MID(B37,13,4)="0,5 ",ISNUMBER(--LEFT(B35,1))),HLOOKUP(--LEFT(B35,1),SN!$P$4:$U$10,5,FALSE),IF(AND((ISNUMBER(--MID(B35,4,1))),(MID(B37,13,4)="0,65")),HLOOKUP(--MID(B35,4,1),SN!$J$4:$O$10,5,FALSE),IF(AND(MID(B37,13,4)="0,65",ISNUMBER(--LEFT(B35,1))),HLOOKUP(--LEFT(B35,1),SN!$J$4:$O$10,5,FALSE),IF(AND((ISNUMBER(--MID(B35,4,1))),ISTEXT(B37)),HLOOKUP(--MID(B35,4,1),SN!$P$4:$U$10,5,FALSE),IF(AND(ISTEXT(B35),ISNUMBER(--LEFT(B35,1))),HLOOKUP(--LEFT(B35,1),SN!$P$4:$U$10,5,FALSE)))))))))</f>
        <v>44.8</v>
      </c>
      <c r="E37" s="149">
        <f>D37*E35/1000</f>
        <v>7.0156799999999997</v>
      </c>
      <c r="F37" s="166"/>
      <c r="G37" s="166"/>
      <c r="H37" s="166"/>
      <c r="I37" s="166"/>
      <c r="J37" s="161"/>
      <c r="K37" s="162"/>
      <c r="L37" s="149"/>
    </row>
    <row r="38" spans="1:13" ht="39.950000000000003" customHeight="1" x14ac:dyDescent="0.25">
      <c r="A38" s="16" t="s">
        <v>839</v>
      </c>
      <c r="B38" s="165" t="s">
        <v>654</v>
      </c>
      <c r="C38" s="16" t="s">
        <v>393</v>
      </c>
      <c r="D38" s="16">
        <f>IF(AND((ISNUMBER(--MID(B35,4,1))),(MID(B37,13,4)="1,0 ")),HLOOKUP(--MID(B35,4,1),SN!$D$4:$I$10,6,FALSE),IF(AND(MID(B37,13,4)="1,0 ",ISNUMBER(--LEFT(B35,1))),HLOOKUP(--LEFT(B35,1),SN!$D$4:$I$10,6,FALSE),IF(AND((ISNUMBER(--MID(B35,4,1))),(MID(B37,13,4)="0,5 ")),HLOOKUP(--MID(B35,4,1),SN!$P$4:$U$10,6,FALSE),IF(AND(MID(B37,13,4)="0,5 ",ISNUMBER(--LEFT(B35,1))),HLOOKUP(--LEFT(B35,1),SN!$P$4:$U$10,6,FALSE),IF(AND((ISNUMBER(--MID(B35,4,1))),(MID(B37,13,4)="0,65")),HLOOKUP(--MID(B35,4,1),SN!$J$4:$O$10,6,FALSE),IF(AND(MID(B37,13,4)="0,65",ISNUMBER(--LEFT(B35,1))),HLOOKUP(--LEFT(B35,1),SN!$J$4:$O$10,6,FALSE),IF(AND((ISNUMBER(--MID(B35,4,1))),ISTEXT(B37)),HLOOKUP(--MID(B35,4,1),SN!$P$4:$U$10,6,FALSE),IF(AND(ISTEXT(B35),ISNUMBER(--LEFT(B35,1))),HLOOKUP(--LEFT(B35,1),SN!$P$4:$U$10,6,FALSE)))))))))</f>
        <v>2.1</v>
      </c>
      <c r="E38" s="149">
        <f>D38*E35/1000</f>
        <v>0.32886000000000004</v>
      </c>
      <c r="F38" s="166"/>
      <c r="G38" s="166"/>
      <c r="H38" s="166"/>
      <c r="I38" s="166"/>
      <c r="J38" s="161"/>
      <c r="K38" s="162"/>
      <c r="L38" s="149"/>
    </row>
    <row r="39" spans="1:13" ht="39.950000000000003" customHeight="1" x14ac:dyDescent="0.25">
      <c r="A39" s="16" t="s">
        <v>840</v>
      </c>
      <c r="B39" s="16" t="s">
        <v>337</v>
      </c>
      <c r="C39" s="16" t="s">
        <v>674</v>
      </c>
      <c r="D39" s="16">
        <f>IF(AND((ISNUMBER(--MID(B35,4,1))),(MID(B37,13,4)="1,0 ")),HLOOKUP(--MID(B35,4,1),SN!$D$4:$I$10,7,FALSE),IF(AND(MID(B37,13,4)="1,0 ",ISNUMBER(--LEFT(B35,1))),HLOOKUP(--LEFT(B35,1),SN!$D$4:$I$10,7,FALSE),IF(AND((ISNUMBER(--MID(B35,4,1))),(MID(B37,13,4)="0,5 ")),HLOOKUP(--MID(B35,4,1),SN!$P$4:$U$10,7,FALSE),IF(AND(MID(B37,13,4)="0,5 ",ISNUMBER(--LEFT(B35,1))),HLOOKUP(--LEFT(B35,1),SN!$P$4:$U$10,7,FALSE),IF(AND((ISNUMBER(--MID(B35,4,1))),(MID(B37,13,4)="0,65")),HLOOKUP(--MID(B35,4,1),SN!$J$4:$O$10,7,FALSE),IF(AND(MID(B37,13,4)="0,65",ISNUMBER(--LEFT(B35,1))),HLOOKUP(--LEFT(B35,1),SN!$J$4:$O$10,7,FALSE),IF(AND((ISNUMBER(--MID(B35,4,1))),ISTEXT(B37)),HLOOKUP(--MID(B35,4,1),SN!$P$4:$U$10,7,FALSE),IF(AND(ISTEXT(B35),ISNUMBER(--LEFT(B35,1))),HLOOKUP(--LEFT(B35,1),SN!$P$4:$U$10,7,FALSE)))))))))</f>
        <v>0.05</v>
      </c>
      <c r="E39" s="149">
        <f>D39*E35/1000</f>
        <v>7.8300000000000002E-3</v>
      </c>
      <c r="F39" s="162"/>
      <c r="G39" s="149"/>
      <c r="H39" s="166"/>
      <c r="I39" s="166"/>
      <c r="J39" s="161"/>
      <c r="K39" s="162"/>
      <c r="L39" s="149"/>
    </row>
    <row r="40" spans="1:13" s="160" customFormat="1" ht="39.950000000000003" customHeight="1" x14ac:dyDescent="0.25">
      <c r="A40" s="67">
        <v>1.1000000000000001</v>
      </c>
      <c r="B40" s="83" t="s">
        <v>823</v>
      </c>
      <c r="C40" s="178" t="s">
        <v>712</v>
      </c>
      <c r="D40" s="178"/>
      <c r="E40" s="168">
        <v>17.399999999999999</v>
      </c>
      <c r="F40" s="163"/>
      <c r="G40" s="163"/>
      <c r="H40" s="163"/>
      <c r="I40" s="163"/>
      <c r="J40" s="164"/>
      <c r="K40" s="164"/>
      <c r="L40" s="152"/>
    </row>
    <row r="41" spans="1:13" ht="39.950000000000003" customHeight="1" x14ac:dyDescent="0.25">
      <c r="A41" s="16" t="s">
        <v>817</v>
      </c>
      <c r="B41" s="165" t="s">
        <v>669</v>
      </c>
      <c r="C41" s="16" t="s">
        <v>670</v>
      </c>
      <c r="D41" s="16">
        <f>IF(ISNUMBER(--MID(B40,4,1)),HLOOKUP(--MID(B40,4,1),SN!$M$15:$P$17,3,FALSE),IF(ISNUMBER(--LEFT(B40,1)),HLOOKUP(--LEFT(B40,1),SN!$M$15:$P$17,3,FALSE)))</f>
        <v>206</v>
      </c>
      <c r="E41" s="149">
        <f>D41*E40/100</f>
        <v>35.843999999999994</v>
      </c>
      <c r="F41" s="166"/>
      <c r="G41" s="166"/>
      <c r="H41" s="167"/>
      <c r="I41" s="149"/>
      <c r="J41" s="162"/>
      <c r="K41" s="162"/>
      <c r="L41" s="149"/>
    </row>
    <row r="42" spans="1:13" s="160" customFormat="1" ht="39.950000000000003" customHeight="1" x14ac:dyDescent="0.25">
      <c r="A42" s="67">
        <v>1.1100000000000001</v>
      </c>
      <c r="B42" s="83" t="s">
        <v>824</v>
      </c>
      <c r="C42" s="178" t="s">
        <v>9</v>
      </c>
      <c r="D42" s="178"/>
      <c r="E42" s="178">
        <f>E40*1.95</f>
        <v>33.93</v>
      </c>
      <c r="F42" s="163"/>
      <c r="G42" s="163"/>
      <c r="H42" s="163"/>
      <c r="I42" s="163"/>
      <c r="J42" s="163"/>
      <c r="K42" s="163"/>
      <c r="L42" s="152"/>
      <c r="M42" s="169"/>
    </row>
    <row r="43" spans="1:13" ht="39.950000000000003" customHeight="1" x14ac:dyDescent="0.25">
      <c r="A43" s="16" t="s">
        <v>818</v>
      </c>
      <c r="B43" s="165" t="s">
        <v>669</v>
      </c>
      <c r="C43" s="16" t="s">
        <v>670</v>
      </c>
      <c r="D43" s="16">
        <v>0.53</v>
      </c>
      <c r="E43" s="149">
        <f>D43*E42</f>
        <v>17.982900000000001</v>
      </c>
      <c r="F43" s="166"/>
      <c r="G43" s="166"/>
      <c r="H43" s="167"/>
      <c r="I43" s="149"/>
      <c r="J43" s="166"/>
      <c r="K43" s="166"/>
      <c r="L43" s="149"/>
      <c r="M43" s="171"/>
    </row>
    <row r="44" spans="1:13" s="160" customFormat="1" ht="39.950000000000003" customHeight="1" x14ac:dyDescent="0.25">
      <c r="A44" s="39">
        <v>1.1200000000000001</v>
      </c>
      <c r="B44" s="83" t="s">
        <v>1331</v>
      </c>
      <c r="C44" s="178" t="s">
        <v>712</v>
      </c>
      <c r="D44" s="178"/>
      <c r="E44" s="168">
        <v>530</v>
      </c>
      <c r="F44" s="163"/>
      <c r="G44" s="163"/>
      <c r="H44" s="163"/>
      <c r="I44" s="163"/>
      <c r="J44" s="164"/>
      <c r="K44" s="164"/>
      <c r="L44" s="152"/>
    </row>
    <row r="45" spans="1:13" ht="39.950000000000003" customHeight="1" x14ac:dyDescent="0.25">
      <c r="A45" s="16" t="s">
        <v>1332</v>
      </c>
      <c r="B45" s="165" t="s">
        <v>669</v>
      </c>
      <c r="C45" s="16" t="s">
        <v>670</v>
      </c>
      <c r="D45" s="16">
        <v>206</v>
      </c>
      <c r="E45" s="149">
        <f>D45*E44/100</f>
        <v>1091.8</v>
      </c>
      <c r="F45" s="166"/>
      <c r="G45" s="166"/>
      <c r="H45" s="167"/>
      <c r="I45" s="149"/>
      <c r="J45" s="162"/>
      <c r="K45" s="162"/>
      <c r="L45" s="149"/>
    </row>
    <row r="46" spans="1:13" ht="39.950000000000003" customHeight="1" x14ac:dyDescent="0.25">
      <c r="A46" s="16"/>
      <c r="B46" s="83" t="s">
        <v>688</v>
      </c>
      <c r="C46" s="178" t="s">
        <v>713</v>
      </c>
      <c r="D46" s="178"/>
      <c r="E46" s="159">
        <f>960.69/1.95</f>
        <v>492.6615384615385</v>
      </c>
      <c r="F46" s="163"/>
      <c r="G46" s="163"/>
      <c r="H46" s="163"/>
      <c r="I46" s="163"/>
      <c r="J46" s="161"/>
      <c r="K46" s="164"/>
      <c r="L46" s="152"/>
    </row>
    <row r="47" spans="1:13" ht="39.950000000000003" customHeight="1" x14ac:dyDescent="0.25">
      <c r="A47" s="16"/>
      <c r="B47" s="165" t="s">
        <v>669</v>
      </c>
      <c r="C47" s="16" t="s">
        <v>670</v>
      </c>
      <c r="D47" s="16">
        <f>IF(AND((ISNUMBER(--MID(B46,4,1))),(MID(B48,13,4)="1,0 ")),HLOOKUP(--MID(B46,4,1),SN!$D$4:$I$10,3,FALSE),IF(AND(MID(B48,13,4)="1,0 ",ISNUMBER(--LEFT(B46,1))),HLOOKUP(--LEFT(B46,1),SN!$D$4:$I$10,3,FALSE),IF(AND((ISNUMBER(--MID(B46,4,1))),(MID(B48,13,4)="0,5 ")),HLOOKUP(--MID(B46,4,1),SN!$P$4:$U$10,3,FALSE),IF(AND(MID(B48,13,4)="0,5 ",ISNUMBER(--LEFT(B46,1))),HLOOKUP(--LEFT(B46,1),SN!$P$4:$U$10,3,FALSE),IF(AND((ISNUMBER(--MID(B46,4,1))),(MID(B48,13,4)="0,65")),HLOOKUP(--MID(B46,4,1),SN!$J$4:$O$10,3,FALSE),IF(AND(MID(B48,13,4)="0,65",ISNUMBER(--LEFT(B46,1))),HLOOKUP(--LEFT(B46,1),SN!$J$4:$O$10,3,FALSE),IF(AND((ISNUMBER(--MID(B46,4,1))),ISTEXT(B48)),HLOOKUP(--MID(B46,4,1),SN!$P$4:$U$10,3,FALSE),IF(AND(ISTEXT(B46),ISNUMBER(--LEFT(B46,1))),HLOOKUP(--LEFT(B46,1),SN!$P$4:$U$10,3,FALSE)))))))))</f>
        <v>20</v>
      </c>
      <c r="E47" s="149">
        <f>D47*E46/1000</f>
        <v>9.8532307692307697</v>
      </c>
      <c r="F47" s="149"/>
      <c r="G47" s="166"/>
      <c r="H47" s="167"/>
      <c r="I47" s="149"/>
      <c r="J47" s="161"/>
      <c r="K47" s="162"/>
      <c r="L47" s="149"/>
    </row>
    <row r="48" spans="1:13" ht="39.950000000000003" customHeight="1" x14ac:dyDescent="0.25">
      <c r="A48" s="16"/>
      <c r="B48" s="16" t="s">
        <v>678</v>
      </c>
      <c r="C48" s="16" t="s">
        <v>672</v>
      </c>
      <c r="D48" s="16">
        <f>IF(AND((ISNUMBER(--MID(B46,4,1))),(MID(B48,13,4)="1,0 ")),HLOOKUP(--MID(B46,4,1),SN!$D$4:$I$10,5,FALSE),IF(AND(MID(B48,13,4)="1,0 ",ISNUMBER(--LEFT(B46,1))),HLOOKUP(--LEFT(B46,1),SN!$D$4:$I$10,5,FALSE),IF(AND((ISNUMBER(--MID(B46,4,1))),(MID(B48,13,4)="0,5 ")),HLOOKUP(--MID(B46,4,1),SN!$P$4:$U$10,5,FALSE),IF(AND(MID(B48,13,4)="0,5 ",ISNUMBER(--LEFT(B46,1))),HLOOKUP(--LEFT(B46,1),SN!$P$4:$U$10,5,FALSE),IF(AND((ISNUMBER(--MID(B46,4,1))),(MID(B48,13,4)="0,65")),HLOOKUP(--MID(B46,4,1),SN!$J$4:$O$10,5,FALSE),IF(AND(MID(B48,13,4)="0,65",ISNUMBER(--LEFT(B46,1))),HLOOKUP(--LEFT(B46,1),SN!$J$4:$O$10,5,FALSE),IF(AND((ISNUMBER(--MID(B46,4,1))),ISTEXT(B48)),HLOOKUP(--MID(B46,4,1),SN!$P$4:$U$10,5,FALSE),IF(AND(ISTEXT(B46),ISNUMBER(--LEFT(B46,1))),HLOOKUP(--LEFT(B46,1),SN!$P$4:$U$10,5,FALSE)))))))))</f>
        <v>44.8</v>
      </c>
      <c r="E48" s="149">
        <f>D48*E46/1000</f>
        <v>22.071236923076921</v>
      </c>
      <c r="F48" s="166"/>
      <c r="G48" s="166"/>
      <c r="H48" s="166"/>
      <c r="I48" s="166"/>
      <c r="J48" s="161"/>
      <c r="K48" s="162"/>
      <c r="L48" s="149"/>
    </row>
    <row r="49" spans="1:13" ht="39.950000000000003" customHeight="1" x14ac:dyDescent="0.25">
      <c r="A49" s="16"/>
      <c r="B49" s="165" t="s">
        <v>654</v>
      </c>
      <c r="C49" s="16" t="s">
        <v>393</v>
      </c>
      <c r="D49" s="16">
        <f>IF(AND((ISNUMBER(--MID(B46,4,1))),(MID(B48,13,4)="1,0 ")),HLOOKUP(--MID(B46,4,1),SN!$D$4:$I$10,6,FALSE),IF(AND(MID(B48,13,4)="1,0 ",ISNUMBER(--LEFT(B46,1))),HLOOKUP(--LEFT(B46,1),SN!$D$4:$I$10,6,FALSE),IF(AND((ISNUMBER(--MID(B46,4,1))),(MID(B48,13,4)="0,5 ")),HLOOKUP(--MID(B46,4,1),SN!$P$4:$U$10,6,FALSE),IF(AND(MID(B48,13,4)="0,5 ",ISNUMBER(--LEFT(B46,1))),HLOOKUP(--LEFT(B46,1),SN!$P$4:$U$10,6,FALSE),IF(AND((ISNUMBER(--MID(B46,4,1))),(MID(B48,13,4)="0,65")),HLOOKUP(--MID(B46,4,1),SN!$J$4:$O$10,6,FALSE),IF(AND(MID(B48,13,4)="0,65",ISNUMBER(--LEFT(B46,1))),HLOOKUP(--LEFT(B46,1),SN!$J$4:$O$10,6,FALSE),IF(AND((ISNUMBER(--MID(B46,4,1))),ISTEXT(B48)),HLOOKUP(--MID(B46,4,1),SN!$P$4:$U$10,6,FALSE),IF(AND(ISTEXT(B46),ISNUMBER(--LEFT(B46,1))),HLOOKUP(--LEFT(B46,1),SN!$P$4:$U$10,6,FALSE)))))))))</f>
        <v>2.1</v>
      </c>
      <c r="E49" s="149">
        <f>D49*E46/1000</f>
        <v>1.0345892307692308</v>
      </c>
      <c r="F49" s="166"/>
      <c r="G49" s="166"/>
      <c r="H49" s="166"/>
      <c r="I49" s="166"/>
      <c r="J49" s="161"/>
      <c r="K49" s="162"/>
      <c r="L49" s="149"/>
    </row>
    <row r="50" spans="1:13" s="160" customFormat="1" ht="39.950000000000003" customHeight="1" x14ac:dyDescent="0.25">
      <c r="A50" s="67">
        <v>1.1299999999999999</v>
      </c>
      <c r="B50" s="83" t="s">
        <v>824</v>
      </c>
      <c r="C50" s="178" t="s">
        <v>9</v>
      </c>
      <c r="D50" s="178"/>
      <c r="E50" s="178">
        <v>106.74</v>
      </c>
      <c r="F50" s="163"/>
      <c r="G50" s="163"/>
      <c r="H50" s="163"/>
      <c r="I50" s="163"/>
      <c r="J50" s="163"/>
      <c r="K50" s="163"/>
      <c r="L50" s="152"/>
      <c r="M50" s="169"/>
    </row>
    <row r="51" spans="1:13" ht="39.950000000000003" customHeight="1" x14ac:dyDescent="0.25">
      <c r="A51" s="16" t="s">
        <v>1021</v>
      </c>
      <c r="B51" s="165" t="s">
        <v>669</v>
      </c>
      <c r="C51" s="16" t="s">
        <v>670</v>
      </c>
      <c r="D51" s="16">
        <v>0.53</v>
      </c>
      <c r="E51" s="149">
        <f>D51*E50</f>
        <v>56.572200000000002</v>
      </c>
      <c r="F51" s="166"/>
      <c r="G51" s="166"/>
      <c r="H51" s="167"/>
      <c r="I51" s="149"/>
      <c r="J51" s="166"/>
      <c r="K51" s="166"/>
      <c r="L51" s="149"/>
      <c r="M51" s="171"/>
    </row>
    <row r="52" spans="1:13" s="160" customFormat="1" ht="39.950000000000003" customHeight="1" x14ac:dyDescent="0.25">
      <c r="A52" s="39">
        <v>1.1399999999999999</v>
      </c>
      <c r="B52" s="83" t="s">
        <v>1008</v>
      </c>
      <c r="C52" s="178" t="s">
        <v>9</v>
      </c>
      <c r="D52" s="178"/>
      <c r="E52" s="163">
        <f>(E35+E40+E44)*1.95</f>
        <v>1372.8</v>
      </c>
      <c r="F52" s="163"/>
      <c r="G52" s="163"/>
      <c r="H52" s="163"/>
      <c r="I52" s="163"/>
      <c r="J52" s="164"/>
      <c r="K52" s="164"/>
      <c r="L52" s="152"/>
    </row>
    <row r="53" spans="1:13" s="160" customFormat="1" ht="39.950000000000003" customHeight="1" x14ac:dyDescent="0.25">
      <c r="A53" s="39">
        <v>1.1499999999999999</v>
      </c>
      <c r="B53" s="83" t="s">
        <v>690</v>
      </c>
      <c r="C53" s="178" t="s">
        <v>713</v>
      </c>
      <c r="D53" s="178"/>
      <c r="E53" s="159">
        <f>E35+E40+E44</f>
        <v>704</v>
      </c>
      <c r="F53" s="163"/>
      <c r="G53" s="163"/>
      <c r="H53" s="163"/>
      <c r="I53" s="163"/>
      <c r="J53" s="161"/>
      <c r="K53" s="164"/>
      <c r="L53" s="152"/>
    </row>
    <row r="54" spans="1:13" ht="39.950000000000003" customHeight="1" x14ac:dyDescent="0.25">
      <c r="A54" s="16" t="s">
        <v>1011</v>
      </c>
      <c r="B54" s="165" t="s">
        <v>669</v>
      </c>
      <c r="C54" s="16" t="s">
        <v>670</v>
      </c>
      <c r="D54" s="16">
        <f>IF(ISNUMBER(--MID(B53,4,1)),HLOOKUP(--MID(B53,4,1),SN!$D$14:$I$20,3,FALSE),IF(ISNUMBER(--LEFT(B53,1)),HLOOKUP(--LEFT(B53,1),SN!$D$14:$I$20,3,FALSE)))</f>
        <v>3.23</v>
      </c>
      <c r="E54" s="149">
        <f>D54*E53/1000</f>
        <v>2.2739199999999999</v>
      </c>
      <c r="F54" s="166"/>
      <c r="G54" s="166"/>
      <c r="H54" s="167"/>
      <c r="I54" s="149"/>
      <c r="J54" s="161"/>
      <c r="K54" s="162"/>
      <c r="L54" s="149"/>
    </row>
    <row r="55" spans="1:13" ht="39.950000000000003" customHeight="1" x14ac:dyDescent="0.25">
      <c r="A55" s="16" t="s">
        <v>1012</v>
      </c>
      <c r="B55" s="16" t="s">
        <v>230</v>
      </c>
      <c r="C55" s="16" t="s">
        <v>672</v>
      </c>
      <c r="D55" s="16">
        <f>IF(ISNUMBER(--MID(B53,4,1)),HLOOKUP(--MID(B53,4,1),SN!$D$14:$I$20,5,FALSE),IF(ISNUMBER(--LEFT(B53,1)),HLOOKUP(--LEFT(B53,1),SN!$D$14:$I$20,5,FALSE)))</f>
        <v>3.62</v>
      </c>
      <c r="E55" s="149">
        <f>D55*E53/1000</f>
        <v>2.5484800000000001</v>
      </c>
      <c r="F55" s="166"/>
      <c r="G55" s="166"/>
      <c r="H55" s="166"/>
      <c r="I55" s="166"/>
      <c r="J55" s="161"/>
      <c r="K55" s="162"/>
      <c r="L55" s="149"/>
    </row>
    <row r="56" spans="1:13" ht="39.950000000000003" customHeight="1" x14ac:dyDescent="0.25">
      <c r="A56" s="16" t="s">
        <v>1333</v>
      </c>
      <c r="B56" s="165" t="s">
        <v>654</v>
      </c>
      <c r="C56" s="16" t="s">
        <v>393</v>
      </c>
      <c r="D56" s="16">
        <f>IF(ISNUMBER(--MID(B53,4,1)),HLOOKUP(--MID(B53,4,1),SN!$D$14:$I$20,6,FALSE),IF(ISNUMBER(--LEFT(B53,1)),HLOOKUP(--LEFT(B53,1),SN!$D$14:$I$20,6,FALSE)))</f>
        <v>0.18</v>
      </c>
      <c r="E56" s="149">
        <f>D56*E53/1000</f>
        <v>0.12672</v>
      </c>
      <c r="F56" s="166"/>
      <c r="G56" s="166"/>
      <c r="H56" s="166"/>
      <c r="I56" s="166"/>
      <c r="J56" s="161"/>
      <c r="K56" s="162"/>
      <c r="L56" s="149"/>
    </row>
    <row r="57" spans="1:13" ht="39.950000000000003" customHeight="1" x14ac:dyDescent="0.25">
      <c r="A57" s="16" t="s">
        <v>1334</v>
      </c>
      <c r="B57" s="16" t="s">
        <v>337</v>
      </c>
      <c r="C57" s="16" t="s">
        <v>674</v>
      </c>
      <c r="D57" s="16">
        <f>IF(ISNUMBER(--MID(B53,4,1)),HLOOKUP(--MID(B53,4,1),SN!$D$14:$I$20,7,FALSE),IF(ISNUMBER(--LEFT(B53,1)),HLOOKUP(--LEFT(B53,1),SN!$D$14:$I$20,7,FALSE)))</f>
        <v>0.04</v>
      </c>
      <c r="E57" s="149">
        <f>D57*E53/1000</f>
        <v>2.8160000000000001E-2</v>
      </c>
      <c r="F57" s="162"/>
      <c r="G57" s="149"/>
      <c r="H57" s="166"/>
      <c r="I57" s="166"/>
      <c r="J57" s="161"/>
      <c r="K57" s="162"/>
      <c r="L57" s="149"/>
    </row>
    <row r="58" spans="1:13" s="160" customFormat="1" ht="39.950000000000003" customHeight="1" x14ac:dyDescent="0.25">
      <c r="A58" s="39">
        <v>1.1599999999999999</v>
      </c>
      <c r="B58" s="83" t="s">
        <v>995</v>
      </c>
      <c r="C58" s="178" t="s">
        <v>721</v>
      </c>
      <c r="D58" s="178"/>
      <c r="E58" s="159">
        <v>7919.44</v>
      </c>
      <c r="F58" s="163"/>
      <c r="G58" s="163"/>
      <c r="H58" s="163"/>
      <c r="I58" s="163"/>
      <c r="J58" s="164"/>
      <c r="K58" s="164"/>
      <c r="L58" s="152"/>
      <c r="M58" s="169"/>
    </row>
    <row r="59" spans="1:13" ht="39.950000000000003" customHeight="1" x14ac:dyDescent="0.25">
      <c r="A59" s="16" t="s">
        <v>1064</v>
      </c>
      <c r="B59" s="165" t="s">
        <v>669</v>
      </c>
      <c r="C59" s="16" t="s">
        <v>670</v>
      </c>
      <c r="D59" s="16">
        <v>3.1E-2</v>
      </c>
      <c r="E59" s="149">
        <f>D59*E58/1000</f>
        <v>0.24550263999999999</v>
      </c>
      <c r="F59" s="166"/>
      <c r="G59" s="166"/>
      <c r="H59" s="167"/>
      <c r="I59" s="149"/>
      <c r="J59" s="162"/>
      <c r="K59" s="162"/>
      <c r="L59" s="149"/>
    </row>
    <row r="60" spans="1:13" ht="39.950000000000003" customHeight="1" x14ac:dyDescent="0.25">
      <c r="A60" s="16" t="s">
        <v>1065</v>
      </c>
      <c r="B60" s="16" t="s">
        <v>241</v>
      </c>
      <c r="C60" s="16" t="s">
        <v>672</v>
      </c>
      <c r="D60" s="16">
        <v>0.112</v>
      </c>
      <c r="E60" s="149">
        <f>D60*E58/1000</f>
        <v>0.88697727999999998</v>
      </c>
      <c r="F60" s="166"/>
      <c r="G60" s="166"/>
      <c r="H60" s="166"/>
      <c r="I60" s="166"/>
      <c r="J60" s="161"/>
      <c r="K60" s="162"/>
      <c r="L60" s="149"/>
    </row>
    <row r="61" spans="1:13" s="160" customFormat="1" ht="39.950000000000003" customHeight="1" x14ac:dyDescent="0.25">
      <c r="A61" s="39">
        <v>1.17</v>
      </c>
      <c r="B61" s="83" t="s">
        <v>793</v>
      </c>
      <c r="C61" s="178" t="s">
        <v>792</v>
      </c>
      <c r="D61" s="178"/>
      <c r="E61" s="152">
        <v>23.2</v>
      </c>
      <c r="F61" s="163"/>
      <c r="G61" s="163"/>
      <c r="H61" s="163"/>
      <c r="I61" s="163"/>
      <c r="J61" s="161"/>
      <c r="K61" s="164"/>
      <c r="L61" s="152"/>
    </row>
    <row r="62" spans="1:13" ht="39.950000000000003" customHeight="1" x14ac:dyDescent="0.25">
      <c r="A62" s="16" t="s">
        <v>1043</v>
      </c>
      <c r="B62" s="165" t="s">
        <v>669</v>
      </c>
      <c r="C62" s="16" t="s">
        <v>670</v>
      </c>
      <c r="D62" s="16">
        <v>0.89</v>
      </c>
      <c r="E62" s="149">
        <f>D62*E61</f>
        <v>20.648</v>
      </c>
      <c r="F62" s="166"/>
      <c r="G62" s="166"/>
      <c r="H62" s="167"/>
      <c r="I62" s="149"/>
      <c r="J62" s="161"/>
      <c r="K62" s="162"/>
      <c r="L62" s="149"/>
    </row>
    <row r="63" spans="1:13" ht="39.950000000000003" customHeight="1" x14ac:dyDescent="0.25">
      <c r="A63" s="16" t="s">
        <v>1044</v>
      </c>
      <c r="B63" s="165" t="s">
        <v>654</v>
      </c>
      <c r="C63" s="16" t="s">
        <v>393</v>
      </c>
      <c r="D63" s="149">
        <v>0.37</v>
      </c>
      <c r="E63" s="149">
        <f>D63*E61</f>
        <v>8.5839999999999996</v>
      </c>
      <c r="F63" s="166"/>
      <c r="G63" s="149"/>
      <c r="H63" s="16"/>
      <c r="I63" s="16"/>
      <c r="J63" s="161"/>
      <c r="K63" s="162"/>
      <c r="L63" s="149"/>
    </row>
    <row r="64" spans="1:13" ht="39.950000000000003" customHeight="1" x14ac:dyDescent="0.25">
      <c r="A64" s="16" t="s">
        <v>1045</v>
      </c>
      <c r="B64" s="16" t="s">
        <v>331</v>
      </c>
      <c r="C64" s="16" t="s">
        <v>674</v>
      </c>
      <c r="D64" s="16">
        <v>1.1499999999999999</v>
      </c>
      <c r="E64" s="149">
        <f>D64*E61</f>
        <v>26.679999999999996</v>
      </c>
      <c r="F64" s="162"/>
      <c r="G64" s="149"/>
      <c r="H64" s="166"/>
      <c r="I64" s="166"/>
      <c r="J64" s="161"/>
      <c r="K64" s="162"/>
      <c r="L64" s="149"/>
    </row>
    <row r="65" spans="1:13" ht="39.950000000000003" customHeight="1" x14ac:dyDescent="0.25">
      <c r="A65" s="16" t="s">
        <v>1046</v>
      </c>
      <c r="B65" s="165" t="s">
        <v>677</v>
      </c>
      <c r="C65" s="16" t="s">
        <v>393</v>
      </c>
      <c r="D65" s="16">
        <v>0.02</v>
      </c>
      <c r="E65" s="149">
        <f>D65*E61</f>
        <v>0.46399999999999997</v>
      </c>
      <c r="F65" s="162"/>
      <c r="G65" s="149"/>
      <c r="H65" s="16"/>
      <c r="I65" s="16"/>
      <c r="J65" s="161"/>
      <c r="K65" s="162"/>
      <c r="L65" s="149"/>
    </row>
    <row r="66" spans="1:13" s="160" customFormat="1" ht="39.950000000000003" customHeight="1" x14ac:dyDescent="0.25">
      <c r="A66" s="39">
        <v>1.18</v>
      </c>
      <c r="B66" s="83" t="s">
        <v>1315</v>
      </c>
      <c r="C66" s="178" t="s">
        <v>847</v>
      </c>
      <c r="D66" s="178"/>
      <c r="E66" s="159">
        <v>290</v>
      </c>
      <c r="F66" s="163"/>
      <c r="G66" s="163"/>
      <c r="H66" s="163"/>
      <c r="I66" s="163"/>
      <c r="J66" s="163"/>
      <c r="K66" s="163"/>
      <c r="L66" s="152"/>
      <c r="M66" s="169"/>
    </row>
    <row r="67" spans="1:13" ht="39.950000000000003" customHeight="1" x14ac:dyDescent="0.25">
      <c r="A67" s="16" t="s">
        <v>1335</v>
      </c>
      <c r="B67" s="165" t="s">
        <v>669</v>
      </c>
      <c r="C67" s="16" t="s">
        <v>670</v>
      </c>
      <c r="D67" s="16">
        <f>IF(ISNUMBER(--MID(B66,25,4)),HLOOKUP(--MID(B66,25,4),SN!$D$24:$Y$30,3,FALSE),IF(ISNUMBER(--LEFT(B66,1)),HLOOKUP(--LEFT(B66,1),SN!$D$24:$Y$30,3,FALSE)))</f>
        <v>745</v>
      </c>
      <c r="E67" s="149">
        <f>D67*E66/1000</f>
        <v>216.05</v>
      </c>
      <c r="F67" s="166"/>
      <c r="G67" s="166"/>
      <c r="H67" s="167"/>
      <c r="I67" s="149"/>
      <c r="J67" s="166"/>
      <c r="K67" s="166"/>
      <c r="L67" s="149"/>
    </row>
    <row r="68" spans="1:13" ht="39.950000000000003" customHeight="1" x14ac:dyDescent="0.25">
      <c r="A68" s="16" t="s">
        <v>1336</v>
      </c>
      <c r="B68" s="165" t="s">
        <v>654</v>
      </c>
      <c r="C68" s="16" t="s">
        <v>393</v>
      </c>
      <c r="D68" s="16">
        <f>IF(ISNUMBER(--MID(B66,25,4)),HLOOKUP(--MID(B66,25,4),SN!$D$24:$Y$30,5,FALSE),IF(ISNUMBER(--LEFT(B66,1)),HLOOKUP(--LEFT(B66,1),SN!$D$24:$Y$30,5,FALSE)))</f>
        <v>380</v>
      </c>
      <c r="E68" s="149">
        <f>D68*E66/1000</f>
        <v>110.2</v>
      </c>
      <c r="F68" s="170"/>
      <c r="G68" s="149"/>
      <c r="H68" s="166"/>
      <c r="I68" s="166"/>
      <c r="J68" s="161"/>
      <c r="K68" s="149"/>
      <c r="L68" s="149"/>
    </row>
    <row r="69" spans="1:13" ht="39.950000000000003" customHeight="1" x14ac:dyDescent="0.25">
      <c r="A69" s="16" t="s">
        <v>1337</v>
      </c>
      <c r="B69" s="16" t="s">
        <v>1283</v>
      </c>
      <c r="C69" s="16" t="s">
        <v>595</v>
      </c>
      <c r="D69" s="16">
        <f>IF(ISNUMBER(--MID(B66,25,4)),HLOOKUP(--MID(B66,25,4),SN!$D$24:$Y$30,6,FALSE),IF(ISNUMBER(--LEFT(B66,1)),HLOOKUP(--LEFT(B66,1),SN!$D$24:$Y$30,6,FALSE)))</f>
        <v>995</v>
      </c>
      <c r="E69" s="149">
        <f>D69*E66/1000</f>
        <v>288.55</v>
      </c>
      <c r="F69" s="162"/>
      <c r="G69" s="149"/>
      <c r="H69" s="166"/>
      <c r="I69" s="166"/>
      <c r="J69" s="161"/>
      <c r="K69" s="149"/>
      <c r="L69" s="149"/>
    </row>
    <row r="70" spans="1:13" ht="39.950000000000003" customHeight="1" x14ac:dyDescent="0.25">
      <c r="A70" s="16" t="s">
        <v>1338</v>
      </c>
      <c r="B70" s="165" t="s">
        <v>677</v>
      </c>
      <c r="C70" s="16" t="s">
        <v>393</v>
      </c>
      <c r="D70" s="16">
        <f>IF(ISNUMBER(--MID(B66,25,4)),HLOOKUP(--MID(B66,25,4),SN!$D$24:$Y$30,7,FALSE),IF(ISNUMBER(--LEFT(B66,1)),HLOOKUP(--LEFT(B66,1),SN!$D$24:$Y$30,7,FALSE)))</f>
        <v>184</v>
      </c>
      <c r="E70" s="149">
        <f>D70*E66/1000</f>
        <v>53.36</v>
      </c>
      <c r="F70" s="162"/>
      <c r="G70" s="149"/>
      <c r="H70" s="166"/>
      <c r="I70" s="166"/>
      <c r="J70" s="166"/>
      <c r="K70" s="166"/>
      <c r="L70" s="149"/>
    </row>
    <row r="71" spans="1:13" ht="39.950000000000003" customHeight="1" x14ac:dyDescent="0.25">
      <c r="A71" s="67">
        <v>1.19</v>
      </c>
      <c r="B71" s="83" t="s">
        <v>848</v>
      </c>
      <c r="C71" s="178" t="s">
        <v>842</v>
      </c>
      <c r="D71" s="178"/>
      <c r="E71" s="168">
        <f>(E66*2*3.14*0.2)</f>
        <v>364.24</v>
      </c>
      <c r="F71" s="178"/>
      <c r="G71" s="178"/>
      <c r="H71" s="163"/>
      <c r="I71" s="163"/>
      <c r="J71" s="164"/>
      <c r="K71" s="164"/>
      <c r="L71" s="152"/>
    </row>
    <row r="72" spans="1:13" ht="39.950000000000003" customHeight="1" x14ac:dyDescent="0.25">
      <c r="A72" s="16" t="s">
        <v>1339</v>
      </c>
      <c r="B72" s="165" t="s">
        <v>669</v>
      </c>
      <c r="C72" s="16" t="s">
        <v>670</v>
      </c>
      <c r="D72" s="16">
        <v>56.4</v>
      </c>
      <c r="E72" s="149">
        <f>D72*E71/100</f>
        <v>205.43135999999998</v>
      </c>
      <c r="F72" s="166"/>
      <c r="G72" s="166"/>
      <c r="H72" s="167"/>
      <c r="I72" s="149"/>
      <c r="J72" s="162"/>
      <c r="K72" s="162"/>
      <c r="L72" s="149"/>
    </row>
    <row r="73" spans="1:13" ht="39.950000000000003" customHeight="1" x14ac:dyDescent="0.25">
      <c r="A73" s="16" t="s">
        <v>1340</v>
      </c>
      <c r="B73" s="165" t="s">
        <v>654</v>
      </c>
      <c r="C73" s="16" t="s">
        <v>393</v>
      </c>
      <c r="D73" s="16">
        <v>4.09</v>
      </c>
      <c r="E73" s="149">
        <f>D73*E71/100</f>
        <v>14.897416</v>
      </c>
      <c r="F73" s="166"/>
      <c r="G73" s="166"/>
      <c r="H73" s="16"/>
      <c r="I73" s="16"/>
      <c r="J73" s="161"/>
      <c r="K73" s="162"/>
      <c r="L73" s="149"/>
    </row>
    <row r="74" spans="1:13" ht="39.950000000000003" customHeight="1" x14ac:dyDescent="0.25">
      <c r="A74" s="16" t="s">
        <v>1341</v>
      </c>
      <c r="B74" s="165" t="s">
        <v>452</v>
      </c>
      <c r="C74" s="16" t="s">
        <v>9</v>
      </c>
      <c r="D74" s="16">
        <v>0.45</v>
      </c>
      <c r="E74" s="149">
        <f>D74*E71/100</f>
        <v>1.6390800000000001</v>
      </c>
      <c r="F74" s="162"/>
      <c r="G74" s="149"/>
      <c r="H74" s="16"/>
      <c r="I74" s="16"/>
      <c r="J74" s="161"/>
      <c r="K74" s="162"/>
      <c r="L74" s="149"/>
    </row>
    <row r="75" spans="1:13" ht="39.950000000000003" customHeight="1" x14ac:dyDescent="0.25">
      <c r="A75" s="16" t="s">
        <v>1342</v>
      </c>
      <c r="B75" s="165" t="s">
        <v>400</v>
      </c>
      <c r="C75" s="16" t="s">
        <v>674</v>
      </c>
      <c r="D75" s="16">
        <v>0.75</v>
      </c>
      <c r="E75" s="149">
        <f>D75*E71/100</f>
        <v>2.7318000000000002</v>
      </c>
      <c r="F75" s="162"/>
      <c r="G75" s="149"/>
      <c r="H75" s="16"/>
      <c r="I75" s="16"/>
      <c r="J75" s="161"/>
      <c r="K75" s="162"/>
      <c r="L75" s="149"/>
    </row>
    <row r="76" spans="1:13" ht="39.950000000000003" customHeight="1" x14ac:dyDescent="0.25">
      <c r="A76" s="16" t="s">
        <v>1343</v>
      </c>
      <c r="B76" s="165" t="s">
        <v>677</v>
      </c>
      <c r="C76" s="16" t="s">
        <v>393</v>
      </c>
      <c r="D76" s="16">
        <v>26.5</v>
      </c>
      <c r="E76" s="149">
        <f>D76*E71/100</f>
        <v>96.523600000000002</v>
      </c>
      <c r="F76" s="162"/>
      <c r="G76" s="149"/>
      <c r="H76" s="16"/>
      <c r="I76" s="16"/>
      <c r="J76" s="162"/>
      <c r="K76" s="162"/>
      <c r="L76" s="149"/>
    </row>
    <row r="77" spans="1:13" s="160" customFormat="1" ht="39.950000000000003" customHeight="1" x14ac:dyDescent="0.25">
      <c r="A77" s="67">
        <v>1.2</v>
      </c>
      <c r="B77" s="83" t="s">
        <v>850</v>
      </c>
      <c r="C77" s="178" t="s">
        <v>712</v>
      </c>
      <c r="D77" s="178"/>
      <c r="E77" s="168">
        <v>10.44</v>
      </c>
      <c r="F77" s="178"/>
      <c r="G77" s="178"/>
      <c r="H77" s="163"/>
      <c r="I77" s="163"/>
      <c r="J77" s="164"/>
      <c r="K77" s="164"/>
      <c r="L77" s="152"/>
    </row>
    <row r="78" spans="1:13" ht="39.950000000000003" customHeight="1" x14ac:dyDescent="0.25">
      <c r="A78" s="16" t="s">
        <v>1344</v>
      </c>
      <c r="B78" s="165" t="s">
        <v>669</v>
      </c>
      <c r="C78" s="16" t="s">
        <v>670</v>
      </c>
      <c r="D78" s="170">
        <v>660</v>
      </c>
      <c r="E78" s="149">
        <f>D78*E77/100</f>
        <v>68.903999999999996</v>
      </c>
      <c r="F78" s="166"/>
      <c r="G78" s="166"/>
      <c r="H78" s="167"/>
      <c r="I78" s="149"/>
      <c r="J78" s="162"/>
      <c r="K78" s="162"/>
      <c r="L78" s="149"/>
    </row>
    <row r="79" spans="1:13" ht="39.950000000000003" customHeight="1" x14ac:dyDescent="0.25">
      <c r="A79" s="16" t="s">
        <v>1345</v>
      </c>
      <c r="B79" s="16" t="s">
        <v>183</v>
      </c>
      <c r="C79" s="16" t="s">
        <v>672</v>
      </c>
      <c r="D79" s="16">
        <v>9.6</v>
      </c>
      <c r="E79" s="149">
        <f>D79*E77/100</f>
        <v>1.0022399999999998</v>
      </c>
      <c r="F79" s="166"/>
      <c r="G79" s="166"/>
      <c r="H79" s="16"/>
      <c r="I79" s="16"/>
      <c r="J79" s="161"/>
      <c r="K79" s="162"/>
      <c r="L79" s="149"/>
    </row>
    <row r="80" spans="1:13" ht="39.950000000000003" customHeight="1" x14ac:dyDescent="0.25">
      <c r="A80" s="16" t="s">
        <v>1346</v>
      </c>
      <c r="B80" s="165" t="s">
        <v>654</v>
      </c>
      <c r="C80" s="16" t="s">
        <v>393</v>
      </c>
      <c r="D80" s="149">
        <v>39.9</v>
      </c>
      <c r="E80" s="149">
        <f>D80*E77/100</f>
        <v>4.1655600000000002</v>
      </c>
      <c r="F80" s="166"/>
      <c r="G80" s="149"/>
      <c r="H80" s="16"/>
      <c r="I80" s="16"/>
      <c r="J80" s="161"/>
      <c r="K80" s="162"/>
      <c r="L80" s="149"/>
    </row>
    <row r="81" spans="1:14" ht="39.950000000000003" customHeight="1" x14ac:dyDescent="0.25">
      <c r="A81" s="16" t="s">
        <v>1347</v>
      </c>
      <c r="B81" s="16" t="s">
        <v>799</v>
      </c>
      <c r="C81" s="16" t="s">
        <v>674</v>
      </c>
      <c r="D81" s="16">
        <v>101.5</v>
      </c>
      <c r="E81" s="149">
        <f>D81*E77/100</f>
        <v>10.596599999999999</v>
      </c>
      <c r="F81" s="162"/>
      <c r="G81" s="149"/>
      <c r="H81" s="16"/>
      <c r="I81" s="16"/>
      <c r="J81" s="161"/>
      <c r="K81" s="162"/>
      <c r="L81" s="149"/>
    </row>
    <row r="82" spans="1:14" ht="39.950000000000003" customHeight="1" x14ac:dyDescent="0.25">
      <c r="A82" s="16" t="s">
        <v>1348</v>
      </c>
      <c r="B82" s="165" t="s">
        <v>400</v>
      </c>
      <c r="C82" s="16" t="s">
        <v>674</v>
      </c>
      <c r="D82" s="16">
        <v>2.4700000000000002</v>
      </c>
      <c r="E82" s="149">
        <f>D82*E77/100</f>
        <v>0.25786799999999999</v>
      </c>
      <c r="F82" s="162"/>
      <c r="G82" s="149"/>
      <c r="H82" s="166"/>
      <c r="I82" s="166"/>
      <c r="J82" s="161"/>
      <c r="K82" s="162"/>
      <c r="L82" s="149"/>
    </row>
    <row r="83" spans="1:14" ht="39.950000000000003" customHeight="1" x14ac:dyDescent="0.25">
      <c r="A83" s="16" t="s">
        <v>1349</v>
      </c>
      <c r="B83" s="16" t="s">
        <v>582</v>
      </c>
      <c r="C83" s="16" t="s">
        <v>814</v>
      </c>
      <c r="D83" s="16">
        <v>39</v>
      </c>
      <c r="E83" s="149">
        <f>D83*E77/100</f>
        <v>4.0716000000000001</v>
      </c>
      <c r="F83" s="162"/>
      <c r="G83" s="149"/>
      <c r="H83" s="166"/>
      <c r="I83" s="166"/>
      <c r="J83" s="161"/>
      <c r="K83" s="162"/>
      <c r="L83" s="149"/>
    </row>
    <row r="84" spans="1:14" ht="39.950000000000003" customHeight="1" x14ac:dyDescent="0.25">
      <c r="A84" s="16" t="s">
        <v>1350</v>
      </c>
      <c r="B84" s="16" t="s">
        <v>551</v>
      </c>
      <c r="C84" s="16" t="s">
        <v>674</v>
      </c>
      <c r="D84" s="16">
        <f>7.4+0.53</f>
        <v>7.9300000000000006</v>
      </c>
      <c r="E84" s="149">
        <f>D84*E77/100</f>
        <v>0.82789200000000007</v>
      </c>
      <c r="F84" s="162"/>
      <c r="G84" s="149"/>
      <c r="H84" s="16"/>
      <c r="I84" s="16"/>
      <c r="J84" s="161"/>
      <c r="K84" s="162"/>
      <c r="L84" s="149"/>
    </row>
    <row r="85" spans="1:14" ht="39.950000000000003" customHeight="1" x14ac:dyDescent="0.25">
      <c r="A85" s="16" t="s">
        <v>1351</v>
      </c>
      <c r="B85" s="16" t="s">
        <v>566</v>
      </c>
      <c r="C85" s="16" t="s">
        <v>852</v>
      </c>
      <c r="D85" s="16">
        <v>0.23</v>
      </c>
      <c r="E85" s="149">
        <f>D85*E77/100</f>
        <v>2.4011999999999999E-2</v>
      </c>
      <c r="F85" s="162"/>
      <c r="G85" s="149"/>
      <c r="H85" s="166"/>
      <c r="I85" s="166"/>
      <c r="J85" s="161"/>
      <c r="K85" s="162"/>
      <c r="L85" s="149"/>
    </row>
    <row r="86" spans="1:14" ht="38.25" customHeight="1" x14ac:dyDescent="0.25">
      <c r="A86" s="16" t="s">
        <v>1352</v>
      </c>
      <c r="B86" s="165" t="s">
        <v>140</v>
      </c>
      <c r="C86" s="16" t="s">
        <v>28</v>
      </c>
      <c r="D86" s="16">
        <v>193</v>
      </c>
      <c r="E86" s="149">
        <f>D86*E77/100</f>
        <v>20.149199999999997</v>
      </c>
      <c r="F86" s="162"/>
      <c r="G86" s="149"/>
      <c r="H86" s="16"/>
      <c r="I86" s="16"/>
      <c r="J86" s="161"/>
      <c r="K86" s="162"/>
      <c r="L86" s="149"/>
    </row>
    <row r="87" spans="1:14" ht="38.25" customHeight="1" x14ac:dyDescent="0.25">
      <c r="A87" s="16" t="s">
        <v>1353</v>
      </c>
      <c r="B87" s="165" t="s">
        <v>853</v>
      </c>
      <c r="C87" s="16" t="s">
        <v>28</v>
      </c>
      <c r="D87" s="16">
        <v>1160</v>
      </c>
      <c r="E87" s="149">
        <f>D87*E77/100</f>
        <v>121.104</v>
      </c>
      <c r="F87" s="162"/>
      <c r="G87" s="149"/>
      <c r="H87" s="16"/>
      <c r="I87" s="16"/>
      <c r="J87" s="161"/>
      <c r="K87" s="162"/>
      <c r="L87" s="149"/>
    </row>
    <row r="88" spans="1:14" ht="39.950000000000003" customHeight="1" x14ac:dyDescent="0.25">
      <c r="A88" s="16" t="s">
        <v>1354</v>
      </c>
      <c r="B88" s="165" t="s">
        <v>677</v>
      </c>
      <c r="C88" s="16" t="s">
        <v>393</v>
      </c>
      <c r="D88" s="16">
        <v>156</v>
      </c>
      <c r="E88" s="149">
        <f>D88*E77/100</f>
        <v>16.2864</v>
      </c>
      <c r="F88" s="162"/>
      <c r="G88" s="149"/>
      <c r="H88" s="16"/>
      <c r="I88" s="16"/>
      <c r="J88" s="161"/>
      <c r="K88" s="162"/>
      <c r="L88" s="149"/>
    </row>
    <row r="89" spans="1:14" ht="39.950000000000003" customHeight="1" x14ac:dyDescent="0.45">
      <c r="A89" s="150"/>
      <c r="B89" s="178" t="s">
        <v>759</v>
      </c>
      <c r="C89" s="16"/>
      <c r="D89" s="16"/>
      <c r="E89" s="16"/>
      <c r="F89" s="16"/>
      <c r="G89" s="149"/>
      <c r="H89" s="149"/>
      <c r="I89" s="149"/>
      <c r="J89" s="166"/>
      <c r="K89" s="149"/>
      <c r="L89" s="149"/>
      <c r="N89" s="176"/>
    </row>
    <row r="90" spans="1:14" ht="39.950000000000003" customHeight="1" x14ac:dyDescent="0.25">
      <c r="A90" s="150"/>
      <c r="B90" s="178" t="s">
        <v>766</v>
      </c>
      <c r="C90" s="172" t="s">
        <v>750</v>
      </c>
      <c r="D90" s="172"/>
      <c r="E90" s="178">
        <v>10</v>
      </c>
      <c r="F90" s="16"/>
      <c r="G90" s="16"/>
      <c r="H90" s="16"/>
      <c r="I90" s="16"/>
      <c r="J90" s="16"/>
      <c r="K90" s="16"/>
      <c r="L90" s="149"/>
    </row>
    <row r="91" spans="1:14" ht="39.950000000000003" customHeight="1" x14ac:dyDescent="0.25">
      <c r="A91" s="150"/>
      <c r="B91" s="178" t="s">
        <v>759</v>
      </c>
      <c r="C91" s="178"/>
      <c r="D91" s="178"/>
      <c r="E91" s="178"/>
      <c r="F91" s="16"/>
      <c r="G91" s="166"/>
      <c r="H91" s="16"/>
      <c r="I91" s="166"/>
      <c r="J91" s="16"/>
      <c r="K91" s="166"/>
      <c r="L91" s="149"/>
    </row>
    <row r="92" spans="1:14" ht="39.950000000000003" customHeight="1" x14ac:dyDescent="0.25">
      <c r="A92" s="150"/>
      <c r="B92" s="178" t="s">
        <v>767</v>
      </c>
      <c r="C92" s="172" t="s">
        <v>750</v>
      </c>
      <c r="D92" s="172"/>
      <c r="E92" s="178">
        <v>8</v>
      </c>
      <c r="F92" s="16"/>
      <c r="G92" s="16"/>
      <c r="H92" s="16"/>
      <c r="I92" s="16"/>
      <c r="J92" s="16"/>
      <c r="K92" s="16"/>
      <c r="L92" s="149"/>
    </row>
    <row r="93" spans="1:14" ht="39.950000000000003" customHeight="1" x14ac:dyDescent="0.25">
      <c r="A93" s="150"/>
      <c r="B93" s="178" t="s">
        <v>759</v>
      </c>
      <c r="C93" s="178"/>
      <c r="D93" s="178"/>
      <c r="E93" s="178"/>
      <c r="F93" s="16"/>
      <c r="G93" s="16"/>
      <c r="H93" s="16"/>
      <c r="I93" s="16"/>
      <c r="J93" s="16"/>
      <c r="K93" s="16"/>
      <c r="L93" s="149"/>
    </row>
    <row r="94" spans="1:14" ht="39.950000000000003" customHeight="1" x14ac:dyDescent="0.35">
      <c r="A94" s="153"/>
      <c r="B94" s="154"/>
      <c r="C94" s="155"/>
      <c r="D94" s="155"/>
      <c r="E94" s="155"/>
      <c r="F94" s="155"/>
      <c r="G94" s="155"/>
      <c r="H94" s="155"/>
      <c r="I94" s="155"/>
      <c r="J94" s="155"/>
      <c r="K94" s="155"/>
      <c r="L94" s="156"/>
    </row>
    <row r="95" spans="1:14" ht="39.950000000000003" customHeight="1" x14ac:dyDescent="0.35">
      <c r="A95" s="153"/>
      <c r="B95" s="154"/>
      <c r="C95" s="155"/>
      <c r="D95" s="155"/>
      <c r="E95" s="155"/>
      <c r="F95" s="155"/>
      <c r="G95" s="155"/>
      <c r="H95" s="155"/>
      <c r="I95" s="155"/>
      <c r="J95" s="155"/>
      <c r="K95" s="155"/>
      <c r="L95" s="156"/>
    </row>
    <row r="96" spans="1:14" ht="39.950000000000003" customHeight="1" x14ac:dyDescent="0.35">
      <c r="A96" s="153"/>
      <c r="B96" s="154"/>
      <c r="C96" s="155"/>
      <c r="D96" s="155"/>
      <c r="E96" s="155"/>
      <c r="F96" s="155"/>
      <c r="G96" s="155"/>
      <c r="H96" s="155"/>
      <c r="I96" s="155"/>
      <c r="J96" s="155"/>
      <c r="K96" s="155"/>
      <c r="L96" s="156"/>
    </row>
    <row r="97" spans="1:12" ht="39.950000000000003" customHeight="1" x14ac:dyDescent="0.35">
      <c r="A97" s="153"/>
      <c r="B97" s="154"/>
      <c r="C97" s="155"/>
      <c r="D97" s="155"/>
      <c r="E97" s="155"/>
      <c r="F97" s="155"/>
      <c r="G97" s="155"/>
      <c r="H97" s="155"/>
      <c r="I97" s="155"/>
      <c r="J97" s="155"/>
      <c r="K97" s="155"/>
      <c r="L97" s="156"/>
    </row>
    <row r="98" spans="1:12" ht="39.950000000000003" customHeight="1" x14ac:dyDescent="0.35">
      <c r="A98" s="153"/>
      <c r="B98" s="154"/>
      <c r="C98" s="155"/>
      <c r="D98" s="155"/>
      <c r="E98" s="155"/>
      <c r="F98" s="155"/>
      <c r="G98" s="155"/>
      <c r="H98" s="155"/>
      <c r="I98" s="155"/>
      <c r="J98" s="155"/>
      <c r="K98" s="155"/>
      <c r="L98" s="156"/>
    </row>
    <row r="99" spans="1:12" ht="39.950000000000003" customHeight="1" x14ac:dyDescent="0.35">
      <c r="A99" s="153"/>
      <c r="B99" s="154"/>
      <c r="C99" s="155"/>
      <c r="D99" s="155"/>
      <c r="E99" s="155"/>
      <c r="F99" s="155"/>
      <c r="G99" s="155"/>
      <c r="H99" s="155"/>
      <c r="I99" s="155"/>
      <c r="J99" s="155"/>
      <c r="K99" s="155"/>
      <c r="L99" s="156"/>
    </row>
    <row r="100" spans="1:12" ht="39.950000000000003" customHeight="1" x14ac:dyDescent="0.35">
      <c r="A100" s="153"/>
      <c r="B100" s="154"/>
      <c r="C100" s="155"/>
      <c r="D100" s="155"/>
      <c r="E100" s="155"/>
      <c r="F100" s="155"/>
      <c r="G100" s="155"/>
      <c r="H100" s="155"/>
      <c r="I100" s="155"/>
      <c r="J100" s="155"/>
      <c r="K100" s="155"/>
      <c r="L100" s="156"/>
    </row>
    <row r="101" spans="1:12" ht="39.950000000000003" customHeight="1" x14ac:dyDescent="0.35">
      <c r="A101" s="153"/>
      <c r="B101" s="154"/>
      <c r="C101" s="155"/>
      <c r="D101" s="155"/>
      <c r="E101" s="155"/>
      <c r="F101" s="155"/>
      <c r="G101" s="155"/>
      <c r="H101" s="155"/>
      <c r="I101" s="155"/>
      <c r="J101" s="155"/>
      <c r="K101" s="155"/>
      <c r="L101" s="156"/>
    </row>
    <row r="102" spans="1:12" ht="39.950000000000003" customHeight="1" x14ac:dyDescent="0.35">
      <c r="A102" s="153"/>
      <c r="B102" s="154"/>
      <c r="C102" s="155"/>
      <c r="D102" s="155"/>
      <c r="E102" s="155"/>
      <c r="F102" s="155"/>
      <c r="G102" s="155"/>
      <c r="H102" s="155"/>
      <c r="I102" s="155"/>
      <c r="J102" s="155"/>
      <c r="K102" s="155"/>
      <c r="L102" s="156"/>
    </row>
    <row r="103" spans="1:12" ht="39.950000000000003" customHeight="1" x14ac:dyDescent="0.35">
      <c r="A103" s="153"/>
      <c r="B103" s="154"/>
      <c r="C103" s="155"/>
      <c r="D103" s="155"/>
      <c r="E103" s="155"/>
      <c r="F103" s="155"/>
      <c r="G103" s="155"/>
      <c r="H103" s="155"/>
      <c r="I103" s="155"/>
      <c r="J103" s="155"/>
      <c r="K103" s="155"/>
      <c r="L103" s="156"/>
    </row>
    <row r="104" spans="1:12" ht="39.950000000000003" customHeight="1" x14ac:dyDescent="0.35">
      <c r="A104" s="153"/>
      <c r="B104" s="154"/>
      <c r="C104" s="155"/>
      <c r="D104" s="155"/>
      <c r="E104" s="155"/>
      <c r="F104" s="155"/>
      <c r="G104" s="155"/>
      <c r="H104" s="155"/>
      <c r="I104" s="155"/>
      <c r="J104" s="155"/>
      <c r="K104" s="155"/>
      <c r="L104" s="156"/>
    </row>
    <row r="105" spans="1:12" ht="39.950000000000003" customHeight="1" x14ac:dyDescent="0.35">
      <c r="A105" s="153"/>
      <c r="B105" s="154"/>
      <c r="C105" s="155"/>
      <c r="D105" s="155"/>
      <c r="E105" s="155"/>
      <c r="F105" s="155"/>
      <c r="G105" s="155"/>
      <c r="H105" s="155"/>
      <c r="I105" s="155"/>
      <c r="J105" s="155"/>
      <c r="K105" s="155"/>
      <c r="L105" s="156"/>
    </row>
    <row r="106" spans="1:12" ht="39.950000000000003" customHeight="1" x14ac:dyDescent="0.35">
      <c r="A106" s="153"/>
      <c r="B106" s="154"/>
      <c r="C106" s="155"/>
      <c r="D106" s="155"/>
      <c r="E106" s="155"/>
      <c r="F106" s="155"/>
      <c r="G106" s="155"/>
      <c r="H106" s="155"/>
      <c r="I106" s="155"/>
      <c r="J106" s="155"/>
      <c r="K106" s="155"/>
      <c r="L106" s="156"/>
    </row>
    <row r="107" spans="1:12" ht="39.950000000000003" customHeight="1" x14ac:dyDescent="0.35">
      <c r="A107" s="153"/>
      <c r="B107" s="154"/>
      <c r="C107" s="155"/>
      <c r="D107" s="155"/>
      <c r="E107" s="155"/>
      <c r="F107" s="155"/>
      <c r="G107" s="155"/>
      <c r="H107" s="155"/>
      <c r="I107" s="155"/>
      <c r="J107" s="155"/>
      <c r="K107" s="155"/>
      <c r="L107" s="156"/>
    </row>
    <row r="108" spans="1:12" ht="39.950000000000003" customHeight="1" x14ac:dyDescent="0.35">
      <c r="A108" s="153"/>
      <c r="B108" s="154"/>
      <c r="C108" s="155"/>
      <c r="D108" s="155"/>
      <c r="E108" s="155"/>
      <c r="F108" s="155"/>
      <c r="G108" s="155"/>
      <c r="H108" s="155"/>
      <c r="I108" s="155"/>
      <c r="J108" s="155"/>
      <c r="K108" s="155"/>
      <c r="L108" s="156"/>
    </row>
    <row r="109" spans="1:12" ht="39.950000000000003" customHeight="1" x14ac:dyDescent="0.35">
      <c r="A109" s="153"/>
      <c r="B109" s="154"/>
      <c r="C109" s="155"/>
      <c r="D109" s="155"/>
      <c r="E109" s="155"/>
      <c r="F109" s="155"/>
      <c r="G109" s="155"/>
      <c r="H109" s="155"/>
      <c r="I109" s="155"/>
      <c r="J109" s="155"/>
      <c r="K109" s="155"/>
      <c r="L109" s="156"/>
    </row>
    <row r="110" spans="1:12" ht="39.950000000000003" customHeight="1" x14ac:dyDescent="0.35">
      <c r="A110" s="153"/>
      <c r="B110" s="154"/>
      <c r="C110" s="155"/>
      <c r="D110" s="155"/>
      <c r="E110" s="155"/>
      <c r="F110" s="155"/>
      <c r="G110" s="155"/>
      <c r="H110" s="155"/>
      <c r="I110" s="155"/>
      <c r="J110" s="155"/>
      <c r="K110" s="155"/>
      <c r="L110" s="156"/>
    </row>
    <row r="111" spans="1:12" ht="39.950000000000003" customHeight="1" x14ac:dyDescent="0.35">
      <c r="A111" s="153"/>
      <c r="B111" s="154"/>
      <c r="C111" s="155"/>
      <c r="D111" s="155"/>
      <c r="E111" s="155"/>
      <c r="F111" s="155"/>
      <c r="G111" s="155"/>
      <c r="H111" s="155"/>
      <c r="I111" s="155"/>
      <c r="J111" s="155"/>
      <c r="K111" s="155"/>
      <c r="L111" s="156"/>
    </row>
    <row r="112" spans="1:12" ht="39.950000000000003" customHeight="1" x14ac:dyDescent="0.35">
      <c r="A112" s="153"/>
      <c r="B112" s="154"/>
      <c r="C112" s="155"/>
      <c r="D112" s="155"/>
      <c r="E112" s="155"/>
      <c r="F112" s="155"/>
      <c r="G112" s="155"/>
      <c r="H112" s="155"/>
      <c r="I112" s="155"/>
      <c r="J112" s="155"/>
      <c r="K112" s="155"/>
      <c r="L112" s="156"/>
    </row>
    <row r="113" spans="1:12" ht="39.950000000000003" customHeight="1" x14ac:dyDescent="0.35">
      <c r="A113" s="153"/>
      <c r="B113" s="154"/>
      <c r="C113" s="155"/>
      <c r="D113" s="155"/>
      <c r="E113" s="155"/>
      <c r="F113" s="155"/>
      <c r="G113" s="155"/>
      <c r="H113" s="155"/>
      <c r="I113" s="155"/>
      <c r="J113" s="155"/>
      <c r="K113" s="155"/>
      <c r="L113" s="156"/>
    </row>
    <row r="114" spans="1:12" ht="39.950000000000003" customHeight="1" x14ac:dyDescent="0.35">
      <c r="A114" s="153"/>
      <c r="B114" s="154"/>
      <c r="C114" s="155"/>
      <c r="D114" s="155"/>
      <c r="E114" s="155"/>
      <c r="F114" s="155"/>
      <c r="G114" s="155"/>
      <c r="H114" s="155"/>
      <c r="I114" s="155"/>
      <c r="J114" s="155"/>
      <c r="K114" s="155"/>
      <c r="L114" s="156"/>
    </row>
    <row r="115" spans="1:12" ht="39.950000000000003" customHeight="1" x14ac:dyDescent="0.35">
      <c r="A115" s="153"/>
      <c r="B115" s="154"/>
      <c r="C115" s="155"/>
      <c r="D115" s="155"/>
      <c r="E115" s="155"/>
      <c r="F115" s="155"/>
      <c r="G115" s="155"/>
      <c r="H115" s="155"/>
      <c r="I115" s="155"/>
      <c r="J115" s="155"/>
      <c r="K115" s="155"/>
      <c r="L115" s="156"/>
    </row>
    <row r="116" spans="1:12" ht="39.950000000000003" customHeight="1" x14ac:dyDescent="0.35">
      <c r="A116" s="153"/>
      <c r="B116" s="154"/>
      <c r="C116" s="155"/>
      <c r="D116" s="155"/>
      <c r="E116" s="155"/>
      <c r="F116" s="155"/>
      <c r="G116" s="155"/>
      <c r="H116" s="155"/>
      <c r="I116" s="155"/>
      <c r="J116" s="155"/>
      <c r="K116" s="155"/>
      <c r="L116" s="156"/>
    </row>
    <row r="117" spans="1:12" ht="39.950000000000003" customHeight="1" x14ac:dyDescent="0.35">
      <c r="A117" s="153"/>
      <c r="B117" s="154"/>
      <c r="C117" s="155"/>
      <c r="D117" s="155"/>
      <c r="E117" s="155"/>
      <c r="F117" s="155"/>
      <c r="G117" s="155"/>
      <c r="H117" s="155"/>
      <c r="I117" s="155"/>
      <c r="J117" s="155"/>
      <c r="K117" s="155"/>
      <c r="L117" s="156"/>
    </row>
    <row r="118" spans="1:12" ht="39.950000000000003" customHeight="1" x14ac:dyDescent="0.35">
      <c r="A118" s="153"/>
      <c r="B118" s="154"/>
      <c r="C118" s="155"/>
      <c r="D118" s="155"/>
      <c r="E118" s="155"/>
      <c r="F118" s="155"/>
      <c r="G118" s="155"/>
      <c r="H118" s="155"/>
      <c r="I118" s="155"/>
      <c r="J118" s="155"/>
      <c r="K118" s="155"/>
      <c r="L118" s="156"/>
    </row>
    <row r="119" spans="1:12" ht="39.950000000000003" customHeight="1" x14ac:dyDescent="0.35">
      <c r="A119" s="153"/>
      <c r="B119" s="154"/>
      <c r="C119" s="155"/>
      <c r="D119" s="155"/>
      <c r="E119" s="155"/>
      <c r="F119" s="155"/>
      <c r="G119" s="155"/>
      <c r="H119" s="155"/>
      <c r="I119" s="155"/>
      <c r="J119" s="155"/>
      <c r="K119" s="155"/>
      <c r="L119" s="156"/>
    </row>
    <row r="120" spans="1:12" ht="39.950000000000003" customHeight="1" x14ac:dyDescent="0.35">
      <c r="A120" s="153"/>
      <c r="B120" s="154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</row>
    <row r="121" spans="1:12" ht="39.950000000000003" customHeight="1" x14ac:dyDescent="0.35">
      <c r="A121" s="153"/>
      <c r="B121" s="154"/>
      <c r="C121" s="155"/>
      <c r="D121" s="155"/>
      <c r="E121" s="155"/>
      <c r="F121" s="155"/>
      <c r="G121" s="155"/>
      <c r="H121" s="155"/>
      <c r="I121" s="155"/>
      <c r="J121" s="155"/>
      <c r="K121" s="155"/>
      <c r="L121" s="156"/>
    </row>
    <row r="122" spans="1:12" ht="39.950000000000003" customHeight="1" x14ac:dyDescent="0.35">
      <c r="A122" s="153"/>
      <c r="B122" s="154"/>
      <c r="C122" s="155"/>
      <c r="D122" s="155"/>
      <c r="E122" s="155"/>
      <c r="F122" s="155"/>
      <c r="G122" s="155"/>
      <c r="H122" s="155"/>
      <c r="I122" s="155"/>
      <c r="J122" s="155"/>
      <c r="K122" s="155"/>
      <c r="L122" s="156"/>
    </row>
    <row r="123" spans="1:12" ht="39.950000000000003" customHeight="1" x14ac:dyDescent="0.35">
      <c r="A123" s="153"/>
      <c r="B123" s="154"/>
      <c r="C123" s="155"/>
      <c r="D123" s="155"/>
      <c r="E123" s="155"/>
      <c r="F123" s="155"/>
      <c r="G123" s="155"/>
      <c r="H123" s="155"/>
      <c r="I123" s="155"/>
      <c r="J123" s="155"/>
      <c r="K123" s="155"/>
      <c r="L123" s="156"/>
    </row>
    <row r="124" spans="1:12" ht="39.950000000000003" customHeight="1" x14ac:dyDescent="0.35">
      <c r="A124" s="153"/>
      <c r="B124" s="154"/>
      <c r="C124" s="155"/>
      <c r="D124" s="155"/>
      <c r="E124" s="155"/>
      <c r="F124" s="155"/>
      <c r="G124" s="155"/>
      <c r="H124" s="155"/>
      <c r="I124" s="155"/>
      <c r="J124" s="155"/>
      <c r="K124" s="155"/>
      <c r="L124" s="156"/>
    </row>
    <row r="125" spans="1:12" ht="39.950000000000003" customHeight="1" x14ac:dyDescent="0.35">
      <c r="A125" s="153"/>
      <c r="B125" s="154"/>
      <c r="C125" s="155"/>
      <c r="D125" s="155"/>
      <c r="E125" s="155"/>
      <c r="F125" s="155"/>
      <c r="G125" s="155"/>
      <c r="H125" s="155"/>
      <c r="I125" s="155"/>
      <c r="J125" s="155"/>
      <c r="K125" s="155"/>
      <c r="L125" s="156"/>
    </row>
    <row r="126" spans="1:12" ht="39.950000000000003" customHeight="1" x14ac:dyDescent="0.35">
      <c r="A126" s="153"/>
      <c r="B126" s="154"/>
      <c r="C126" s="155"/>
      <c r="D126" s="155"/>
      <c r="E126" s="155"/>
      <c r="F126" s="155"/>
      <c r="G126" s="155"/>
      <c r="H126" s="155"/>
      <c r="I126" s="155"/>
      <c r="J126" s="155"/>
      <c r="K126" s="155"/>
      <c r="L126" s="156"/>
    </row>
    <row r="127" spans="1:12" ht="39.950000000000003" customHeight="1" x14ac:dyDescent="0.35">
      <c r="A127" s="153"/>
      <c r="B127" s="154"/>
      <c r="C127" s="155"/>
      <c r="D127" s="155"/>
      <c r="E127" s="155"/>
      <c r="F127" s="155"/>
      <c r="G127" s="155"/>
      <c r="H127" s="155"/>
      <c r="I127" s="155"/>
      <c r="J127" s="155"/>
      <c r="K127" s="155"/>
      <c r="L127" s="156"/>
    </row>
    <row r="128" spans="1:12" ht="39.950000000000003" customHeight="1" x14ac:dyDescent="0.35">
      <c r="A128" s="153"/>
      <c r="B128" s="154"/>
      <c r="C128" s="155"/>
      <c r="D128" s="155"/>
      <c r="E128" s="155"/>
      <c r="F128" s="155"/>
      <c r="G128" s="155"/>
      <c r="H128" s="155"/>
      <c r="I128" s="155"/>
      <c r="J128" s="155"/>
      <c r="K128" s="155"/>
      <c r="L128" s="156"/>
    </row>
    <row r="129" spans="1:12" ht="39.950000000000003" customHeight="1" x14ac:dyDescent="0.35">
      <c r="A129" s="153"/>
      <c r="B129" s="154"/>
      <c r="C129" s="155"/>
      <c r="D129" s="155"/>
      <c r="E129" s="155"/>
      <c r="F129" s="155"/>
      <c r="G129" s="155"/>
      <c r="H129" s="155"/>
      <c r="I129" s="155"/>
      <c r="J129" s="155"/>
      <c r="K129" s="155"/>
      <c r="L129" s="156"/>
    </row>
    <row r="130" spans="1:12" ht="39.950000000000003" customHeight="1" x14ac:dyDescent="0.35">
      <c r="A130" s="153"/>
      <c r="B130" s="154"/>
      <c r="C130" s="155"/>
      <c r="D130" s="155"/>
      <c r="E130" s="155"/>
      <c r="F130" s="155"/>
      <c r="G130" s="155"/>
      <c r="H130" s="155"/>
      <c r="I130" s="155"/>
      <c r="J130" s="155"/>
      <c r="K130" s="155"/>
      <c r="L130" s="156"/>
    </row>
    <row r="131" spans="1:12" x14ac:dyDescent="0.25">
      <c r="B131" s="157"/>
      <c r="C131" s="158"/>
      <c r="D131" s="158"/>
      <c r="E131" s="158"/>
      <c r="F131" s="158"/>
      <c r="G131" s="158"/>
      <c r="H131" s="158"/>
      <c r="I131" s="158"/>
      <c r="J131" s="158"/>
      <c r="K131" s="158"/>
      <c r="L131" s="173"/>
    </row>
    <row r="132" spans="1:12" x14ac:dyDescent="0.25"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73"/>
    </row>
    <row r="133" spans="1:12" x14ac:dyDescent="0.25">
      <c r="B133" s="157"/>
      <c r="C133" s="158"/>
      <c r="D133" s="158"/>
      <c r="E133" s="158"/>
      <c r="F133" s="158"/>
      <c r="G133" s="158"/>
      <c r="H133" s="158"/>
      <c r="I133" s="158"/>
      <c r="J133" s="158"/>
      <c r="K133" s="158"/>
      <c r="L133" s="173"/>
    </row>
    <row r="134" spans="1:12" x14ac:dyDescent="0.25"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73"/>
    </row>
    <row r="135" spans="1:12" x14ac:dyDescent="0.25"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74"/>
    </row>
    <row r="136" spans="1:12" x14ac:dyDescent="0.25"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74"/>
    </row>
    <row r="137" spans="1:12" x14ac:dyDescent="0.25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74"/>
    </row>
    <row r="138" spans="1:12" x14ac:dyDescent="0.25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74"/>
    </row>
    <row r="139" spans="1:12" x14ac:dyDescent="0.25"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74"/>
    </row>
    <row r="140" spans="1:12" x14ac:dyDescent="0.25"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74"/>
    </row>
    <row r="141" spans="1:12" x14ac:dyDescent="0.25"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74"/>
    </row>
    <row r="142" spans="1:12" x14ac:dyDescent="0.25"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74"/>
    </row>
    <row r="143" spans="1:12" x14ac:dyDescent="0.25"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74"/>
    </row>
    <row r="144" spans="1:12" x14ac:dyDescent="0.25"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74"/>
    </row>
    <row r="145" spans="2:12" x14ac:dyDescent="0.25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74"/>
    </row>
    <row r="146" spans="2:12" x14ac:dyDescent="0.25"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74"/>
    </row>
    <row r="147" spans="2:12" x14ac:dyDescent="0.25"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74"/>
    </row>
  </sheetData>
  <mergeCells count="14">
    <mergeCell ref="A1:L3"/>
    <mergeCell ref="A4:A6"/>
    <mergeCell ref="B4:B6"/>
    <mergeCell ref="C4:C6"/>
    <mergeCell ref="D4:E4"/>
    <mergeCell ref="F4:G4"/>
    <mergeCell ref="H4:I4"/>
    <mergeCell ref="J4:K4"/>
    <mergeCell ref="L4:L6"/>
    <mergeCell ref="D5:D6"/>
    <mergeCell ref="E5:E6"/>
    <mergeCell ref="G5:G6"/>
    <mergeCell ref="I5:I6"/>
    <mergeCell ref="K5:K6"/>
  </mergeCells>
  <conditionalFormatting sqref="J9 H9:H10 D9:D10 F9:F10">
    <cfRule type="cellIs" dxfId="20" priority="2" stopIfTrue="1" operator="equal">
      <formula>8223.307275</formula>
    </cfRule>
  </conditionalFormatting>
  <pageMargins left="0.7" right="0.7" top="0.75" bottom="0.75" header="0.3" footer="0.3"/>
  <pageSetup paperSize="9" scal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73"/>
  <sheetViews>
    <sheetView view="pageBreakPreview" zoomScale="60" zoomScaleNormal="55" workbookViewId="0">
      <selection activeCell="D22" sqref="D22"/>
    </sheetView>
  </sheetViews>
  <sheetFormatPr defaultRowHeight="15" x14ac:dyDescent="0.25"/>
  <cols>
    <col min="1" max="1" width="15.7109375" style="54" customWidth="1"/>
    <col min="2" max="2" width="105.7109375" style="54" customWidth="1"/>
    <col min="3" max="4" width="12.7109375" style="54" customWidth="1"/>
    <col min="5" max="6" width="15.7109375" style="54" customWidth="1"/>
    <col min="7" max="7" width="17.7109375" style="54" customWidth="1"/>
    <col min="8" max="8" width="15.7109375" style="54" customWidth="1"/>
    <col min="9" max="9" width="17.7109375" style="54" customWidth="1"/>
    <col min="10" max="10" width="15.7109375" style="54" customWidth="1"/>
    <col min="11" max="11" width="17.7109375" style="54" customWidth="1"/>
    <col min="12" max="12" width="21.28515625" style="175" bestFit="1" customWidth="1"/>
    <col min="13" max="16384" width="9.140625" style="54"/>
  </cols>
  <sheetData>
    <row r="1" spans="1:12" ht="15" customHeight="1" x14ac:dyDescent="0.25">
      <c r="A1" s="206" t="str">
        <f>'1-1'!A1</f>
        <v>ქალაქ ხონში ძიძიგურების უბანის 1480 მ-იანი მონაკვეთის რეაბილიტაციის სამშენებლო სამუშაოების ლოკალურ-რესურსული ხარჯთაღრიცხვა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5" customHeight="1" x14ac:dyDescent="0.2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5" customHeigh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39.950000000000003" customHeight="1" x14ac:dyDescent="0.25">
      <c r="A4" s="186" t="s">
        <v>0</v>
      </c>
      <c r="B4" s="186" t="s">
        <v>658</v>
      </c>
      <c r="C4" s="188" t="s">
        <v>2</v>
      </c>
      <c r="D4" s="182" t="s">
        <v>653</v>
      </c>
      <c r="E4" s="191"/>
      <c r="F4" s="186" t="s">
        <v>659</v>
      </c>
      <c r="G4" s="186"/>
      <c r="H4" s="186" t="s">
        <v>660</v>
      </c>
      <c r="I4" s="186"/>
      <c r="J4" s="187" t="s">
        <v>762</v>
      </c>
      <c r="K4" s="187"/>
      <c r="L4" s="192" t="s">
        <v>662</v>
      </c>
    </row>
    <row r="5" spans="1:12" ht="39.950000000000003" customHeight="1" x14ac:dyDescent="0.25">
      <c r="A5" s="186"/>
      <c r="B5" s="186"/>
      <c r="C5" s="189"/>
      <c r="D5" s="188" t="s">
        <v>664</v>
      </c>
      <c r="E5" s="187" t="s">
        <v>665</v>
      </c>
      <c r="F5" s="146" t="s">
        <v>664</v>
      </c>
      <c r="G5" s="195" t="s">
        <v>666</v>
      </c>
      <c r="H5" s="146" t="s">
        <v>664</v>
      </c>
      <c r="I5" s="195" t="s">
        <v>666</v>
      </c>
      <c r="J5" s="146" t="s">
        <v>664</v>
      </c>
      <c r="K5" s="195" t="s">
        <v>666</v>
      </c>
      <c r="L5" s="193"/>
    </row>
    <row r="6" spans="1:12" ht="39.950000000000003" customHeight="1" x14ac:dyDescent="0.25">
      <c r="A6" s="186"/>
      <c r="B6" s="186"/>
      <c r="C6" s="190"/>
      <c r="D6" s="190"/>
      <c r="E6" s="187"/>
      <c r="F6" s="146" t="s">
        <v>667</v>
      </c>
      <c r="G6" s="196"/>
      <c r="H6" s="146" t="s">
        <v>667</v>
      </c>
      <c r="I6" s="196"/>
      <c r="J6" s="146" t="s">
        <v>667</v>
      </c>
      <c r="K6" s="196"/>
      <c r="L6" s="194"/>
    </row>
    <row r="7" spans="1:12" ht="39.950000000000003" customHeight="1" x14ac:dyDescent="0.25">
      <c r="A7" s="146">
        <v>1</v>
      </c>
      <c r="B7" s="146">
        <v>3</v>
      </c>
      <c r="C7" s="146">
        <v>4</v>
      </c>
      <c r="D7" s="146">
        <v>5</v>
      </c>
      <c r="E7" s="146">
        <v>6</v>
      </c>
      <c r="F7" s="146">
        <v>7</v>
      </c>
      <c r="G7" s="146">
        <v>8</v>
      </c>
      <c r="H7" s="146">
        <v>9</v>
      </c>
      <c r="I7" s="146">
        <v>10</v>
      </c>
      <c r="J7" s="146">
        <v>11</v>
      </c>
      <c r="K7" s="146">
        <v>12</v>
      </c>
      <c r="L7" s="146">
        <v>13</v>
      </c>
    </row>
    <row r="8" spans="1:12" ht="80.099999999999994" customHeight="1" x14ac:dyDescent="0.25">
      <c r="A8" s="146"/>
      <c r="B8" s="147" t="s">
        <v>1328</v>
      </c>
      <c r="C8" s="16"/>
      <c r="D8" s="16"/>
      <c r="E8" s="16"/>
      <c r="F8" s="16"/>
      <c r="G8" s="16"/>
      <c r="H8" s="16"/>
      <c r="I8" s="16"/>
      <c r="J8" s="16"/>
      <c r="K8" s="16"/>
      <c r="L8" s="149"/>
    </row>
    <row r="9" spans="1:12" s="160" customFormat="1" ht="39.950000000000003" customHeight="1" x14ac:dyDescent="0.25">
      <c r="A9" s="39">
        <v>1.1000000000000001</v>
      </c>
      <c r="B9" s="83" t="s">
        <v>1329</v>
      </c>
      <c r="C9" s="146" t="s">
        <v>713</v>
      </c>
      <c r="D9" s="146"/>
      <c r="E9" s="159">
        <v>57.42</v>
      </c>
      <c r="F9" s="163"/>
      <c r="G9" s="163"/>
      <c r="H9" s="163"/>
      <c r="I9" s="163"/>
      <c r="J9" s="164"/>
      <c r="K9" s="164"/>
      <c r="L9" s="152"/>
    </row>
    <row r="10" spans="1:12" ht="39.950000000000003" customHeight="1" x14ac:dyDescent="0.25">
      <c r="A10" s="16" t="s">
        <v>668</v>
      </c>
      <c r="B10" s="16" t="s">
        <v>231</v>
      </c>
      <c r="C10" s="16" t="s">
        <v>672</v>
      </c>
      <c r="D10" s="16">
        <f>5.13</f>
        <v>5.13</v>
      </c>
      <c r="E10" s="149">
        <f>D10*E9/1000</f>
        <v>0.29456460000000001</v>
      </c>
      <c r="F10" s="166"/>
      <c r="G10" s="166"/>
      <c r="H10" s="166"/>
      <c r="I10" s="166"/>
      <c r="J10" s="161"/>
      <c r="K10" s="162"/>
      <c r="L10" s="149"/>
    </row>
    <row r="11" spans="1:12" ht="39.950000000000003" customHeight="1" x14ac:dyDescent="0.25">
      <c r="A11" s="16" t="s">
        <v>671</v>
      </c>
      <c r="B11" s="16" t="s">
        <v>331</v>
      </c>
      <c r="C11" s="16" t="s">
        <v>674</v>
      </c>
      <c r="D11" s="16">
        <v>1010</v>
      </c>
      <c r="E11" s="149">
        <f>D11*E9/1000</f>
        <v>57.994200000000006</v>
      </c>
      <c r="F11" s="162"/>
      <c r="G11" s="149"/>
      <c r="H11" s="166"/>
      <c r="I11" s="166"/>
      <c r="J11" s="161"/>
      <c r="K11" s="162"/>
      <c r="L11" s="149"/>
    </row>
    <row r="12" spans="1:12" s="160" customFormat="1" ht="39.950000000000003" customHeight="1" x14ac:dyDescent="0.25">
      <c r="A12" s="39">
        <v>1.2</v>
      </c>
      <c r="B12" s="83" t="s">
        <v>1330</v>
      </c>
      <c r="C12" s="146" t="s">
        <v>712</v>
      </c>
      <c r="D12" s="146"/>
      <c r="E12" s="168">
        <v>6.38</v>
      </c>
      <c r="F12" s="163"/>
      <c r="G12" s="163"/>
      <c r="H12" s="163"/>
      <c r="I12" s="163"/>
      <c r="J12" s="164"/>
      <c r="K12" s="164"/>
      <c r="L12" s="152"/>
    </row>
    <row r="13" spans="1:12" ht="39.950000000000003" customHeight="1" x14ac:dyDescent="0.25">
      <c r="A13" s="16" t="s">
        <v>697</v>
      </c>
      <c r="B13" s="165" t="s">
        <v>669</v>
      </c>
      <c r="C13" s="16" t="s">
        <v>670</v>
      </c>
      <c r="D13" s="16">
        <v>121</v>
      </c>
      <c r="E13" s="149">
        <f>D13*E12/100</f>
        <v>7.7198000000000002</v>
      </c>
      <c r="F13" s="166"/>
      <c r="G13" s="166"/>
      <c r="H13" s="167"/>
      <c r="I13" s="149"/>
      <c r="J13" s="162"/>
      <c r="K13" s="162"/>
      <c r="L13" s="149"/>
    </row>
    <row r="14" spans="1:12" ht="39.950000000000003" customHeight="1" x14ac:dyDescent="0.25">
      <c r="A14" s="16" t="s">
        <v>698</v>
      </c>
      <c r="B14" s="16" t="s">
        <v>331</v>
      </c>
      <c r="C14" s="16" t="s">
        <v>674</v>
      </c>
      <c r="D14" s="16">
        <v>122</v>
      </c>
      <c r="E14" s="149">
        <f>D14*E12/100</f>
        <v>7.7835999999999999</v>
      </c>
      <c r="F14" s="162"/>
      <c r="G14" s="149"/>
      <c r="H14" s="166"/>
      <c r="I14" s="166"/>
      <c r="J14" s="161"/>
      <c r="K14" s="162"/>
      <c r="L14" s="149"/>
    </row>
    <row r="15" spans="1:12" ht="39.950000000000003" customHeight="1" x14ac:dyDescent="0.25">
      <c r="A15" s="150"/>
      <c r="B15" s="146" t="s">
        <v>759</v>
      </c>
      <c r="C15" s="16"/>
      <c r="D15" s="16"/>
      <c r="E15" s="16"/>
      <c r="F15" s="16"/>
      <c r="G15" s="149"/>
      <c r="H15" s="149"/>
      <c r="I15" s="149"/>
      <c r="J15" s="166"/>
      <c r="K15" s="149"/>
      <c r="L15" s="149"/>
    </row>
    <row r="16" spans="1:12" ht="39.950000000000003" customHeight="1" x14ac:dyDescent="0.25">
      <c r="A16" s="150"/>
      <c r="B16" s="146" t="s">
        <v>766</v>
      </c>
      <c r="C16" s="172" t="s">
        <v>750</v>
      </c>
      <c r="D16" s="172"/>
      <c r="E16" s="146">
        <v>10</v>
      </c>
      <c r="F16" s="16"/>
      <c r="G16" s="16"/>
      <c r="H16" s="16"/>
      <c r="I16" s="16"/>
      <c r="J16" s="16"/>
      <c r="K16" s="16"/>
      <c r="L16" s="149"/>
    </row>
    <row r="17" spans="1:12" ht="39.950000000000003" customHeight="1" x14ac:dyDescent="0.25">
      <c r="A17" s="150"/>
      <c r="B17" s="146" t="s">
        <v>759</v>
      </c>
      <c r="C17" s="146"/>
      <c r="D17" s="146"/>
      <c r="E17" s="146"/>
      <c r="F17" s="16"/>
      <c r="G17" s="166"/>
      <c r="H17" s="16"/>
      <c r="I17" s="166"/>
      <c r="J17" s="16"/>
      <c r="K17" s="166"/>
      <c r="L17" s="149"/>
    </row>
    <row r="18" spans="1:12" ht="39.950000000000003" customHeight="1" x14ac:dyDescent="0.25">
      <c r="A18" s="150"/>
      <c r="B18" s="146" t="s">
        <v>767</v>
      </c>
      <c r="C18" s="172" t="s">
        <v>750</v>
      </c>
      <c r="D18" s="172"/>
      <c r="E18" s="146">
        <v>8</v>
      </c>
      <c r="F18" s="16"/>
      <c r="G18" s="16"/>
      <c r="H18" s="16"/>
      <c r="I18" s="16"/>
      <c r="J18" s="16"/>
      <c r="K18" s="16"/>
      <c r="L18" s="149"/>
    </row>
    <row r="19" spans="1:12" ht="39.950000000000003" customHeight="1" x14ac:dyDescent="0.25">
      <c r="A19" s="150"/>
      <c r="B19" s="146" t="s">
        <v>759</v>
      </c>
      <c r="C19" s="146"/>
      <c r="D19" s="146"/>
      <c r="E19" s="146"/>
      <c r="F19" s="16"/>
      <c r="G19" s="16"/>
      <c r="H19" s="16"/>
      <c r="I19" s="16"/>
      <c r="J19" s="16"/>
      <c r="K19" s="16"/>
      <c r="L19" s="149"/>
    </row>
    <row r="20" spans="1:12" ht="39.950000000000003" customHeight="1" x14ac:dyDescent="0.35">
      <c r="A20" s="153"/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6"/>
    </row>
    <row r="21" spans="1:12" ht="39.950000000000003" customHeight="1" x14ac:dyDescent="0.35">
      <c r="A21" s="153"/>
      <c r="B21" s="154"/>
      <c r="C21" s="155"/>
      <c r="D21" s="155"/>
      <c r="E21" s="155"/>
      <c r="F21" s="155"/>
      <c r="G21" s="155"/>
      <c r="H21" s="155"/>
      <c r="I21" s="155"/>
      <c r="J21" s="155"/>
      <c r="K21" s="155"/>
      <c r="L21" s="156"/>
    </row>
    <row r="22" spans="1:12" ht="39.950000000000003" customHeight="1" x14ac:dyDescent="0.35">
      <c r="A22" s="153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6"/>
    </row>
    <row r="23" spans="1:12" ht="39.950000000000003" customHeight="1" x14ac:dyDescent="0.35">
      <c r="A23" s="153"/>
      <c r="B23" s="154"/>
      <c r="C23" s="155"/>
      <c r="D23" s="155"/>
      <c r="E23" s="155"/>
      <c r="F23" s="155"/>
      <c r="G23" s="155"/>
      <c r="H23" s="155"/>
      <c r="I23" s="155"/>
      <c r="J23" s="155"/>
      <c r="K23" s="155"/>
      <c r="L23" s="156"/>
    </row>
    <row r="24" spans="1:12" ht="39.950000000000003" customHeight="1" x14ac:dyDescent="0.35">
      <c r="A24" s="153"/>
      <c r="B24" s="154"/>
      <c r="C24" s="155"/>
      <c r="D24" s="155"/>
      <c r="E24" s="155"/>
      <c r="F24" s="155"/>
      <c r="G24" s="155"/>
      <c r="H24" s="155"/>
      <c r="I24" s="155"/>
      <c r="J24" s="155"/>
      <c r="K24" s="155"/>
      <c r="L24" s="156"/>
    </row>
    <row r="25" spans="1:12" ht="39.950000000000003" customHeight="1" x14ac:dyDescent="0.35">
      <c r="A25" s="153"/>
      <c r="B25" s="154"/>
      <c r="C25" s="155"/>
      <c r="D25" s="155"/>
      <c r="E25" s="155"/>
      <c r="F25" s="155"/>
      <c r="G25" s="155"/>
      <c r="H25" s="155"/>
      <c r="I25" s="155"/>
      <c r="J25" s="155"/>
      <c r="K25" s="155"/>
      <c r="L25" s="156"/>
    </row>
    <row r="26" spans="1:12" ht="39.950000000000003" customHeight="1" x14ac:dyDescent="0.35">
      <c r="A26" s="153"/>
      <c r="B26" s="154"/>
      <c r="C26" s="155"/>
      <c r="D26" s="155"/>
      <c r="E26" s="155"/>
      <c r="F26" s="155"/>
      <c r="G26" s="155"/>
      <c r="H26" s="155"/>
      <c r="I26" s="155"/>
      <c r="J26" s="155"/>
      <c r="K26" s="155"/>
      <c r="L26" s="156"/>
    </row>
    <row r="27" spans="1:12" ht="39.950000000000003" customHeight="1" x14ac:dyDescent="0.35">
      <c r="A27" s="153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6"/>
    </row>
    <row r="28" spans="1:12" ht="39.950000000000003" customHeight="1" x14ac:dyDescent="0.35">
      <c r="A28" s="153"/>
      <c r="B28" s="154"/>
      <c r="C28" s="155"/>
      <c r="D28" s="155"/>
      <c r="E28" s="155"/>
      <c r="F28" s="155"/>
      <c r="G28" s="155"/>
      <c r="H28" s="155"/>
      <c r="I28" s="155"/>
      <c r="J28" s="155"/>
      <c r="K28" s="155"/>
      <c r="L28" s="156"/>
    </row>
    <row r="29" spans="1:12" ht="39.950000000000003" customHeight="1" x14ac:dyDescent="0.35">
      <c r="A29" s="153"/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56"/>
    </row>
    <row r="30" spans="1:12" ht="39.950000000000003" customHeight="1" x14ac:dyDescent="0.35">
      <c r="A30" s="153"/>
      <c r="B30" s="154"/>
      <c r="C30" s="155"/>
      <c r="D30" s="155"/>
      <c r="E30" s="155"/>
      <c r="F30" s="155"/>
      <c r="G30" s="155"/>
      <c r="H30" s="155"/>
      <c r="I30" s="155"/>
      <c r="J30" s="155"/>
      <c r="K30" s="155"/>
      <c r="L30" s="156"/>
    </row>
    <row r="31" spans="1:12" ht="39.950000000000003" customHeight="1" x14ac:dyDescent="0.35">
      <c r="A31" s="153"/>
      <c r="B31" s="154"/>
      <c r="C31" s="155"/>
      <c r="D31" s="155"/>
      <c r="E31" s="155"/>
      <c r="F31" s="155"/>
      <c r="G31" s="155"/>
      <c r="H31" s="155"/>
      <c r="I31" s="155"/>
      <c r="J31" s="155"/>
      <c r="K31" s="155"/>
      <c r="L31" s="156"/>
    </row>
    <row r="32" spans="1:12" ht="39.950000000000003" customHeight="1" x14ac:dyDescent="0.35">
      <c r="A32" s="153"/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56"/>
    </row>
    <row r="33" spans="1:12" ht="39.950000000000003" customHeight="1" x14ac:dyDescent="0.35">
      <c r="A33" s="153"/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56"/>
    </row>
    <row r="34" spans="1:12" ht="39.950000000000003" customHeight="1" x14ac:dyDescent="0.35">
      <c r="A34" s="153"/>
      <c r="B34" s="154"/>
      <c r="C34" s="155"/>
      <c r="D34" s="155"/>
      <c r="E34" s="155"/>
      <c r="F34" s="155"/>
      <c r="G34" s="155"/>
      <c r="H34" s="155"/>
      <c r="I34" s="155"/>
      <c r="J34" s="155"/>
      <c r="K34" s="155"/>
      <c r="L34" s="156"/>
    </row>
    <row r="35" spans="1:12" ht="39.950000000000003" customHeight="1" x14ac:dyDescent="0.35">
      <c r="A35" s="153"/>
      <c r="B35" s="154"/>
      <c r="C35" s="155"/>
      <c r="D35" s="155"/>
      <c r="E35" s="155"/>
      <c r="F35" s="155"/>
      <c r="G35" s="155"/>
      <c r="H35" s="155"/>
      <c r="I35" s="155"/>
      <c r="J35" s="155"/>
      <c r="K35" s="155"/>
      <c r="L35" s="156"/>
    </row>
    <row r="36" spans="1:12" ht="39.950000000000003" customHeight="1" x14ac:dyDescent="0.35">
      <c r="A36" s="153"/>
      <c r="B36" s="154"/>
      <c r="C36" s="155"/>
      <c r="D36" s="155"/>
      <c r="E36" s="155"/>
      <c r="F36" s="155"/>
      <c r="G36" s="155"/>
      <c r="H36" s="155"/>
      <c r="I36" s="155"/>
      <c r="J36" s="155"/>
      <c r="K36" s="155"/>
      <c r="L36" s="156"/>
    </row>
    <row r="37" spans="1:12" ht="39.950000000000003" customHeight="1" x14ac:dyDescent="0.35">
      <c r="A37" s="153"/>
      <c r="B37" s="154"/>
      <c r="C37" s="155"/>
      <c r="D37" s="155"/>
      <c r="E37" s="155"/>
      <c r="F37" s="155"/>
      <c r="G37" s="155"/>
      <c r="H37" s="155"/>
      <c r="I37" s="155"/>
      <c r="J37" s="155"/>
      <c r="K37" s="155"/>
      <c r="L37" s="156"/>
    </row>
    <row r="38" spans="1:12" ht="39.950000000000003" customHeight="1" x14ac:dyDescent="0.35">
      <c r="A38" s="153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6"/>
    </row>
    <row r="39" spans="1:12" ht="39.950000000000003" customHeight="1" x14ac:dyDescent="0.35">
      <c r="A39" s="153"/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6"/>
    </row>
    <row r="40" spans="1:12" ht="39.950000000000003" customHeight="1" x14ac:dyDescent="0.35">
      <c r="A40" s="153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6"/>
    </row>
    <row r="41" spans="1:12" ht="39.950000000000003" customHeight="1" x14ac:dyDescent="0.35">
      <c r="A41" s="153"/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6"/>
    </row>
    <row r="42" spans="1:12" ht="39.950000000000003" customHeight="1" x14ac:dyDescent="0.35">
      <c r="A42" s="153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56"/>
    </row>
    <row r="43" spans="1:12" ht="39.950000000000003" customHeight="1" x14ac:dyDescent="0.35">
      <c r="A43" s="153"/>
      <c r="B43" s="154"/>
      <c r="C43" s="155"/>
      <c r="D43" s="155"/>
      <c r="E43" s="155"/>
      <c r="F43" s="155"/>
      <c r="G43" s="155"/>
      <c r="H43" s="155"/>
      <c r="I43" s="155"/>
      <c r="J43" s="155"/>
      <c r="K43" s="155"/>
      <c r="L43" s="156"/>
    </row>
    <row r="44" spans="1:12" ht="39.950000000000003" customHeight="1" x14ac:dyDescent="0.35">
      <c r="A44" s="153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56"/>
    </row>
    <row r="45" spans="1:12" ht="39.950000000000003" customHeight="1" x14ac:dyDescent="0.35">
      <c r="A45" s="153"/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6"/>
    </row>
    <row r="46" spans="1:12" ht="39.950000000000003" customHeight="1" x14ac:dyDescent="0.35">
      <c r="A46" s="153"/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6"/>
    </row>
    <row r="47" spans="1:12" ht="39.950000000000003" customHeight="1" x14ac:dyDescent="0.35">
      <c r="A47" s="153"/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6"/>
    </row>
    <row r="48" spans="1:12" ht="39.950000000000003" customHeight="1" x14ac:dyDescent="0.35">
      <c r="A48" s="153"/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6"/>
    </row>
    <row r="49" spans="1:12" ht="39.950000000000003" customHeight="1" x14ac:dyDescent="0.35">
      <c r="A49" s="153"/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6"/>
    </row>
    <row r="50" spans="1:12" ht="39.950000000000003" customHeight="1" x14ac:dyDescent="0.35">
      <c r="A50" s="153"/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156"/>
    </row>
    <row r="51" spans="1:12" ht="39.950000000000003" customHeight="1" x14ac:dyDescent="0.35">
      <c r="A51" s="153"/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6"/>
    </row>
    <row r="52" spans="1:12" ht="39.950000000000003" customHeight="1" x14ac:dyDescent="0.35">
      <c r="A52" s="153"/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6"/>
    </row>
    <row r="53" spans="1:12" ht="39.950000000000003" customHeight="1" x14ac:dyDescent="0.35">
      <c r="A53" s="153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6"/>
    </row>
    <row r="54" spans="1:12" ht="39.950000000000003" customHeight="1" x14ac:dyDescent="0.35">
      <c r="A54" s="153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6"/>
    </row>
    <row r="55" spans="1:12" ht="39.950000000000003" customHeight="1" x14ac:dyDescent="0.35">
      <c r="A55" s="153"/>
      <c r="B55" s="154"/>
      <c r="C55" s="155"/>
      <c r="D55" s="155"/>
      <c r="E55" s="155"/>
      <c r="F55" s="155"/>
      <c r="G55" s="155"/>
      <c r="H55" s="155"/>
      <c r="I55" s="155"/>
      <c r="J55" s="155"/>
      <c r="K55" s="155"/>
      <c r="L55" s="156"/>
    </row>
    <row r="56" spans="1:12" ht="39.950000000000003" customHeight="1" x14ac:dyDescent="0.35">
      <c r="A56" s="153"/>
      <c r="B56" s="154"/>
      <c r="C56" s="155"/>
      <c r="D56" s="155"/>
      <c r="E56" s="155"/>
      <c r="F56" s="155"/>
      <c r="G56" s="155"/>
      <c r="H56" s="155"/>
      <c r="I56" s="155"/>
      <c r="J56" s="155"/>
      <c r="K56" s="155"/>
      <c r="L56" s="156"/>
    </row>
    <row r="57" spans="1:12" x14ac:dyDescent="0.25"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73"/>
    </row>
    <row r="58" spans="1:12" x14ac:dyDescent="0.25">
      <c r="B58" s="157"/>
      <c r="C58" s="158"/>
      <c r="D58" s="158"/>
      <c r="E58" s="158"/>
      <c r="F58" s="158"/>
      <c r="G58" s="158"/>
      <c r="H58" s="158"/>
      <c r="I58" s="158"/>
      <c r="J58" s="158"/>
      <c r="K58" s="158"/>
      <c r="L58" s="173"/>
    </row>
    <row r="59" spans="1:12" x14ac:dyDescent="0.25">
      <c r="B59" s="157"/>
      <c r="C59" s="158"/>
      <c r="D59" s="158"/>
      <c r="E59" s="158"/>
      <c r="F59" s="158"/>
      <c r="G59" s="158"/>
      <c r="H59" s="158"/>
      <c r="I59" s="158"/>
      <c r="J59" s="158"/>
      <c r="K59" s="158"/>
      <c r="L59" s="173"/>
    </row>
    <row r="60" spans="1:12" x14ac:dyDescent="0.25">
      <c r="B60" s="157"/>
      <c r="C60" s="158"/>
      <c r="D60" s="158"/>
      <c r="E60" s="158"/>
      <c r="F60" s="158"/>
      <c r="G60" s="158"/>
      <c r="H60" s="158"/>
      <c r="I60" s="158"/>
      <c r="J60" s="158"/>
      <c r="K60" s="158"/>
      <c r="L60" s="173"/>
    </row>
    <row r="61" spans="1:12" x14ac:dyDescent="0.25"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74"/>
    </row>
    <row r="62" spans="1:12" x14ac:dyDescent="0.25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74"/>
    </row>
    <row r="63" spans="1:12" x14ac:dyDescent="0.25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74"/>
    </row>
    <row r="64" spans="1:12" x14ac:dyDescent="0.25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74"/>
    </row>
    <row r="65" spans="2:12" x14ac:dyDescent="0.25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74"/>
    </row>
    <row r="66" spans="2:12" x14ac:dyDescent="0.25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74"/>
    </row>
    <row r="67" spans="2:12" x14ac:dyDescent="0.25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74"/>
    </row>
    <row r="68" spans="2:12" x14ac:dyDescent="0.25"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74"/>
    </row>
    <row r="69" spans="2:12" x14ac:dyDescent="0.25"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74"/>
    </row>
    <row r="70" spans="2:12" x14ac:dyDescent="0.25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74"/>
    </row>
    <row r="71" spans="2:12" x14ac:dyDescent="0.25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74"/>
    </row>
    <row r="72" spans="2:12" x14ac:dyDescent="0.25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74"/>
    </row>
    <row r="73" spans="2:12" x14ac:dyDescent="0.25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74"/>
    </row>
  </sheetData>
  <mergeCells count="14">
    <mergeCell ref="A1:L3"/>
    <mergeCell ref="A4:A6"/>
    <mergeCell ref="B4:B6"/>
    <mergeCell ref="C4:C6"/>
    <mergeCell ref="D4:E4"/>
    <mergeCell ref="F4:G4"/>
    <mergeCell ref="H4:I4"/>
    <mergeCell ref="J4:K4"/>
    <mergeCell ref="L4:L6"/>
    <mergeCell ref="D5:D6"/>
    <mergeCell ref="E5:E6"/>
    <mergeCell ref="G5:G6"/>
    <mergeCell ref="I5:I6"/>
    <mergeCell ref="K5:K6"/>
  </mergeCells>
  <pageMargins left="0.7" right="0.7" top="0.75" bottom="0.75" header="0.3" footer="0.3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2"/>
  <sheetViews>
    <sheetView view="pageBreakPreview" zoomScale="60" zoomScaleNormal="55" workbookViewId="0">
      <selection sqref="A1:XFD1048576"/>
    </sheetView>
  </sheetViews>
  <sheetFormatPr defaultRowHeight="15" x14ac:dyDescent="0.25"/>
  <cols>
    <col min="1" max="1" width="15.7109375" style="54" customWidth="1"/>
    <col min="2" max="2" width="105.7109375" style="54" customWidth="1"/>
    <col min="3" max="4" width="12.7109375" style="54" customWidth="1"/>
    <col min="5" max="6" width="15.7109375" style="54" customWidth="1"/>
    <col min="7" max="7" width="17.7109375" style="54" customWidth="1"/>
    <col min="8" max="8" width="15.7109375" style="54" customWidth="1"/>
    <col min="9" max="9" width="17.7109375" style="54" customWidth="1"/>
    <col min="10" max="10" width="15.7109375" style="54" customWidth="1"/>
    <col min="11" max="11" width="17.7109375" style="54" customWidth="1"/>
    <col min="12" max="12" width="21.28515625" style="175" bestFit="1" customWidth="1"/>
    <col min="13" max="16384" width="9.140625" style="54"/>
  </cols>
  <sheetData>
    <row r="1" spans="1:12" ht="15" customHeight="1" x14ac:dyDescent="0.25">
      <c r="A1" s="200" t="str">
        <f>'1-1'!A1</f>
        <v>ქალაქ ხონში ძიძიგურების უბანის 1480 მ-იანი მონაკვეთის რეაბილიტაციის სამშენებლო სამუშაოების ლოკალურ-რესურსული ხარჯთაღრიცხვა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5" customHeight="1" x14ac:dyDescent="0.25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15" customHeight="1" x14ac:dyDescent="0.25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39.950000000000003" customHeight="1" x14ac:dyDescent="0.25">
      <c r="A4" s="186" t="s">
        <v>0</v>
      </c>
      <c r="B4" s="186" t="s">
        <v>658</v>
      </c>
      <c r="C4" s="188" t="s">
        <v>2</v>
      </c>
      <c r="D4" s="182" t="s">
        <v>653</v>
      </c>
      <c r="E4" s="191"/>
      <c r="F4" s="186" t="s">
        <v>659</v>
      </c>
      <c r="G4" s="186"/>
      <c r="H4" s="186" t="s">
        <v>660</v>
      </c>
      <c r="I4" s="186"/>
      <c r="J4" s="187" t="s">
        <v>762</v>
      </c>
      <c r="K4" s="187"/>
      <c r="L4" s="192" t="s">
        <v>662</v>
      </c>
    </row>
    <row r="5" spans="1:12" ht="39.950000000000003" customHeight="1" x14ac:dyDescent="0.25">
      <c r="A5" s="186"/>
      <c r="B5" s="186"/>
      <c r="C5" s="189"/>
      <c r="D5" s="188" t="s">
        <v>664</v>
      </c>
      <c r="E5" s="187" t="s">
        <v>665</v>
      </c>
      <c r="F5" s="178" t="s">
        <v>664</v>
      </c>
      <c r="G5" s="195" t="s">
        <v>666</v>
      </c>
      <c r="H5" s="178" t="s">
        <v>664</v>
      </c>
      <c r="I5" s="195" t="s">
        <v>666</v>
      </c>
      <c r="J5" s="178" t="s">
        <v>664</v>
      </c>
      <c r="K5" s="195" t="s">
        <v>666</v>
      </c>
      <c r="L5" s="193"/>
    </row>
    <row r="6" spans="1:12" ht="39.950000000000003" customHeight="1" x14ac:dyDescent="0.25">
      <c r="A6" s="186"/>
      <c r="B6" s="186"/>
      <c r="C6" s="190"/>
      <c r="D6" s="190"/>
      <c r="E6" s="187"/>
      <c r="F6" s="178" t="s">
        <v>667</v>
      </c>
      <c r="G6" s="196"/>
      <c r="H6" s="178" t="s">
        <v>667</v>
      </c>
      <c r="I6" s="196"/>
      <c r="J6" s="178" t="s">
        <v>667</v>
      </c>
      <c r="K6" s="196"/>
      <c r="L6" s="194"/>
    </row>
    <row r="7" spans="1:12" ht="39.950000000000003" customHeight="1" x14ac:dyDescent="0.25">
      <c r="A7" s="178">
        <v>1</v>
      </c>
      <c r="B7" s="178">
        <v>3</v>
      </c>
      <c r="C7" s="178">
        <v>4</v>
      </c>
      <c r="D7" s="178">
        <v>5</v>
      </c>
      <c r="E7" s="178">
        <v>6</v>
      </c>
      <c r="F7" s="178">
        <v>7</v>
      </c>
      <c r="G7" s="178">
        <v>8</v>
      </c>
      <c r="H7" s="178">
        <v>9</v>
      </c>
      <c r="I7" s="178">
        <v>10</v>
      </c>
      <c r="J7" s="178">
        <v>11</v>
      </c>
      <c r="K7" s="178">
        <v>12</v>
      </c>
      <c r="L7" s="178">
        <v>13</v>
      </c>
    </row>
    <row r="8" spans="1:12" ht="80.099999999999994" customHeight="1" x14ac:dyDescent="0.25">
      <c r="A8" s="178"/>
      <c r="B8" s="179" t="s">
        <v>768</v>
      </c>
      <c r="C8" s="16"/>
      <c r="D8" s="16"/>
      <c r="E8" s="16"/>
      <c r="F8" s="16"/>
      <c r="G8" s="16"/>
      <c r="H8" s="16"/>
      <c r="I8" s="16"/>
      <c r="J8" s="16"/>
      <c r="K8" s="16"/>
      <c r="L8" s="149"/>
    </row>
    <row r="9" spans="1:12" s="160" customFormat="1" ht="39.950000000000003" customHeight="1" x14ac:dyDescent="0.25">
      <c r="A9" s="39">
        <v>1.1000000000000001</v>
      </c>
      <c r="B9" s="83" t="s">
        <v>780</v>
      </c>
      <c r="C9" s="178" t="s">
        <v>712</v>
      </c>
      <c r="D9" s="178"/>
      <c r="E9" s="168">
        <v>814</v>
      </c>
      <c r="F9" s="163"/>
      <c r="G9" s="163"/>
      <c r="H9" s="163"/>
      <c r="I9" s="163"/>
      <c r="J9" s="163"/>
      <c r="K9" s="164"/>
      <c r="L9" s="152"/>
    </row>
    <row r="10" spans="1:12" ht="39.950000000000003" customHeight="1" x14ac:dyDescent="0.25">
      <c r="A10" s="16" t="s">
        <v>668</v>
      </c>
      <c r="B10" s="165" t="s">
        <v>669</v>
      </c>
      <c r="C10" s="16" t="s">
        <v>670</v>
      </c>
      <c r="D10" s="16">
        <v>15</v>
      </c>
      <c r="E10" s="149">
        <f>D10*E9/100</f>
        <v>122.1</v>
      </c>
      <c r="F10" s="166"/>
      <c r="G10" s="166"/>
      <c r="H10" s="167"/>
      <c r="I10" s="149"/>
      <c r="J10" s="166"/>
      <c r="K10" s="162"/>
      <c r="L10" s="149"/>
    </row>
    <row r="11" spans="1:12" ht="39.950000000000003" customHeight="1" x14ac:dyDescent="0.25">
      <c r="A11" s="16" t="s">
        <v>671</v>
      </c>
      <c r="B11" s="16" t="s">
        <v>241</v>
      </c>
      <c r="C11" s="16" t="s">
        <v>672</v>
      </c>
      <c r="D11" s="16">
        <v>2.16</v>
      </c>
      <c r="E11" s="149">
        <f>D11*E9/100</f>
        <v>17.5824</v>
      </c>
      <c r="F11" s="166"/>
      <c r="G11" s="166"/>
      <c r="H11" s="166"/>
      <c r="I11" s="166"/>
      <c r="J11" s="161"/>
      <c r="K11" s="162"/>
      <c r="L11" s="149"/>
    </row>
    <row r="12" spans="1:12" ht="39.950000000000003" customHeight="1" x14ac:dyDescent="0.25">
      <c r="A12" s="16" t="s">
        <v>673</v>
      </c>
      <c r="B12" s="16" t="s">
        <v>263</v>
      </c>
      <c r="C12" s="16" t="s">
        <v>672</v>
      </c>
      <c r="D12" s="16">
        <v>2.73</v>
      </c>
      <c r="E12" s="149">
        <f>D12*E9/100</f>
        <v>22.222199999999997</v>
      </c>
      <c r="F12" s="166"/>
      <c r="G12" s="166"/>
      <c r="H12" s="166"/>
      <c r="I12" s="166"/>
      <c r="J12" s="162"/>
      <c r="K12" s="162"/>
      <c r="L12" s="149"/>
    </row>
    <row r="13" spans="1:12" ht="39.950000000000003" customHeight="1" x14ac:dyDescent="0.25">
      <c r="A13" s="16" t="s">
        <v>675</v>
      </c>
      <c r="B13" s="16" t="s">
        <v>266</v>
      </c>
      <c r="C13" s="16" t="s">
        <v>672</v>
      </c>
      <c r="D13" s="16">
        <v>0.97</v>
      </c>
      <c r="E13" s="149">
        <f>D13*E9/100</f>
        <v>7.8957999999999995</v>
      </c>
      <c r="F13" s="166"/>
      <c r="G13" s="166"/>
      <c r="H13" s="166"/>
      <c r="I13" s="166"/>
      <c r="J13" s="162"/>
      <c r="K13" s="162"/>
      <c r="L13" s="149"/>
    </row>
    <row r="14" spans="1:12" ht="39.950000000000003" customHeight="1" x14ac:dyDescent="0.25">
      <c r="A14" s="16" t="s">
        <v>695</v>
      </c>
      <c r="B14" s="165" t="s">
        <v>693</v>
      </c>
      <c r="C14" s="16" t="s">
        <v>674</v>
      </c>
      <c r="D14" s="16">
        <v>7</v>
      </c>
      <c r="E14" s="149">
        <f>D14*E9/100</f>
        <v>56.98</v>
      </c>
      <c r="F14" s="162"/>
      <c r="G14" s="149"/>
      <c r="H14" s="166"/>
      <c r="I14" s="166"/>
      <c r="J14" s="162"/>
      <c r="K14" s="162"/>
      <c r="L14" s="149"/>
    </row>
    <row r="15" spans="1:12" ht="39.950000000000003" customHeight="1" x14ac:dyDescent="0.25">
      <c r="A15" s="16" t="s">
        <v>696</v>
      </c>
      <c r="B15" s="16" t="s">
        <v>331</v>
      </c>
      <c r="C15" s="16" t="s">
        <v>674</v>
      </c>
      <c r="D15" s="16">
        <v>122</v>
      </c>
      <c r="E15" s="149">
        <f>D15*E9/100</f>
        <v>993.08</v>
      </c>
      <c r="F15" s="162"/>
      <c r="G15" s="149"/>
      <c r="H15" s="166"/>
      <c r="I15" s="166"/>
      <c r="J15" s="162"/>
      <c r="K15" s="162"/>
      <c r="L15" s="149"/>
    </row>
    <row r="16" spans="1:12" s="160" customFormat="1" ht="46.9" customHeight="1" x14ac:dyDescent="0.25">
      <c r="A16" s="39">
        <v>1.2</v>
      </c>
      <c r="B16" s="83" t="s">
        <v>1356</v>
      </c>
      <c r="C16" s="178" t="s">
        <v>711</v>
      </c>
      <c r="D16" s="178"/>
      <c r="E16" s="159">
        <v>7252</v>
      </c>
      <c r="F16" s="163"/>
      <c r="G16" s="163"/>
      <c r="H16" s="163"/>
      <c r="I16" s="163"/>
      <c r="J16" s="163"/>
      <c r="K16" s="164"/>
      <c r="L16" s="152"/>
    </row>
    <row r="17" spans="1:12" ht="39.950000000000003" customHeight="1" x14ac:dyDescent="0.25">
      <c r="A17" s="16" t="s">
        <v>697</v>
      </c>
      <c r="B17" s="165" t="s">
        <v>669</v>
      </c>
      <c r="C17" s="16" t="s">
        <v>670</v>
      </c>
      <c r="D17" s="16">
        <f>IF(MID(RIGHT(B16,6),1,2)&gt;"18",33+28.6,33)</f>
        <v>33</v>
      </c>
      <c r="E17" s="149">
        <f>D17*E16/1000</f>
        <v>239.316</v>
      </c>
      <c r="F17" s="166"/>
      <c r="G17" s="166"/>
      <c r="H17" s="167"/>
      <c r="I17" s="149"/>
      <c r="J17" s="166"/>
      <c r="K17" s="162"/>
      <c r="L17" s="149"/>
    </row>
    <row r="18" spans="1:12" ht="39.950000000000003" customHeight="1" x14ac:dyDescent="0.25">
      <c r="A18" s="16" t="s">
        <v>698</v>
      </c>
      <c r="B18" s="16" t="s">
        <v>241</v>
      </c>
      <c r="C18" s="16" t="s">
        <v>672</v>
      </c>
      <c r="D18" s="16">
        <f>IF(MID(RIGHT(B16,6),1,2)&gt;"18",1.91+0.42,1.91)</f>
        <v>1.91</v>
      </c>
      <c r="E18" s="149">
        <f>D18*E16/1000</f>
        <v>13.851319999999999</v>
      </c>
      <c r="F18" s="166"/>
      <c r="G18" s="166"/>
      <c r="H18" s="166"/>
      <c r="I18" s="166"/>
      <c r="J18" s="161"/>
      <c r="K18" s="162"/>
      <c r="L18" s="149"/>
    </row>
    <row r="19" spans="1:12" ht="39.950000000000003" customHeight="1" x14ac:dyDescent="0.25">
      <c r="A19" s="16" t="s">
        <v>699</v>
      </c>
      <c r="B19" s="16" t="s">
        <v>235</v>
      </c>
      <c r="C19" s="16" t="s">
        <v>672</v>
      </c>
      <c r="D19" s="16">
        <v>2.58</v>
      </c>
      <c r="E19" s="149">
        <f>D19*E16/1000</f>
        <v>18.710159999999998</v>
      </c>
      <c r="F19" s="166"/>
      <c r="G19" s="166"/>
      <c r="H19" s="166"/>
      <c r="I19" s="166"/>
      <c r="J19" s="161"/>
      <c r="K19" s="162"/>
      <c r="L19" s="149"/>
    </row>
    <row r="20" spans="1:12" ht="39.950000000000003" customHeight="1" x14ac:dyDescent="0.25">
      <c r="A20" s="16" t="s">
        <v>700</v>
      </c>
      <c r="B20" s="16" t="s">
        <v>259</v>
      </c>
      <c r="C20" s="16" t="s">
        <v>672</v>
      </c>
      <c r="D20" s="16">
        <f>IF(MID(RIGHT(B16,6),1,2)&gt;"18",11.2+7.6,11.2)</f>
        <v>11.2</v>
      </c>
      <c r="E20" s="149">
        <f>D20*E16/1000</f>
        <v>81.222399999999993</v>
      </c>
      <c r="F20" s="166"/>
      <c r="G20" s="166"/>
      <c r="H20" s="166"/>
      <c r="I20" s="166"/>
      <c r="J20" s="161"/>
      <c r="K20" s="162"/>
      <c r="L20" s="149"/>
    </row>
    <row r="21" spans="1:12" ht="39.950000000000003" customHeight="1" x14ac:dyDescent="0.25">
      <c r="A21" s="16" t="s">
        <v>701</v>
      </c>
      <c r="B21" s="16" t="s">
        <v>260</v>
      </c>
      <c r="C21" s="16" t="s">
        <v>672</v>
      </c>
      <c r="D21" s="16">
        <f>IF(MID(RIGHT(B16,6),1,2)&gt;"18",24.8+15.1,24.8)</f>
        <v>24.8</v>
      </c>
      <c r="E21" s="149">
        <f>D21*E16/1000</f>
        <v>179.84960000000001</v>
      </c>
      <c r="F21" s="166"/>
      <c r="G21" s="166"/>
      <c r="H21" s="166"/>
      <c r="I21" s="166"/>
      <c r="J21" s="161"/>
      <c r="K21" s="162"/>
      <c r="L21" s="149"/>
    </row>
    <row r="22" spans="1:12" ht="39.950000000000003" customHeight="1" x14ac:dyDescent="0.25">
      <c r="A22" s="16" t="s">
        <v>702</v>
      </c>
      <c r="B22" s="16" t="s">
        <v>267</v>
      </c>
      <c r="C22" s="16" t="s">
        <v>672</v>
      </c>
      <c r="D22" s="16">
        <v>0.53</v>
      </c>
      <c r="E22" s="149">
        <f>D22*E16/1000</f>
        <v>3.8435600000000005</v>
      </c>
      <c r="F22" s="166"/>
      <c r="G22" s="166"/>
      <c r="H22" s="166"/>
      <c r="I22" s="166"/>
      <c r="J22" s="161"/>
      <c r="K22" s="162"/>
      <c r="L22" s="149"/>
    </row>
    <row r="23" spans="1:12" ht="39.950000000000003" customHeight="1" x14ac:dyDescent="0.25">
      <c r="A23" s="16" t="s">
        <v>703</v>
      </c>
      <c r="B23" s="16" t="s">
        <v>266</v>
      </c>
      <c r="C23" s="16" t="s">
        <v>672</v>
      </c>
      <c r="D23" s="16">
        <f>IF(MID(RIGHT(B16,6),1,2)&gt;"18",4.14+2.76,4.14)</f>
        <v>4.1399999999999997</v>
      </c>
      <c r="E23" s="149">
        <f>D23*E16/1000</f>
        <v>30.02328</v>
      </c>
      <c r="F23" s="166"/>
      <c r="G23" s="166"/>
      <c r="H23" s="166"/>
      <c r="I23" s="166"/>
      <c r="J23" s="161"/>
      <c r="K23" s="162"/>
      <c r="L23" s="149"/>
    </row>
    <row r="24" spans="1:12" ht="39.950000000000003" customHeight="1" x14ac:dyDescent="0.25">
      <c r="A24" s="16" t="s">
        <v>704</v>
      </c>
      <c r="B24" s="165" t="s">
        <v>693</v>
      </c>
      <c r="C24" s="16" t="s">
        <v>674</v>
      </c>
      <c r="D24" s="16">
        <f>IF(MID(RIGHT(B16,6),1,2)&gt;"18",30+20,30)</f>
        <v>30</v>
      </c>
      <c r="E24" s="149">
        <f>D24*E16/1000</f>
        <v>217.56</v>
      </c>
      <c r="F24" s="162"/>
      <c r="G24" s="149"/>
      <c r="H24" s="166"/>
      <c r="I24" s="166"/>
      <c r="J24" s="161"/>
      <c r="K24" s="162"/>
      <c r="L24" s="149"/>
    </row>
    <row r="25" spans="1:12" ht="39.950000000000003" customHeight="1" x14ac:dyDescent="0.25">
      <c r="A25" s="16" t="s">
        <v>705</v>
      </c>
      <c r="B25" s="16" t="s">
        <v>1355</v>
      </c>
      <c r="C25" s="16" t="s">
        <v>674</v>
      </c>
      <c r="D25" s="165">
        <f>189-12.6*5</f>
        <v>126</v>
      </c>
      <c r="E25" s="149">
        <f>D25*E16/1000</f>
        <v>913.75199999999995</v>
      </c>
      <c r="F25" s="271"/>
      <c r="G25" s="149"/>
      <c r="H25" s="166"/>
      <c r="I25" s="166"/>
      <c r="J25" s="161"/>
      <c r="K25" s="162"/>
      <c r="L25" s="149"/>
    </row>
    <row r="26" spans="1:12" s="160" customFormat="1" ht="39.950000000000003" customHeight="1" x14ac:dyDescent="0.25">
      <c r="A26" s="39">
        <v>1.3</v>
      </c>
      <c r="B26" s="83" t="s">
        <v>707</v>
      </c>
      <c r="C26" s="178" t="s">
        <v>9</v>
      </c>
      <c r="D26" s="178"/>
      <c r="E26" s="152">
        <v>4</v>
      </c>
      <c r="F26" s="163"/>
      <c r="G26" s="163"/>
      <c r="H26" s="163"/>
      <c r="I26" s="163"/>
      <c r="J26" s="163"/>
      <c r="K26" s="163"/>
      <c r="L26" s="152"/>
    </row>
    <row r="27" spans="1:12" ht="39.950000000000003" customHeight="1" x14ac:dyDescent="0.25">
      <c r="A27" s="16" t="s">
        <v>709</v>
      </c>
      <c r="B27" s="165" t="s">
        <v>239</v>
      </c>
      <c r="C27" s="16" t="s">
        <v>672</v>
      </c>
      <c r="D27" s="16">
        <v>0.3</v>
      </c>
      <c r="E27" s="166">
        <f>ROUND(D27*E26,1)</f>
        <v>1.2</v>
      </c>
      <c r="F27" s="166"/>
      <c r="G27" s="166"/>
      <c r="H27" s="166"/>
      <c r="I27" s="166"/>
      <c r="J27" s="161"/>
      <c r="K27" s="149"/>
      <c r="L27" s="149"/>
    </row>
    <row r="28" spans="1:12" ht="39.950000000000003" customHeight="1" x14ac:dyDescent="0.25">
      <c r="A28" s="16" t="s">
        <v>710</v>
      </c>
      <c r="B28" s="16" t="s">
        <v>452</v>
      </c>
      <c r="C28" s="16" t="s">
        <v>9</v>
      </c>
      <c r="D28" s="16">
        <v>1.03</v>
      </c>
      <c r="E28" s="149">
        <f>ROUND(D28*E26,2)</f>
        <v>4.12</v>
      </c>
      <c r="F28" s="162"/>
      <c r="G28" s="149"/>
      <c r="H28" s="166"/>
      <c r="I28" s="166"/>
      <c r="J28" s="161"/>
      <c r="K28" s="149"/>
      <c r="L28" s="149"/>
    </row>
    <row r="29" spans="1:12" s="160" customFormat="1" ht="39.950000000000003" customHeight="1" x14ac:dyDescent="0.25">
      <c r="A29" s="39">
        <v>1.4</v>
      </c>
      <c r="B29" s="83" t="s">
        <v>1042</v>
      </c>
      <c r="C29" s="178" t="s">
        <v>721</v>
      </c>
      <c r="D29" s="178"/>
      <c r="E29" s="159">
        <v>6660</v>
      </c>
      <c r="F29" s="163"/>
      <c r="G29" s="163"/>
      <c r="H29" s="163"/>
      <c r="I29" s="163"/>
      <c r="J29" s="163"/>
      <c r="K29" s="163"/>
      <c r="L29" s="152"/>
    </row>
    <row r="30" spans="1:12" ht="39.950000000000003" customHeight="1" x14ac:dyDescent="0.25">
      <c r="A30" s="16" t="s">
        <v>714</v>
      </c>
      <c r="B30" s="165" t="s">
        <v>669</v>
      </c>
      <c r="C30" s="16" t="s">
        <v>670</v>
      </c>
      <c r="D30" s="16">
        <f>IF(MID(RIGHT(B29,5),1,1)&gt;"4",(37.5+((MID(RIGHT(B29,5),1,1)-4)*2*0.07)),"37.5")</f>
        <v>37.64</v>
      </c>
      <c r="E30" s="149">
        <f>D30*E29/1000</f>
        <v>250.6824</v>
      </c>
      <c r="F30" s="166"/>
      <c r="G30" s="166"/>
      <c r="H30" s="167"/>
      <c r="I30" s="149"/>
      <c r="J30" s="166"/>
      <c r="K30" s="166"/>
      <c r="L30" s="149"/>
    </row>
    <row r="31" spans="1:12" ht="39.950000000000003" customHeight="1" x14ac:dyDescent="0.25">
      <c r="A31" s="16" t="s">
        <v>715</v>
      </c>
      <c r="B31" s="16" t="s">
        <v>269</v>
      </c>
      <c r="C31" s="16" t="s">
        <v>672</v>
      </c>
      <c r="D31" s="16">
        <v>3.02</v>
      </c>
      <c r="E31" s="149">
        <f>D31*E29/1000</f>
        <v>20.113199999999999</v>
      </c>
      <c r="F31" s="166"/>
      <c r="G31" s="166"/>
      <c r="H31" s="166"/>
      <c r="I31" s="166"/>
      <c r="J31" s="161"/>
      <c r="K31" s="149"/>
      <c r="L31" s="149"/>
    </row>
    <row r="32" spans="1:12" ht="39.950000000000003" customHeight="1" x14ac:dyDescent="0.25">
      <c r="A32" s="16" t="s">
        <v>716</v>
      </c>
      <c r="B32" s="16" t="s">
        <v>259</v>
      </c>
      <c r="C32" s="16" t="s">
        <v>672</v>
      </c>
      <c r="D32" s="16">
        <v>3.7</v>
      </c>
      <c r="E32" s="149">
        <f>D32*E29/1000</f>
        <v>24.641999999999999</v>
      </c>
      <c r="F32" s="166"/>
      <c r="G32" s="166"/>
      <c r="H32" s="166"/>
      <c r="I32" s="166"/>
      <c r="J32" s="161"/>
      <c r="K32" s="149"/>
      <c r="L32" s="149"/>
    </row>
    <row r="33" spans="1:12" ht="39.950000000000003" customHeight="1" x14ac:dyDescent="0.25">
      <c r="A33" s="16" t="s">
        <v>717</v>
      </c>
      <c r="B33" s="16" t="s">
        <v>260</v>
      </c>
      <c r="C33" s="16" t="s">
        <v>672</v>
      </c>
      <c r="D33" s="16">
        <v>11.1</v>
      </c>
      <c r="E33" s="149">
        <f>D33*E29/1000</f>
        <v>73.926000000000002</v>
      </c>
      <c r="F33" s="166"/>
      <c r="G33" s="166"/>
      <c r="H33" s="166"/>
      <c r="I33" s="166"/>
      <c r="J33" s="161"/>
      <c r="K33" s="149"/>
      <c r="L33" s="149"/>
    </row>
    <row r="34" spans="1:12" ht="39.950000000000003" customHeight="1" x14ac:dyDescent="0.25">
      <c r="A34" s="16" t="s">
        <v>718</v>
      </c>
      <c r="B34" s="165" t="s">
        <v>654</v>
      </c>
      <c r="C34" s="16" t="s">
        <v>393</v>
      </c>
      <c r="D34" s="16">
        <v>2.2999999999999998</v>
      </c>
      <c r="E34" s="149">
        <f>D34*E29/1000</f>
        <v>15.317999999999998</v>
      </c>
      <c r="F34" s="166"/>
      <c r="G34" s="166"/>
      <c r="H34" s="166"/>
      <c r="I34" s="166"/>
      <c r="J34" s="161"/>
      <c r="K34" s="149"/>
      <c r="L34" s="149"/>
    </row>
    <row r="35" spans="1:12" ht="39.950000000000003" customHeight="1" x14ac:dyDescent="0.25">
      <c r="A35" s="16" t="s">
        <v>719</v>
      </c>
      <c r="B35" s="16" t="s">
        <v>441</v>
      </c>
      <c r="C35" s="16" t="s">
        <v>9</v>
      </c>
      <c r="D35" s="16">
        <f>IF(MID(RIGHT(B29,5),1,1)&gt;"4",(97.4+((MID(RIGHT(B29,5),1,1)-4)*2*12.1)),IF(MID(RIGHT(B29,5),1,1)="4","97.4",IF(MID(RIGHT(B29,5),1,1)&lt;"4",(97.4-((4-MID(RIGHT(B29,5),1,1))*2*12.1)))))</f>
        <v>121.60000000000001</v>
      </c>
      <c r="E35" s="149">
        <f>D35*E29/1000</f>
        <v>809.85599999999999</v>
      </c>
      <c r="F35" s="162"/>
      <c r="G35" s="149"/>
      <c r="H35" s="166"/>
      <c r="I35" s="166"/>
      <c r="J35" s="161"/>
      <c r="K35" s="149"/>
      <c r="L35" s="149"/>
    </row>
    <row r="36" spans="1:12" ht="39.950000000000003" customHeight="1" x14ac:dyDescent="0.25">
      <c r="A36" s="16" t="s">
        <v>720</v>
      </c>
      <c r="B36" s="165" t="s">
        <v>677</v>
      </c>
      <c r="C36" s="16" t="s">
        <v>393</v>
      </c>
      <c r="D36" s="16">
        <f>IF(MID(RIGHT(B29,5),1,1)&gt;"4",(14.5+((MID(RIGHT(B29,5),1,1)-4)*2*0.2)),"14.5")</f>
        <v>14.9</v>
      </c>
      <c r="E36" s="149">
        <f>D36*E29/1000</f>
        <v>99.233999999999995</v>
      </c>
      <c r="F36" s="162"/>
      <c r="G36" s="149"/>
      <c r="H36" s="166"/>
      <c r="I36" s="166"/>
      <c r="J36" s="161"/>
      <c r="K36" s="149"/>
      <c r="L36" s="149"/>
    </row>
    <row r="37" spans="1:12" s="160" customFormat="1" ht="39.950000000000003" customHeight="1" x14ac:dyDescent="0.25">
      <c r="A37" s="39">
        <v>1.5</v>
      </c>
      <c r="B37" s="83" t="s">
        <v>732</v>
      </c>
      <c r="C37" s="178" t="s">
        <v>712</v>
      </c>
      <c r="D37" s="178"/>
      <c r="E37" s="168">
        <f>1240*0.15</f>
        <v>186</v>
      </c>
      <c r="F37" s="163"/>
      <c r="G37" s="163"/>
      <c r="H37" s="163"/>
      <c r="I37" s="163"/>
      <c r="J37" s="161"/>
      <c r="K37" s="163"/>
      <c r="L37" s="152"/>
    </row>
    <row r="38" spans="1:12" ht="39.950000000000003" customHeight="1" x14ac:dyDescent="0.25">
      <c r="A38" s="16" t="s">
        <v>726</v>
      </c>
      <c r="B38" s="165" t="s">
        <v>669</v>
      </c>
      <c r="C38" s="16" t="s">
        <v>670</v>
      </c>
      <c r="D38" s="16">
        <v>15</v>
      </c>
      <c r="E38" s="149">
        <f>D38*E37/100</f>
        <v>27.9</v>
      </c>
      <c r="F38" s="166"/>
      <c r="G38" s="166"/>
      <c r="H38" s="167"/>
      <c r="I38" s="149"/>
      <c r="J38" s="161"/>
      <c r="K38" s="166"/>
      <c r="L38" s="149"/>
    </row>
    <row r="39" spans="1:12" ht="39.950000000000003" customHeight="1" x14ac:dyDescent="0.25">
      <c r="A39" s="16" t="s">
        <v>727</v>
      </c>
      <c r="B39" s="165" t="s">
        <v>241</v>
      </c>
      <c r="C39" s="16" t="s">
        <v>672</v>
      </c>
      <c r="D39" s="16">
        <v>2.16</v>
      </c>
      <c r="E39" s="149">
        <f>D39*E37/100</f>
        <v>4.0176000000000007</v>
      </c>
      <c r="F39" s="166"/>
      <c r="G39" s="166"/>
      <c r="H39" s="166"/>
      <c r="I39" s="166"/>
      <c r="J39" s="161"/>
      <c r="K39" s="149"/>
      <c r="L39" s="149"/>
    </row>
    <row r="40" spans="1:12" ht="39.950000000000003" customHeight="1" x14ac:dyDescent="0.25">
      <c r="A40" s="16" t="s">
        <v>728</v>
      </c>
      <c r="B40" s="16" t="s">
        <v>263</v>
      </c>
      <c r="C40" s="16" t="s">
        <v>672</v>
      </c>
      <c r="D40" s="16">
        <v>2.73</v>
      </c>
      <c r="E40" s="149">
        <f>D40*E37/100</f>
        <v>5.0777999999999999</v>
      </c>
      <c r="F40" s="166"/>
      <c r="G40" s="166"/>
      <c r="H40" s="166"/>
      <c r="I40" s="166"/>
      <c r="J40" s="161"/>
      <c r="K40" s="149"/>
      <c r="L40" s="149"/>
    </row>
    <row r="41" spans="1:12" ht="39.950000000000003" customHeight="1" x14ac:dyDescent="0.25">
      <c r="A41" s="16" t="s">
        <v>729</v>
      </c>
      <c r="B41" s="165" t="s">
        <v>266</v>
      </c>
      <c r="C41" s="16" t="s">
        <v>672</v>
      </c>
      <c r="D41" s="16">
        <v>0.97</v>
      </c>
      <c r="E41" s="149">
        <f>D41*E37/100</f>
        <v>1.8041999999999998</v>
      </c>
      <c r="F41" s="166"/>
      <c r="G41" s="166"/>
      <c r="H41" s="166"/>
      <c r="I41" s="166"/>
      <c r="J41" s="161"/>
      <c r="K41" s="149"/>
      <c r="L41" s="149"/>
    </row>
    <row r="42" spans="1:12" ht="39.950000000000003" customHeight="1" x14ac:dyDescent="0.25">
      <c r="A42" s="16" t="s">
        <v>730</v>
      </c>
      <c r="B42" s="165" t="s">
        <v>693</v>
      </c>
      <c r="C42" s="16" t="s">
        <v>674</v>
      </c>
      <c r="D42" s="16">
        <v>7</v>
      </c>
      <c r="E42" s="149">
        <f>D42*E37/100</f>
        <v>13.02</v>
      </c>
      <c r="F42" s="162"/>
      <c r="G42" s="149"/>
      <c r="H42" s="166"/>
      <c r="I42" s="166"/>
      <c r="J42" s="161"/>
      <c r="K42" s="166"/>
      <c r="L42" s="149"/>
    </row>
    <row r="43" spans="1:12" ht="39.950000000000003" customHeight="1" x14ac:dyDescent="0.25">
      <c r="A43" s="16" t="s">
        <v>731</v>
      </c>
      <c r="B43" s="16" t="s">
        <v>331</v>
      </c>
      <c r="C43" s="16" t="s">
        <v>674</v>
      </c>
      <c r="D43" s="16">
        <v>122</v>
      </c>
      <c r="E43" s="149">
        <f>D43*E37/100</f>
        <v>226.92</v>
      </c>
      <c r="F43" s="162"/>
      <c r="G43" s="149"/>
      <c r="H43" s="166"/>
      <c r="I43" s="166"/>
      <c r="J43" s="161"/>
      <c r="K43" s="149"/>
      <c r="L43" s="149"/>
    </row>
    <row r="44" spans="1:12" ht="39.950000000000003" customHeight="1" x14ac:dyDescent="0.25">
      <c r="A44" s="150"/>
      <c r="B44" s="178" t="s">
        <v>759</v>
      </c>
      <c r="C44" s="16"/>
      <c r="D44" s="16"/>
      <c r="E44" s="16"/>
      <c r="F44" s="16"/>
      <c r="G44" s="149"/>
      <c r="H44" s="149"/>
      <c r="I44" s="149"/>
      <c r="J44" s="166"/>
      <c r="K44" s="149"/>
      <c r="L44" s="149"/>
    </row>
    <row r="45" spans="1:12" ht="39.950000000000003" customHeight="1" x14ac:dyDescent="0.25">
      <c r="A45" s="150"/>
      <c r="B45" s="178" t="s">
        <v>766</v>
      </c>
      <c r="C45" s="172" t="s">
        <v>750</v>
      </c>
      <c r="D45" s="172"/>
      <c r="E45" s="178">
        <v>10</v>
      </c>
      <c r="F45" s="16"/>
      <c r="G45" s="16"/>
      <c r="H45" s="16"/>
      <c r="I45" s="16"/>
      <c r="J45" s="16"/>
      <c r="K45" s="16"/>
      <c r="L45" s="149"/>
    </row>
    <row r="46" spans="1:12" ht="39.950000000000003" customHeight="1" x14ac:dyDescent="0.25">
      <c r="A46" s="150"/>
      <c r="B46" s="178" t="s">
        <v>759</v>
      </c>
      <c r="C46" s="178"/>
      <c r="D46" s="178"/>
      <c r="E46" s="178"/>
      <c r="F46" s="16"/>
      <c r="G46" s="166"/>
      <c r="H46" s="16"/>
      <c r="I46" s="166"/>
      <c r="J46" s="16"/>
      <c r="K46" s="166"/>
      <c r="L46" s="149"/>
    </row>
    <row r="47" spans="1:12" ht="39.950000000000003" customHeight="1" x14ac:dyDescent="0.25">
      <c r="A47" s="150"/>
      <c r="B47" s="178" t="s">
        <v>767</v>
      </c>
      <c r="C47" s="172" t="s">
        <v>750</v>
      </c>
      <c r="D47" s="172"/>
      <c r="E47" s="178">
        <v>8</v>
      </c>
      <c r="F47" s="16"/>
      <c r="G47" s="16"/>
      <c r="H47" s="16"/>
      <c r="I47" s="16"/>
      <c r="J47" s="16"/>
      <c r="K47" s="16"/>
      <c r="L47" s="149"/>
    </row>
    <row r="48" spans="1:12" ht="39.950000000000003" customHeight="1" x14ac:dyDescent="0.25">
      <c r="A48" s="150"/>
      <c r="B48" s="178" t="s">
        <v>759</v>
      </c>
      <c r="C48" s="178"/>
      <c r="D48" s="178"/>
      <c r="E48" s="178"/>
      <c r="F48" s="16"/>
      <c r="G48" s="16"/>
      <c r="H48" s="16"/>
      <c r="I48" s="16"/>
      <c r="J48" s="16"/>
      <c r="K48" s="16"/>
      <c r="L48" s="149"/>
    </row>
    <row r="49" spans="1:12" ht="39.950000000000003" customHeight="1" x14ac:dyDescent="0.35">
      <c r="A49" s="153"/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6"/>
    </row>
    <row r="50" spans="1:12" ht="39.950000000000003" customHeight="1" x14ac:dyDescent="0.35">
      <c r="A50" s="153"/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156"/>
    </row>
    <row r="51" spans="1:12" ht="39.950000000000003" customHeight="1" x14ac:dyDescent="0.35">
      <c r="A51" s="153"/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6"/>
    </row>
    <row r="52" spans="1:12" ht="39.950000000000003" customHeight="1" x14ac:dyDescent="0.35">
      <c r="A52" s="153"/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6"/>
    </row>
    <row r="53" spans="1:12" ht="39.950000000000003" customHeight="1" x14ac:dyDescent="0.35">
      <c r="A53" s="153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6"/>
    </row>
    <row r="54" spans="1:12" ht="39.950000000000003" customHeight="1" x14ac:dyDescent="0.35">
      <c r="A54" s="153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6"/>
    </row>
    <row r="55" spans="1:12" ht="39.950000000000003" customHeight="1" x14ac:dyDescent="0.35">
      <c r="A55" s="153"/>
      <c r="B55" s="154"/>
      <c r="C55" s="155"/>
      <c r="D55" s="155"/>
      <c r="E55" s="155"/>
      <c r="F55" s="155"/>
      <c r="G55" s="155"/>
      <c r="H55" s="155"/>
      <c r="I55" s="155"/>
      <c r="J55" s="155"/>
      <c r="K55" s="155"/>
      <c r="L55" s="156"/>
    </row>
    <row r="56" spans="1:12" ht="39.950000000000003" customHeight="1" x14ac:dyDescent="0.35">
      <c r="A56" s="153"/>
      <c r="B56" s="154"/>
      <c r="C56" s="155"/>
      <c r="D56" s="155"/>
      <c r="E56" s="155"/>
      <c r="F56" s="155"/>
      <c r="G56" s="155"/>
      <c r="H56" s="155"/>
      <c r="I56" s="155"/>
      <c r="J56" s="155"/>
      <c r="K56" s="155"/>
      <c r="L56" s="156"/>
    </row>
    <row r="57" spans="1:12" ht="39.950000000000003" customHeight="1" x14ac:dyDescent="0.35">
      <c r="A57" s="153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6"/>
    </row>
    <row r="58" spans="1:12" ht="39.950000000000003" customHeight="1" x14ac:dyDescent="0.35">
      <c r="A58" s="153"/>
      <c r="B58" s="154"/>
      <c r="C58" s="155"/>
      <c r="D58" s="155"/>
      <c r="E58" s="155"/>
      <c r="F58" s="155"/>
      <c r="G58" s="155"/>
      <c r="H58" s="155"/>
      <c r="I58" s="155"/>
      <c r="J58" s="155"/>
      <c r="K58" s="155"/>
      <c r="L58" s="156"/>
    </row>
    <row r="59" spans="1:12" ht="39.950000000000003" customHeight="1" x14ac:dyDescent="0.35">
      <c r="A59" s="153"/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6"/>
    </row>
    <row r="60" spans="1:12" ht="39.950000000000003" customHeight="1" x14ac:dyDescent="0.35">
      <c r="A60" s="153"/>
      <c r="B60" s="154"/>
      <c r="C60" s="155"/>
      <c r="D60" s="155"/>
      <c r="E60" s="155"/>
      <c r="F60" s="155"/>
      <c r="G60" s="155"/>
      <c r="H60" s="155"/>
      <c r="I60" s="155"/>
      <c r="J60" s="155"/>
      <c r="K60" s="155"/>
      <c r="L60" s="156"/>
    </row>
    <row r="61" spans="1:12" ht="39.950000000000003" customHeight="1" x14ac:dyDescent="0.35">
      <c r="A61" s="153"/>
      <c r="B61" s="154"/>
      <c r="C61" s="155"/>
      <c r="D61" s="155"/>
      <c r="E61" s="155"/>
      <c r="F61" s="155"/>
      <c r="G61" s="155"/>
      <c r="H61" s="155"/>
      <c r="I61" s="155"/>
      <c r="J61" s="155"/>
      <c r="K61" s="155"/>
      <c r="L61" s="156"/>
    </row>
    <row r="62" spans="1:12" ht="39.950000000000003" customHeight="1" x14ac:dyDescent="0.35">
      <c r="A62" s="153"/>
      <c r="B62" s="154"/>
      <c r="C62" s="155"/>
      <c r="D62" s="155"/>
      <c r="E62" s="155"/>
      <c r="F62" s="155"/>
      <c r="G62" s="155"/>
      <c r="H62" s="155"/>
      <c r="I62" s="155"/>
      <c r="J62" s="155"/>
      <c r="K62" s="155"/>
      <c r="L62" s="156"/>
    </row>
    <row r="63" spans="1:12" ht="39.950000000000003" customHeight="1" x14ac:dyDescent="0.35">
      <c r="A63" s="153"/>
      <c r="B63" s="154"/>
      <c r="C63" s="155"/>
      <c r="D63" s="155"/>
      <c r="E63" s="155"/>
      <c r="F63" s="155"/>
      <c r="G63" s="155"/>
      <c r="H63" s="155"/>
      <c r="I63" s="155"/>
      <c r="J63" s="155"/>
      <c r="K63" s="155"/>
      <c r="L63" s="156"/>
    </row>
    <row r="64" spans="1:12" ht="39.950000000000003" customHeight="1" x14ac:dyDescent="0.35">
      <c r="A64" s="153"/>
      <c r="B64" s="154"/>
      <c r="C64" s="155"/>
      <c r="D64" s="155"/>
      <c r="E64" s="155"/>
      <c r="F64" s="155"/>
      <c r="G64" s="155"/>
      <c r="H64" s="155"/>
      <c r="I64" s="155"/>
      <c r="J64" s="155"/>
      <c r="K64" s="155"/>
      <c r="L64" s="156"/>
    </row>
    <row r="65" spans="1:12" ht="39.950000000000003" customHeight="1" x14ac:dyDescent="0.35">
      <c r="A65" s="153"/>
      <c r="B65" s="154"/>
      <c r="C65" s="155"/>
      <c r="D65" s="155"/>
      <c r="E65" s="155"/>
      <c r="F65" s="155"/>
      <c r="G65" s="155"/>
      <c r="H65" s="155"/>
      <c r="I65" s="155"/>
      <c r="J65" s="155"/>
      <c r="K65" s="155"/>
      <c r="L65" s="156"/>
    </row>
    <row r="66" spans="1:12" ht="39.950000000000003" customHeight="1" x14ac:dyDescent="0.35">
      <c r="A66" s="153"/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6"/>
    </row>
    <row r="67" spans="1:12" ht="39.950000000000003" customHeight="1" x14ac:dyDescent="0.35">
      <c r="A67" s="153"/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6"/>
    </row>
    <row r="68" spans="1:12" ht="39.950000000000003" customHeight="1" x14ac:dyDescent="0.35">
      <c r="A68" s="153"/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6"/>
    </row>
    <row r="69" spans="1:12" ht="39.950000000000003" customHeight="1" x14ac:dyDescent="0.35">
      <c r="A69" s="153"/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6"/>
    </row>
    <row r="70" spans="1:12" ht="39.950000000000003" customHeight="1" x14ac:dyDescent="0.35">
      <c r="A70" s="153"/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6"/>
    </row>
    <row r="71" spans="1:12" ht="39.950000000000003" customHeight="1" x14ac:dyDescent="0.35">
      <c r="A71" s="153"/>
      <c r="B71" s="154"/>
      <c r="C71" s="155"/>
      <c r="D71" s="155"/>
      <c r="E71" s="155"/>
      <c r="F71" s="155"/>
      <c r="G71" s="155"/>
      <c r="H71" s="155"/>
      <c r="I71" s="155"/>
      <c r="J71" s="155"/>
      <c r="K71" s="155"/>
      <c r="L71" s="156"/>
    </row>
    <row r="72" spans="1:12" ht="39.950000000000003" customHeight="1" x14ac:dyDescent="0.35">
      <c r="A72" s="153"/>
      <c r="B72" s="154"/>
      <c r="C72" s="155"/>
      <c r="D72" s="155"/>
      <c r="E72" s="155"/>
      <c r="F72" s="155"/>
      <c r="G72" s="155"/>
      <c r="H72" s="155"/>
      <c r="I72" s="155"/>
      <c r="J72" s="155"/>
      <c r="K72" s="155"/>
      <c r="L72" s="173"/>
    </row>
    <row r="73" spans="1:12" ht="39.950000000000003" customHeight="1" x14ac:dyDescent="0.35">
      <c r="A73" s="153"/>
      <c r="B73" s="154"/>
      <c r="C73" s="155"/>
      <c r="D73" s="155"/>
      <c r="E73" s="155"/>
      <c r="F73" s="155"/>
      <c r="G73" s="155"/>
      <c r="H73" s="155"/>
      <c r="I73" s="155"/>
      <c r="J73" s="155"/>
      <c r="K73" s="155"/>
      <c r="L73" s="173"/>
    </row>
    <row r="74" spans="1:12" ht="39.950000000000003" customHeight="1" x14ac:dyDescent="0.35">
      <c r="A74" s="153"/>
      <c r="B74" s="154"/>
      <c r="C74" s="155"/>
      <c r="D74" s="155"/>
      <c r="E74" s="155"/>
      <c r="F74" s="155"/>
      <c r="G74" s="155"/>
      <c r="H74" s="155"/>
      <c r="I74" s="155"/>
      <c r="J74" s="155"/>
      <c r="K74" s="155"/>
      <c r="L74" s="173"/>
    </row>
    <row r="75" spans="1:12" ht="39.950000000000003" customHeight="1" x14ac:dyDescent="0.35">
      <c r="A75" s="153"/>
      <c r="B75" s="154"/>
      <c r="C75" s="155"/>
      <c r="D75" s="155"/>
      <c r="E75" s="155"/>
      <c r="F75" s="155"/>
      <c r="G75" s="155"/>
      <c r="H75" s="155"/>
      <c r="I75" s="155"/>
      <c r="J75" s="155"/>
      <c r="K75" s="155"/>
      <c r="L75" s="173"/>
    </row>
    <row r="76" spans="1:12" ht="39.950000000000003" customHeight="1" x14ac:dyDescent="0.35">
      <c r="A76" s="153"/>
      <c r="B76" s="154"/>
      <c r="C76" s="155"/>
      <c r="D76" s="155"/>
      <c r="E76" s="155"/>
      <c r="F76" s="155"/>
      <c r="G76" s="155"/>
      <c r="H76" s="155"/>
      <c r="I76" s="155"/>
      <c r="J76" s="155"/>
      <c r="K76" s="155"/>
      <c r="L76" s="174"/>
    </row>
    <row r="77" spans="1:12" ht="39.950000000000003" customHeight="1" x14ac:dyDescent="0.35">
      <c r="A77" s="15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174"/>
    </row>
    <row r="78" spans="1:12" ht="39.950000000000003" customHeight="1" x14ac:dyDescent="0.35">
      <c r="A78" s="153"/>
      <c r="B78" s="154"/>
      <c r="C78" s="155"/>
      <c r="D78" s="155"/>
      <c r="E78" s="155"/>
      <c r="F78" s="155"/>
      <c r="G78" s="155"/>
      <c r="H78" s="155"/>
      <c r="I78" s="155"/>
      <c r="J78" s="155"/>
      <c r="K78" s="155"/>
      <c r="L78" s="174"/>
    </row>
    <row r="79" spans="1:12" ht="39.950000000000003" customHeight="1" x14ac:dyDescent="0.35">
      <c r="A79" s="153"/>
      <c r="B79" s="154"/>
      <c r="C79" s="155"/>
      <c r="D79" s="155"/>
      <c r="E79" s="155"/>
      <c r="F79" s="155"/>
      <c r="G79" s="155"/>
      <c r="H79" s="155"/>
      <c r="I79" s="155"/>
      <c r="J79" s="155"/>
      <c r="K79" s="155"/>
      <c r="L79" s="174"/>
    </row>
    <row r="80" spans="1:12" ht="39.950000000000003" customHeight="1" x14ac:dyDescent="0.35">
      <c r="A80" s="153"/>
      <c r="B80" s="154"/>
      <c r="C80" s="155"/>
      <c r="D80" s="155"/>
      <c r="E80" s="155"/>
      <c r="F80" s="155"/>
      <c r="G80" s="155"/>
      <c r="H80" s="155"/>
      <c r="I80" s="155"/>
      <c r="J80" s="155"/>
      <c r="K80" s="155"/>
      <c r="L80" s="174"/>
    </row>
    <row r="81" spans="1:12" ht="39.950000000000003" customHeight="1" x14ac:dyDescent="0.35">
      <c r="A81" s="153"/>
      <c r="B81" s="154"/>
      <c r="C81" s="155"/>
      <c r="D81" s="155"/>
      <c r="E81" s="155"/>
      <c r="F81" s="155"/>
      <c r="G81" s="155"/>
      <c r="H81" s="155"/>
      <c r="I81" s="155"/>
      <c r="J81" s="155"/>
      <c r="K81" s="155"/>
      <c r="L81" s="174"/>
    </row>
    <row r="82" spans="1:12" ht="39.950000000000003" customHeight="1" x14ac:dyDescent="0.35">
      <c r="A82" s="153"/>
      <c r="B82" s="154"/>
      <c r="C82" s="155"/>
      <c r="D82" s="155"/>
      <c r="E82" s="155"/>
      <c r="F82" s="155"/>
      <c r="G82" s="155"/>
      <c r="H82" s="155"/>
      <c r="I82" s="155"/>
      <c r="J82" s="155"/>
      <c r="K82" s="155"/>
      <c r="L82" s="174"/>
    </row>
    <row r="83" spans="1:12" ht="39.950000000000003" customHeight="1" x14ac:dyDescent="0.35">
      <c r="A83" s="153"/>
      <c r="B83" s="154"/>
      <c r="C83" s="155"/>
      <c r="D83" s="155"/>
      <c r="E83" s="155"/>
      <c r="F83" s="155"/>
      <c r="G83" s="155"/>
      <c r="H83" s="155"/>
      <c r="I83" s="155"/>
      <c r="J83" s="155"/>
      <c r="K83" s="155"/>
      <c r="L83" s="174"/>
    </row>
    <row r="84" spans="1:12" ht="39.950000000000003" customHeight="1" x14ac:dyDescent="0.35">
      <c r="A84" s="153"/>
      <c r="B84" s="154"/>
      <c r="C84" s="155"/>
      <c r="D84" s="155"/>
      <c r="E84" s="155"/>
      <c r="F84" s="155"/>
      <c r="G84" s="155"/>
      <c r="H84" s="155"/>
      <c r="I84" s="155"/>
      <c r="J84" s="155"/>
      <c r="K84" s="155"/>
      <c r="L84" s="174"/>
    </row>
    <row r="85" spans="1:12" ht="39.950000000000003" customHeight="1" x14ac:dyDescent="0.35">
      <c r="A85" s="153"/>
      <c r="B85" s="154"/>
      <c r="C85" s="155"/>
      <c r="D85" s="155"/>
      <c r="E85" s="155"/>
      <c r="F85" s="155"/>
      <c r="G85" s="155"/>
      <c r="H85" s="155"/>
      <c r="I85" s="155"/>
      <c r="J85" s="155"/>
      <c r="K85" s="155"/>
      <c r="L85" s="174"/>
    </row>
    <row r="86" spans="1:12" x14ac:dyDescent="0.25">
      <c r="B86" s="157"/>
      <c r="C86" s="158"/>
      <c r="D86" s="158"/>
      <c r="E86" s="158"/>
      <c r="F86" s="158"/>
      <c r="G86" s="158"/>
      <c r="H86" s="158"/>
      <c r="I86" s="158"/>
      <c r="J86" s="158"/>
      <c r="K86" s="158"/>
      <c r="L86" s="174"/>
    </row>
    <row r="87" spans="1:12" x14ac:dyDescent="0.25">
      <c r="B87" s="157"/>
      <c r="C87" s="158"/>
      <c r="D87" s="158"/>
      <c r="E87" s="158"/>
      <c r="F87" s="158"/>
      <c r="G87" s="158"/>
      <c r="H87" s="158"/>
      <c r="I87" s="158"/>
      <c r="J87" s="158"/>
      <c r="K87" s="158"/>
      <c r="L87" s="174"/>
    </row>
    <row r="88" spans="1:12" x14ac:dyDescent="0.25">
      <c r="B88" s="157"/>
      <c r="C88" s="158"/>
      <c r="D88" s="158"/>
      <c r="E88" s="158"/>
      <c r="F88" s="158"/>
      <c r="G88" s="158"/>
      <c r="H88" s="158"/>
      <c r="I88" s="158"/>
      <c r="J88" s="158"/>
      <c r="K88" s="158"/>
      <c r="L88" s="174"/>
    </row>
    <row r="89" spans="1:12" x14ac:dyDescent="0.25">
      <c r="B89" s="157"/>
      <c r="C89" s="158"/>
      <c r="D89" s="158"/>
      <c r="E89" s="158"/>
      <c r="F89" s="158"/>
      <c r="G89" s="158"/>
      <c r="H89" s="158"/>
      <c r="I89" s="158"/>
      <c r="J89" s="158"/>
      <c r="K89" s="158"/>
    </row>
    <row r="90" spans="1:12" x14ac:dyDescent="0.25">
      <c r="B90" s="157"/>
      <c r="C90" s="157"/>
      <c r="D90" s="157"/>
      <c r="E90" s="157"/>
      <c r="F90" s="157"/>
      <c r="G90" s="157"/>
      <c r="H90" s="157"/>
      <c r="I90" s="157"/>
      <c r="J90" s="157"/>
      <c r="K90" s="157"/>
    </row>
    <row r="91" spans="1:12" x14ac:dyDescent="0.25">
      <c r="B91" s="157"/>
      <c r="C91" s="157"/>
      <c r="D91" s="157"/>
      <c r="E91" s="157"/>
      <c r="F91" s="157"/>
      <c r="G91" s="157"/>
      <c r="H91" s="157"/>
      <c r="I91" s="157"/>
      <c r="J91" s="157"/>
      <c r="K91" s="157"/>
    </row>
    <row r="92" spans="1:12" x14ac:dyDescent="0.25">
      <c r="B92" s="157"/>
      <c r="C92" s="157"/>
      <c r="D92" s="157"/>
      <c r="E92" s="157"/>
      <c r="F92" s="157"/>
      <c r="G92" s="157"/>
      <c r="H92" s="157"/>
      <c r="I92" s="157"/>
      <c r="J92" s="157"/>
      <c r="K92" s="157"/>
    </row>
    <row r="93" spans="1:12" x14ac:dyDescent="0.25">
      <c r="B93" s="157"/>
      <c r="C93" s="157"/>
      <c r="D93" s="157"/>
      <c r="E93" s="157"/>
      <c r="F93" s="157"/>
      <c r="G93" s="157"/>
      <c r="H93" s="157"/>
      <c r="I93" s="157"/>
      <c r="J93" s="157"/>
      <c r="K93" s="157"/>
    </row>
    <row r="94" spans="1:12" x14ac:dyDescent="0.25">
      <c r="B94" s="157"/>
      <c r="C94" s="157"/>
      <c r="D94" s="157"/>
      <c r="E94" s="157"/>
      <c r="F94" s="157"/>
      <c r="G94" s="157"/>
      <c r="H94" s="157"/>
      <c r="I94" s="157"/>
      <c r="J94" s="157"/>
      <c r="K94" s="157"/>
    </row>
    <row r="95" spans="1:12" x14ac:dyDescent="0.25">
      <c r="B95" s="157"/>
      <c r="C95" s="157"/>
      <c r="D95" s="157"/>
      <c r="E95" s="157"/>
      <c r="F95" s="157"/>
      <c r="G95" s="157"/>
      <c r="H95" s="157"/>
      <c r="I95" s="157"/>
      <c r="J95" s="157"/>
      <c r="K95" s="157"/>
    </row>
    <row r="96" spans="1:12" x14ac:dyDescent="0.25">
      <c r="B96" s="157"/>
      <c r="C96" s="157"/>
      <c r="D96" s="157"/>
      <c r="E96" s="157"/>
      <c r="F96" s="157"/>
      <c r="G96" s="157"/>
      <c r="H96" s="157"/>
      <c r="I96" s="157"/>
      <c r="J96" s="157"/>
      <c r="K96" s="157"/>
    </row>
    <row r="97" spans="2:11" x14ac:dyDescent="0.25">
      <c r="B97" s="157"/>
      <c r="C97" s="157"/>
      <c r="D97" s="157"/>
      <c r="E97" s="157"/>
      <c r="F97" s="157"/>
      <c r="G97" s="157"/>
      <c r="H97" s="157"/>
      <c r="I97" s="157"/>
      <c r="J97" s="157"/>
      <c r="K97" s="157"/>
    </row>
    <row r="98" spans="2:11" x14ac:dyDescent="0.25">
      <c r="B98" s="157"/>
      <c r="C98" s="157"/>
      <c r="D98" s="157"/>
      <c r="E98" s="157"/>
      <c r="F98" s="157"/>
      <c r="G98" s="157"/>
      <c r="H98" s="157"/>
      <c r="I98" s="157"/>
      <c r="J98" s="157"/>
      <c r="K98" s="157"/>
    </row>
    <row r="99" spans="2:11" x14ac:dyDescent="0.25">
      <c r="B99" s="157"/>
      <c r="C99" s="157"/>
      <c r="D99" s="157"/>
      <c r="E99" s="157"/>
      <c r="F99" s="157"/>
      <c r="G99" s="157"/>
      <c r="H99" s="157"/>
      <c r="I99" s="157"/>
      <c r="J99" s="157"/>
      <c r="K99" s="157"/>
    </row>
    <row r="100" spans="2:11" x14ac:dyDescent="0.25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</row>
    <row r="101" spans="2:11" x14ac:dyDescent="0.25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</row>
    <row r="102" spans="2:11" x14ac:dyDescent="0.25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</row>
  </sheetData>
  <mergeCells count="14">
    <mergeCell ref="L4:L6"/>
    <mergeCell ref="A1:L3"/>
    <mergeCell ref="A4:A6"/>
    <mergeCell ref="B4:B6"/>
    <mergeCell ref="C4:C6"/>
    <mergeCell ref="D4:E4"/>
    <mergeCell ref="F4:G4"/>
    <mergeCell ref="H4:I4"/>
    <mergeCell ref="J4:K4"/>
    <mergeCell ref="D5:D6"/>
    <mergeCell ref="E5:E6"/>
    <mergeCell ref="G5:G6"/>
    <mergeCell ref="I5:I6"/>
    <mergeCell ref="K5:K6"/>
  </mergeCells>
  <pageMargins left="0.7" right="0.7" top="0.75" bottom="0.75" header="0.3" footer="0.3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88"/>
  <sheetViews>
    <sheetView view="pageBreakPreview" zoomScale="60" zoomScaleNormal="55" workbookViewId="0">
      <selection sqref="A1:XFD1048576"/>
    </sheetView>
  </sheetViews>
  <sheetFormatPr defaultRowHeight="15" x14ac:dyDescent="0.25"/>
  <cols>
    <col min="1" max="1" width="15.7109375" style="54" customWidth="1"/>
    <col min="2" max="2" width="105.7109375" style="54" customWidth="1"/>
    <col min="3" max="4" width="12.7109375" style="54" customWidth="1"/>
    <col min="5" max="6" width="15.7109375" style="54" customWidth="1"/>
    <col min="7" max="7" width="17.7109375" style="54" customWidth="1"/>
    <col min="8" max="8" width="15.7109375" style="54" customWidth="1"/>
    <col min="9" max="9" width="17.7109375" style="54" customWidth="1"/>
    <col min="10" max="10" width="15.7109375" style="54" customWidth="1"/>
    <col min="11" max="11" width="17.7109375" style="54" customWidth="1"/>
    <col min="12" max="12" width="21.28515625" style="175" bestFit="1" customWidth="1"/>
    <col min="13" max="16384" width="9.140625" style="54"/>
  </cols>
  <sheetData>
    <row r="1" spans="1:12" ht="15" customHeight="1" x14ac:dyDescent="0.25">
      <c r="A1" s="206" t="str">
        <f>'1-1'!A1</f>
        <v>ქალაქ ხონში ძიძიგურების უბანის 1480 მ-იანი მონაკვეთის რეაბილიტაციის სამშენებლო სამუშაოების ლოკალურ-რესურსული ხარჯთაღრიცხვა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5" customHeight="1" x14ac:dyDescent="0.2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5" customHeigh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39.950000000000003" customHeight="1" x14ac:dyDescent="0.25">
      <c r="A4" s="186" t="s">
        <v>0</v>
      </c>
      <c r="B4" s="186" t="s">
        <v>658</v>
      </c>
      <c r="C4" s="188" t="s">
        <v>2</v>
      </c>
      <c r="D4" s="182" t="s">
        <v>653</v>
      </c>
      <c r="E4" s="191"/>
      <c r="F4" s="186" t="s">
        <v>659</v>
      </c>
      <c r="G4" s="186"/>
      <c r="H4" s="186" t="s">
        <v>660</v>
      </c>
      <c r="I4" s="186"/>
      <c r="J4" s="187" t="s">
        <v>762</v>
      </c>
      <c r="K4" s="187"/>
      <c r="L4" s="192" t="s">
        <v>662</v>
      </c>
    </row>
    <row r="5" spans="1:12" ht="39.950000000000003" customHeight="1" x14ac:dyDescent="0.25">
      <c r="A5" s="186"/>
      <c r="B5" s="186"/>
      <c r="C5" s="189"/>
      <c r="D5" s="188" t="s">
        <v>664</v>
      </c>
      <c r="E5" s="187" t="s">
        <v>665</v>
      </c>
      <c r="F5" s="178" t="s">
        <v>664</v>
      </c>
      <c r="G5" s="195" t="s">
        <v>666</v>
      </c>
      <c r="H5" s="178" t="s">
        <v>664</v>
      </c>
      <c r="I5" s="195" t="s">
        <v>666</v>
      </c>
      <c r="J5" s="178" t="s">
        <v>664</v>
      </c>
      <c r="K5" s="195" t="s">
        <v>666</v>
      </c>
      <c r="L5" s="193"/>
    </row>
    <row r="6" spans="1:12" ht="39.950000000000003" customHeight="1" x14ac:dyDescent="0.25">
      <c r="A6" s="186"/>
      <c r="B6" s="186"/>
      <c r="C6" s="190"/>
      <c r="D6" s="190"/>
      <c r="E6" s="187"/>
      <c r="F6" s="178" t="s">
        <v>667</v>
      </c>
      <c r="G6" s="196"/>
      <c r="H6" s="178" t="s">
        <v>667</v>
      </c>
      <c r="I6" s="196"/>
      <c r="J6" s="178" t="s">
        <v>667</v>
      </c>
      <c r="K6" s="196"/>
      <c r="L6" s="194"/>
    </row>
    <row r="7" spans="1:12" ht="39.950000000000003" customHeight="1" x14ac:dyDescent="0.25">
      <c r="A7" s="178">
        <v>1</v>
      </c>
      <c r="B7" s="178">
        <v>3</v>
      </c>
      <c r="C7" s="178">
        <v>4</v>
      </c>
      <c r="D7" s="178">
        <v>5</v>
      </c>
      <c r="E7" s="178">
        <v>6</v>
      </c>
      <c r="F7" s="178">
        <v>7</v>
      </c>
      <c r="G7" s="178">
        <v>8</v>
      </c>
      <c r="H7" s="178">
        <v>9</v>
      </c>
      <c r="I7" s="178">
        <v>10</v>
      </c>
      <c r="J7" s="178">
        <v>11</v>
      </c>
      <c r="K7" s="178">
        <v>12</v>
      </c>
      <c r="L7" s="178">
        <v>13</v>
      </c>
    </row>
    <row r="8" spans="1:12" ht="80.099999999999994" customHeight="1" x14ac:dyDescent="0.25">
      <c r="A8" s="178"/>
      <c r="B8" s="179" t="s">
        <v>1037</v>
      </c>
      <c r="C8" s="16"/>
      <c r="D8" s="16"/>
      <c r="E8" s="16"/>
      <c r="F8" s="16"/>
      <c r="G8" s="16"/>
      <c r="H8" s="16"/>
      <c r="I8" s="16"/>
      <c r="J8" s="16"/>
      <c r="K8" s="16"/>
      <c r="L8" s="149"/>
    </row>
    <row r="9" spans="1:12" s="160" customFormat="1" ht="39" x14ac:dyDescent="0.25">
      <c r="A9" s="39">
        <v>1.1000000000000001</v>
      </c>
      <c r="B9" s="83" t="s">
        <v>1320</v>
      </c>
      <c r="C9" s="178" t="s">
        <v>711</v>
      </c>
      <c r="D9" s="178"/>
      <c r="E9" s="159">
        <v>200.8</v>
      </c>
      <c r="F9" s="163"/>
      <c r="G9" s="163"/>
      <c r="H9" s="163"/>
      <c r="I9" s="163"/>
      <c r="J9" s="163"/>
      <c r="K9" s="164"/>
      <c r="L9" s="152"/>
    </row>
    <row r="10" spans="1:12" ht="39.950000000000003" customHeight="1" x14ac:dyDescent="0.25">
      <c r="A10" s="16" t="s">
        <v>668</v>
      </c>
      <c r="B10" s="165" t="s">
        <v>669</v>
      </c>
      <c r="C10" s="16" t="s">
        <v>670</v>
      </c>
      <c r="D10" s="16">
        <f>IF(MID(RIGHT(B9,6),1,2)&gt;"18",33+28.6,33)</f>
        <v>33</v>
      </c>
      <c r="E10" s="149">
        <f>D10*E9/1000</f>
        <v>6.6264000000000003</v>
      </c>
      <c r="F10" s="166"/>
      <c r="G10" s="166"/>
      <c r="H10" s="167"/>
      <c r="I10" s="149"/>
      <c r="J10" s="166"/>
      <c r="K10" s="162"/>
      <c r="L10" s="149"/>
    </row>
    <row r="11" spans="1:12" ht="39.950000000000003" customHeight="1" x14ac:dyDescent="0.25">
      <c r="A11" s="16" t="s">
        <v>671</v>
      </c>
      <c r="B11" s="16" t="s">
        <v>241</v>
      </c>
      <c r="C11" s="16" t="s">
        <v>672</v>
      </c>
      <c r="D11" s="16">
        <f>IF(MID(RIGHT(B9,6),1,2)&gt;"18",1.91+0.42,1.91)</f>
        <v>1.91</v>
      </c>
      <c r="E11" s="149">
        <f>D11*E9/1000</f>
        <v>0.38352800000000004</v>
      </c>
      <c r="F11" s="166"/>
      <c r="G11" s="166"/>
      <c r="H11" s="166"/>
      <c r="I11" s="166"/>
      <c r="J11" s="161"/>
      <c r="K11" s="162"/>
      <c r="L11" s="149"/>
    </row>
    <row r="12" spans="1:12" ht="39.950000000000003" customHeight="1" x14ac:dyDescent="0.25">
      <c r="A12" s="16" t="s">
        <v>673</v>
      </c>
      <c r="B12" s="16" t="s">
        <v>235</v>
      </c>
      <c r="C12" s="16" t="s">
        <v>672</v>
      </c>
      <c r="D12" s="16">
        <v>2.58</v>
      </c>
      <c r="E12" s="149">
        <f>D12*E9/1000</f>
        <v>0.51806400000000008</v>
      </c>
      <c r="F12" s="166"/>
      <c r="G12" s="166"/>
      <c r="H12" s="166"/>
      <c r="I12" s="166"/>
      <c r="J12" s="161"/>
      <c r="K12" s="162"/>
      <c r="L12" s="149"/>
    </row>
    <row r="13" spans="1:12" ht="39.950000000000003" customHeight="1" x14ac:dyDescent="0.25">
      <c r="A13" s="16" t="s">
        <v>675</v>
      </c>
      <c r="B13" s="16" t="s">
        <v>259</v>
      </c>
      <c r="C13" s="16" t="s">
        <v>672</v>
      </c>
      <c r="D13" s="16">
        <f>IF(MID(RIGHT(B9,6),1,2)&gt;"18",11.2+7.6,11.2)</f>
        <v>11.2</v>
      </c>
      <c r="E13" s="149">
        <f>D13*E9/1000</f>
        <v>2.2489599999999998</v>
      </c>
      <c r="F13" s="166"/>
      <c r="G13" s="166"/>
      <c r="H13" s="166"/>
      <c r="I13" s="166"/>
      <c r="J13" s="161"/>
      <c r="K13" s="162"/>
      <c r="L13" s="149"/>
    </row>
    <row r="14" spans="1:12" ht="39.950000000000003" customHeight="1" x14ac:dyDescent="0.25">
      <c r="A14" s="16" t="s">
        <v>695</v>
      </c>
      <c r="B14" s="16" t="s">
        <v>260</v>
      </c>
      <c r="C14" s="16" t="s">
        <v>672</v>
      </c>
      <c r="D14" s="16">
        <f>IF(MID(RIGHT(B9,6),1,2)&gt;"18",24.8+15.1,24.8)</f>
        <v>24.8</v>
      </c>
      <c r="E14" s="149">
        <f>D14*E9/1000</f>
        <v>4.9798400000000003</v>
      </c>
      <c r="F14" s="166"/>
      <c r="G14" s="166"/>
      <c r="H14" s="166"/>
      <c r="I14" s="166"/>
      <c r="J14" s="161"/>
      <c r="K14" s="162"/>
      <c r="L14" s="149"/>
    </row>
    <row r="15" spans="1:12" ht="39.950000000000003" customHeight="1" x14ac:dyDescent="0.25">
      <c r="A15" s="16" t="s">
        <v>696</v>
      </c>
      <c r="B15" s="16" t="s">
        <v>267</v>
      </c>
      <c r="C15" s="16" t="s">
        <v>672</v>
      </c>
      <c r="D15" s="16">
        <v>0.53</v>
      </c>
      <c r="E15" s="149">
        <f>D15*E9/1000</f>
        <v>0.106424</v>
      </c>
      <c r="F15" s="166"/>
      <c r="G15" s="166"/>
      <c r="H15" s="166"/>
      <c r="I15" s="166"/>
      <c r="J15" s="161"/>
      <c r="K15" s="162"/>
      <c r="L15" s="149"/>
    </row>
    <row r="16" spans="1:12" ht="39.950000000000003" customHeight="1" x14ac:dyDescent="0.25">
      <c r="A16" s="16" t="s">
        <v>733</v>
      </c>
      <c r="B16" s="16" t="s">
        <v>266</v>
      </c>
      <c r="C16" s="16" t="s">
        <v>672</v>
      </c>
      <c r="D16" s="16">
        <f>IF(MID(RIGHT(B9,6),1,2)&gt;"18",4.14+2.76,4.14)</f>
        <v>4.1399999999999997</v>
      </c>
      <c r="E16" s="149">
        <f>D16*E9/1000</f>
        <v>0.83131200000000005</v>
      </c>
      <c r="F16" s="166"/>
      <c r="G16" s="166"/>
      <c r="H16" s="166"/>
      <c r="I16" s="166"/>
      <c r="J16" s="161"/>
      <c r="K16" s="162"/>
      <c r="L16" s="149"/>
    </row>
    <row r="17" spans="1:12" ht="39.950000000000003" customHeight="1" x14ac:dyDescent="0.25">
      <c r="A17" s="16" t="s">
        <v>734</v>
      </c>
      <c r="B17" s="165" t="s">
        <v>693</v>
      </c>
      <c r="C17" s="16" t="s">
        <v>674</v>
      </c>
      <c r="D17" s="16">
        <f>IF(MID(RIGHT(B9,6),1,2)&gt;"18",30+20,30)</f>
        <v>30</v>
      </c>
      <c r="E17" s="149">
        <f>D17*E9/1000</f>
        <v>6.024</v>
      </c>
      <c r="F17" s="162"/>
      <c r="G17" s="149"/>
      <c r="H17" s="166"/>
      <c r="I17" s="166"/>
      <c r="J17" s="161"/>
      <c r="K17" s="162"/>
      <c r="L17" s="149"/>
    </row>
    <row r="18" spans="1:12" ht="39.950000000000003" customHeight="1" x14ac:dyDescent="0.25">
      <c r="A18" s="16" t="s">
        <v>735</v>
      </c>
      <c r="B18" s="16" t="s">
        <v>353</v>
      </c>
      <c r="C18" s="16" t="s">
        <v>674</v>
      </c>
      <c r="D18" s="165">
        <f>189-12.6*5</f>
        <v>126</v>
      </c>
      <c r="E18" s="149">
        <f>D18*E9/1000</f>
        <v>25.300800000000002</v>
      </c>
      <c r="F18" s="271"/>
      <c r="G18" s="149"/>
      <c r="H18" s="166"/>
      <c r="I18" s="166"/>
      <c r="J18" s="161"/>
      <c r="K18" s="162"/>
      <c r="L18" s="149"/>
    </row>
    <row r="19" spans="1:12" s="160" customFormat="1" ht="39.950000000000003" customHeight="1" x14ac:dyDescent="0.25">
      <c r="A19" s="39">
        <v>1.2</v>
      </c>
      <c r="B19" s="83" t="s">
        <v>707</v>
      </c>
      <c r="C19" s="178" t="s">
        <v>9</v>
      </c>
      <c r="D19" s="178"/>
      <c r="E19" s="152">
        <v>0.12</v>
      </c>
      <c r="F19" s="163"/>
      <c r="G19" s="163"/>
      <c r="H19" s="163"/>
      <c r="I19" s="163"/>
      <c r="J19" s="163"/>
      <c r="K19" s="163"/>
      <c r="L19" s="152"/>
    </row>
    <row r="20" spans="1:12" ht="39.950000000000003" customHeight="1" x14ac:dyDescent="0.25">
      <c r="A20" s="16" t="s">
        <v>697</v>
      </c>
      <c r="B20" s="165" t="s">
        <v>239</v>
      </c>
      <c r="C20" s="16" t="s">
        <v>672</v>
      </c>
      <c r="D20" s="16">
        <v>0.3</v>
      </c>
      <c r="E20" s="166">
        <f>ROUND(D20*E19,1)</f>
        <v>0</v>
      </c>
      <c r="F20" s="166"/>
      <c r="G20" s="166"/>
      <c r="H20" s="166"/>
      <c r="I20" s="166"/>
      <c r="J20" s="161"/>
      <c r="K20" s="149"/>
      <c r="L20" s="149"/>
    </row>
    <row r="21" spans="1:12" ht="39.950000000000003" customHeight="1" x14ac:dyDescent="0.25">
      <c r="A21" s="16" t="s">
        <v>698</v>
      </c>
      <c r="B21" s="16" t="s">
        <v>452</v>
      </c>
      <c r="C21" s="16" t="s">
        <v>9</v>
      </c>
      <c r="D21" s="16">
        <v>1.03</v>
      </c>
      <c r="E21" s="149">
        <f>ROUND(D21*E19,2)</f>
        <v>0.12</v>
      </c>
      <c r="F21" s="162"/>
      <c r="G21" s="149"/>
      <c r="H21" s="166"/>
      <c r="I21" s="166"/>
      <c r="J21" s="161"/>
      <c r="K21" s="149"/>
      <c r="L21" s="149"/>
    </row>
    <row r="22" spans="1:12" s="160" customFormat="1" ht="39.950000000000003" customHeight="1" x14ac:dyDescent="0.25">
      <c r="A22" s="39">
        <v>1.3</v>
      </c>
      <c r="B22" s="83" t="s">
        <v>1042</v>
      </c>
      <c r="C22" s="178" t="s">
        <v>721</v>
      </c>
      <c r="D22" s="178"/>
      <c r="E22" s="159">
        <v>200.8</v>
      </c>
      <c r="F22" s="163"/>
      <c r="G22" s="163"/>
      <c r="H22" s="163"/>
      <c r="I22" s="163"/>
      <c r="J22" s="163"/>
      <c r="K22" s="163"/>
      <c r="L22" s="152"/>
    </row>
    <row r="23" spans="1:12" ht="39.950000000000003" customHeight="1" x14ac:dyDescent="0.25">
      <c r="A23" s="16" t="s">
        <v>709</v>
      </c>
      <c r="B23" s="165" t="s">
        <v>669</v>
      </c>
      <c r="C23" s="16" t="s">
        <v>670</v>
      </c>
      <c r="D23" s="16">
        <f>IF(MID(RIGHT(B22,5),1,1)&gt;"4",(37.5+((MID(RIGHT(B22,5),1,1)-4)*2*0.07)),"37.5")</f>
        <v>37.64</v>
      </c>
      <c r="E23" s="149">
        <f>D23*E22/1000</f>
        <v>7.5581120000000013</v>
      </c>
      <c r="F23" s="166"/>
      <c r="G23" s="166"/>
      <c r="H23" s="167"/>
      <c r="I23" s="149"/>
      <c r="J23" s="166"/>
      <c r="K23" s="166"/>
      <c r="L23" s="149"/>
    </row>
    <row r="24" spans="1:12" ht="39.950000000000003" customHeight="1" x14ac:dyDescent="0.25">
      <c r="A24" s="16" t="s">
        <v>710</v>
      </c>
      <c r="B24" s="16" t="s">
        <v>269</v>
      </c>
      <c r="C24" s="16" t="s">
        <v>672</v>
      </c>
      <c r="D24" s="16">
        <v>3.02</v>
      </c>
      <c r="E24" s="149">
        <f>D24*E22/1000</f>
        <v>0.60641600000000007</v>
      </c>
      <c r="F24" s="166"/>
      <c r="G24" s="166"/>
      <c r="H24" s="166"/>
      <c r="I24" s="166"/>
      <c r="J24" s="161"/>
      <c r="K24" s="149"/>
      <c r="L24" s="149"/>
    </row>
    <row r="25" spans="1:12" ht="39.950000000000003" customHeight="1" x14ac:dyDescent="0.25">
      <c r="A25" s="16" t="s">
        <v>723</v>
      </c>
      <c r="B25" s="16" t="s">
        <v>259</v>
      </c>
      <c r="C25" s="16" t="s">
        <v>672</v>
      </c>
      <c r="D25" s="16">
        <v>3.7</v>
      </c>
      <c r="E25" s="149">
        <f>D25*E22/1000</f>
        <v>0.74296000000000006</v>
      </c>
      <c r="F25" s="166"/>
      <c r="G25" s="166"/>
      <c r="H25" s="166"/>
      <c r="I25" s="166"/>
      <c r="J25" s="161"/>
      <c r="K25" s="149"/>
      <c r="L25" s="149"/>
    </row>
    <row r="26" spans="1:12" ht="39.950000000000003" customHeight="1" x14ac:dyDescent="0.25">
      <c r="A26" s="16" t="s">
        <v>724</v>
      </c>
      <c r="B26" s="16" t="s">
        <v>260</v>
      </c>
      <c r="C26" s="16" t="s">
        <v>672</v>
      </c>
      <c r="D26" s="16">
        <v>11.1</v>
      </c>
      <c r="E26" s="149">
        <f>D26*E22/1000</f>
        <v>2.2288800000000002</v>
      </c>
      <c r="F26" s="166"/>
      <c r="G26" s="166"/>
      <c r="H26" s="166"/>
      <c r="I26" s="166"/>
      <c r="J26" s="161"/>
      <c r="K26" s="149"/>
      <c r="L26" s="149"/>
    </row>
    <row r="27" spans="1:12" ht="39.950000000000003" customHeight="1" x14ac:dyDescent="0.25">
      <c r="A27" s="16" t="s">
        <v>725</v>
      </c>
      <c r="B27" s="165" t="s">
        <v>654</v>
      </c>
      <c r="C27" s="16" t="s">
        <v>393</v>
      </c>
      <c r="D27" s="16">
        <v>2.2999999999999998</v>
      </c>
      <c r="E27" s="149">
        <f>D27*E22/1000</f>
        <v>0.46183999999999997</v>
      </c>
      <c r="F27" s="166"/>
      <c r="G27" s="166"/>
      <c r="H27" s="166"/>
      <c r="I27" s="166"/>
      <c r="J27" s="161"/>
      <c r="K27" s="149"/>
      <c r="L27" s="149"/>
    </row>
    <row r="28" spans="1:12" ht="39.950000000000003" customHeight="1" x14ac:dyDescent="0.25">
      <c r="A28" s="16" t="s">
        <v>1019</v>
      </c>
      <c r="B28" s="16" t="s">
        <v>441</v>
      </c>
      <c r="C28" s="16" t="s">
        <v>9</v>
      </c>
      <c r="D28" s="16">
        <f>IF(MID(RIGHT(B22,5),1,1)&gt;"4",(97.4+((MID(RIGHT(B22,5),1,1)-4)*2*12.1)),IF(MID(RIGHT(B22,5),1,1)="4","97.4",IF(MID(RIGHT(B22,5),1,1)&lt;"4",(97.4-((4-MID(RIGHT(B22,5),1,1))*2*12.1)))))</f>
        <v>121.60000000000001</v>
      </c>
      <c r="E28" s="149">
        <f>D28*E22/1000</f>
        <v>24.417280000000002</v>
      </c>
      <c r="F28" s="162"/>
      <c r="G28" s="149"/>
      <c r="H28" s="166"/>
      <c r="I28" s="166"/>
      <c r="J28" s="161"/>
      <c r="K28" s="149"/>
      <c r="L28" s="149"/>
    </row>
    <row r="29" spans="1:12" ht="39.950000000000003" customHeight="1" x14ac:dyDescent="0.25">
      <c r="A29" s="16" t="s">
        <v>1020</v>
      </c>
      <c r="B29" s="165" t="s">
        <v>677</v>
      </c>
      <c r="C29" s="16" t="s">
        <v>393</v>
      </c>
      <c r="D29" s="16">
        <f>IF(MID(RIGHT(B22,5),1,1)&gt;"4",(14.5+((MID(RIGHT(B22,5),1,1)-4)*2*0.2)),"14.5")</f>
        <v>14.9</v>
      </c>
      <c r="E29" s="149">
        <f>D29*E22/1000</f>
        <v>2.9919199999999999</v>
      </c>
      <c r="F29" s="162"/>
      <c r="G29" s="149"/>
      <c r="H29" s="166"/>
      <c r="I29" s="166"/>
      <c r="J29" s="161"/>
      <c r="K29" s="149"/>
      <c r="L29" s="149"/>
    </row>
    <row r="30" spans="1:12" ht="39.950000000000003" customHeight="1" x14ac:dyDescent="0.25">
      <c r="A30" s="150"/>
      <c r="B30" s="178" t="s">
        <v>759</v>
      </c>
      <c r="C30" s="16"/>
      <c r="D30" s="16"/>
      <c r="E30" s="16"/>
      <c r="F30" s="16"/>
      <c r="G30" s="149"/>
      <c r="H30" s="149"/>
      <c r="I30" s="149"/>
      <c r="J30" s="166"/>
      <c r="K30" s="149"/>
      <c r="L30" s="149"/>
    </row>
    <row r="31" spans="1:12" ht="39.950000000000003" customHeight="1" x14ac:dyDescent="0.25">
      <c r="A31" s="150"/>
      <c r="B31" s="178" t="s">
        <v>766</v>
      </c>
      <c r="C31" s="172" t="s">
        <v>750</v>
      </c>
      <c r="D31" s="172"/>
      <c r="E31" s="178">
        <v>10</v>
      </c>
      <c r="F31" s="16"/>
      <c r="G31" s="16"/>
      <c r="H31" s="16"/>
      <c r="I31" s="16"/>
      <c r="J31" s="16"/>
      <c r="K31" s="16"/>
      <c r="L31" s="149"/>
    </row>
    <row r="32" spans="1:12" ht="39.950000000000003" customHeight="1" x14ac:dyDescent="0.25">
      <c r="A32" s="150"/>
      <c r="B32" s="178" t="s">
        <v>759</v>
      </c>
      <c r="C32" s="178"/>
      <c r="D32" s="178"/>
      <c r="E32" s="178"/>
      <c r="F32" s="16"/>
      <c r="G32" s="166"/>
      <c r="H32" s="16"/>
      <c r="I32" s="166"/>
      <c r="J32" s="16"/>
      <c r="K32" s="166"/>
      <c r="L32" s="149"/>
    </row>
    <row r="33" spans="1:12" ht="39.950000000000003" customHeight="1" x14ac:dyDescent="0.25">
      <c r="A33" s="150"/>
      <c r="B33" s="178" t="s">
        <v>767</v>
      </c>
      <c r="C33" s="172" t="s">
        <v>750</v>
      </c>
      <c r="D33" s="172"/>
      <c r="E33" s="178">
        <v>8</v>
      </c>
      <c r="F33" s="16"/>
      <c r="G33" s="16"/>
      <c r="H33" s="16"/>
      <c r="I33" s="16"/>
      <c r="J33" s="16"/>
      <c r="K33" s="16"/>
      <c r="L33" s="149"/>
    </row>
    <row r="34" spans="1:12" ht="39.950000000000003" customHeight="1" x14ac:dyDescent="0.25">
      <c r="A34" s="150"/>
      <c r="B34" s="178" t="s">
        <v>759</v>
      </c>
      <c r="C34" s="178"/>
      <c r="D34" s="178"/>
      <c r="E34" s="178"/>
      <c r="F34" s="16"/>
      <c r="G34" s="16"/>
      <c r="H34" s="16"/>
      <c r="I34" s="16"/>
      <c r="J34" s="16"/>
      <c r="K34" s="16"/>
      <c r="L34" s="149"/>
    </row>
    <row r="35" spans="1:12" ht="39.950000000000003" customHeight="1" x14ac:dyDescent="0.35">
      <c r="A35" s="153"/>
      <c r="B35" s="154"/>
      <c r="C35" s="155"/>
      <c r="D35" s="155"/>
      <c r="E35" s="155"/>
      <c r="F35" s="155"/>
      <c r="G35" s="155"/>
      <c r="H35" s="155"/>
      <c r="I35" s="155"/>
      <c r="J35" s="155"/>
      <c r="K35" s="155"/>
      <c r="L35" s="156"/>
    </row>
    <row r="36" spans="1:12" ht="39.950000000000003" customHeight="1" x14ac:dyDescent="0.35">
      <c r="A36" s="153"/>
      <c r="B36" s="154"/>
      <c r="C36" s="155"/>
      <c r="D36" s="155"/>
      <c r="E36" s="155"/>
      <c r="F36" s="155"/>
      <c r="G36" s="155"/>
      <c r="H36" s="155"/>
      <c r="I36" s="155"/>
      <c r="J36" s="155"/>
      <c r="K36" s="155"/>
      <c r="L36" s="156"/>
    </row>
    <row r="37" spans="1:12" ht="39.950000000000003" customHeight="1" x14ac:dyDescent="0.35">
      <c r="A37" s="153"/>
      <c r="B37" s="154"/>
      <c r="C37" s="155"/>
      <c r="D37" s="155"/>
      <c r="E37" s="155"/>
      <c r="F37" s="155"/>
      <c r="G37" s="155"/>
      <c r="H37" s="155"/>
      <c r="I37" s="155"/>
      <c r="J37" s="155"/>
      <c r="K37" s="155"/>
      <c r="L37" s="156"/>
    </row>
    <row r="38" spans="1:12" ht="39.950000000000003" customHeight="1" x14ac:dyDescent="0.35">
      <c r="A38" s="153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6"/>
    </row>
    <row r="39" spans="1:12" ht="39.950000000000003" customHeight="1" x14ac:dyDescent="0.35">
      <c r="A39" s="153"/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6"/>
    </row>
    <row r="40" spans="1:12" ht="39.950000000000003" customHeight="1" x14ac:dyDescent="0.35">
      <c r="A40" s="153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6"/>
    </row>
    <row r="41" spans="1:12" ht="39.950000000000003" customHeight="1" x14ac:dyDescent="0.35">
      <c r="A41" s="153"/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6"/>
    </row>
    <row r="42" spans="1:12" ht="39.950000000000003" customHeight="1" x14ac:dyDescent="0.35">
      <c r="A42" s="153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56"/>
    </row>
    <row r="43" spans="1:12" ht="39.950000000000003" customHeight="1" x14ac:dyDescent="0.35">
      <c r="A43" s="153"/>
      <c r="B43" s="154"/>
      <c r="C43" s="155"/>
      <c r="D43" s="155"/>
      <c r="E43" s="155"/>
      <c r="F43" s="155"/>
      <c r="G43" s="155"/>
      <c r="H43" s="155"/>
      <c r="I43" s="155"/>
      <c r="J43" s="155"/>
      <c r="K43" s="155"/>
      <c r="L43" s="156"/>
    </row>
    <row r="44" spans="1:12" ht="39.950000000000003" customHeight="1" x14ac:dyDescent="0.35">
      <c r="A44" s="153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56"/>
    </row>
    <row r="45" spans="1:12" ht="39.950000000000003" customHeight="1" x14ac:dyDescent="0.35">
      <c r="A45" s="153"/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6"/>
    </row>
    <row r="46" spans="1:12" ht="39.950000000000003" customHeight="1" x14ac:dyDescent="0.35">
      <c r="A46" s="153"/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6"/>
    </row>
    <row r="47" spans="1:12" ht="39.950000000000003" customHeight="1" x14ac:dyDescent="0.35">
      <c r="A47" s="153"/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6"/>
    </row>
    <row r="48" spans="1:12" ht="39.950000000000003" customHeight="1" x14ac:dyDescent="0.35">
      <c r="A48" s="153"/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6"/>
    </row>
    <row r="49" spans="1:12" ht="39.950000000000003" customHeight="1" x14ac:dyDescent="0.35">
      <c r="A49" s="153"/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6"/>
    </row>
    <row r="50" spans="1:12" ht="39.950000000000003" customHeight="1" x14ac:dyDescent="0.35">
      <c r="A50" s="153"/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156"/>
    </row>
    <row r="51" spans="1:12" ht="39.950000000000003" customHeight="1" x14ac:dyDescent="0.35">
      <c r="A51" s="153"/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6"/>
    </row>
    <row r="52" spans="1:12" ht="39.950000000000003" customHeight="1" x14ac:dyDescent="0.35">
      <c r="A52" s="153"/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6"/>
    </row>
    <row r="53" spans="1:12" ht="39.950000000000003" customHeight="1" x14ac:dyDescent="0.35">
      <c r="A53" s="153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6"/>
    </row>
    <row r="54" spans="1:12" ht="39.950000000000003" customHeight="1" x14ac:dyDescent="0.35">
      <c r="A54" s="153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6"/>
    </row>
    <row r="55" spans="1:12" ht="39.950000000000003" customHeight="1" x14ac:dyDescent="0.35">
      <c r="A55" s="153"/>
      <c r="B55" s="154"/>
      <c r="C55" s="155"/>
      <c r="D55" s="155"/>
      <c r="E55" s="155"/>
      <c r="F55" s="155"/>
      <c r="G55" s="155"/>
      <c r="H55" s="155"/>
      <c r="I55" s="155"/>
      <c r="J55" s="155"/>
      <c r="K55" s="155"/>
      <c r="L55" s="156"/>
    </row>
    <row r="56" spans="1:12" ht="39.950000000000003" customHeight="1" x14ac:dyDescent="0.35">
      <c r="A56" s="153"/>
      <c r="B56" s="154"/>
      <c r="C56" s="155"/>
      <c r="D56" s="155"/>
      <c r="E56" s="155"/>
      <c r="F56" s="155"/>
      <c r="G56" s="155"/>
      <c r="H56" s="155"/>
      <c r="I56" s="155"/>
      <c r="J56" s="155"/>
      <c r="K56" s="155"/>
      <c r="L56" s="156"/>
    </row>
    <row r="57" spans="1:12" ht="39.950000000000003" customHeight="1" x14ac:dyDescent="0.35">
      <c r="A57" s="153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6"/>
    </row>
    <row r="58" spans="1:12" ht="39.950000000000003" customHeight="1" x14ac:dyDescent="0.35">
      <c r="A58" s="153"/>
      <c r="B58" s="154"/>
      <c r="C58" s="155"/>
      <c r="D58" s="155"/>
      <c r="E58" s="155"/>
      <c r="F58" s="155"/>
      <c r="G58" s="155"/>
      <c r="H58" s="155"/>
      <c r="I58" s="155"/>
      <c r="J58" s="155"/>
      <c r="K58" s="155"/>
      <c r="L58" s="156"/>
    </row>
    <row r="59" spans="1:12" ht="39.950000000000003" customHeight="1" x14ac:dyDescent="0.35">
      <c r="A59" s="153"/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6"/>
    </row>
    <row r="60" spans="1:12" ht="39.950000000000003" customHeight="1" x14ac:dyDescent="0.35">
      <c r="A60" s="153"/>
      <c r="B60" s="154"/>
      <c r="C60" s="155"/>
      <c r="D60" s="155"/>
      <c r="E60" s="155"/>
      <c r="F60" s="155"/>
      <c r="G60" s="155"/>
      <c r="H60" s="155"/>
      <c r="I60" s="155"/>
      <c r="J60" s="155"/>
      <c r="K60" s="155"/>
      <c r="L60" s="156"/>
    </row>
    <row r="61" spans="1:12" ht="39.950000000000003" customHeight="1" x14ac:dyDescent="0.35">
      <c r="A61" s="153"/>
      <c r="B61" s="154"/>
      <c r="C61" s="155"/>
      <c r="D61" s="155"/>
      <c r="E61" s="155"/>
      <c r="F61" s="155"/>
      <c r="G61" s="155"/>
      <c r="H61" s="155"/>
      <c r="I61" s="155"/>
      <c r="J61" s="155"/>
      <c r="K61" s="155"/>
      <c r="L61" s="156"/>
    </row>
    <row r="62" spans="1:12" ht="39.950000000000003" customHeight="1" x14ac:dyDescent="0.35">
      <c r="A62" s="153"/>
      <c r="B62" s="154"/>
      <c r="C62" s="155"/>
      <c r="D62" s="155"/>
      <c r="E62" s="155"/>
      <c r="F62" s="155"/>
      <c r="G62" s="155"/>
      <c r="H62" s="155"/>
      <c r="I62" s="155"/>
      <c r="J62" s="155"/>
      <c r="K62" s="155"/>
      <c r="L62" s="156"/>
    </row>
    <row r="63" spans="1:12" ht="39.950000000000003" customHeight="1" x14ac:dyDescent="0.35">
      <c r="A63" s="153"/>
      <c r="B63" s="154"/>
      <c r="C63" s="155"/>
      <c r="D63" s="155"/>
      <c r="E63" s="155"/>
      <c r="F63" s="155"/>
      <c r="G63" s="155"/>
      <c r="H63" s="155"/>
      <c r="I63" s="155"/>
      <c r="J63" s="155"/>
      <c r="K63" s="155"/>
      <c r="L63" s="156"/>
    </row>
    <row r="64" spans="1:12" ht="39.950000000000003" customHeight="1" x14ac:dyDescent="0.35">
      <c r="A64" s="153"/>
      <c r="B64" s="154"/>
      <c r="C64" s="155"/>
      <c r="D64" s="155"/>
      <c r="E64" s="155"/>
      <c r="F64" s="155"/>
      <c r="G64" s="155"/>
      <c r="H64" s="155"/>
      <c r="I64" s="155"/>
      <c r="J64" s="155"/>
      <c r="K64" s="155"/>
      <c r="L64" s="156"/>
    </row>
    <row r="65" spans="1:12" ht="39.950000000000003" customHeight="1" x14ac:dyDescent="0.35">
      <c r="A65" s="153"/>
      <c r="B65" s="154"/>
      <c r="C65" s="155"/>
      <c r="D65" s="155"/>
      <c r="E65" s="155"/>
      <c r="F65" s="155"/>
      <c r="G65" s="155"/>
      <c r="H65" s="155"/>
      <c r="I65" s="155"/>
      <c r="J65" s="155"/>
      <c r="K65" s="155"/>
      <c r="L65" s="156"/>
    </row>
    <row r="66" spans="1:12" ht="39.950000000000003" customHeight="1" x14ac:dyDescent="0.35">
      <c r="A66" s="153"/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6"/>
    </row>
    <row r="67" spans="1:12" ht="39.950000000000003" customHeight="1" x14ac:dyDescent="0.35">
      <c r="A67" s="153"/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6"/>
    </row>
    <row r="68" spans="1:12" ht="39.950000000000003" customHeight="1" x14ac:dyDescent="0.35">
      <c r="A68" s="153"/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6"/>
    </row>
    <row r="69" spans="1:12" ht="39.950000000000003" customHeight="1" x14ac:dyDescent="0.35">
      <c r="A69" s="153"/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6"/>
    </row>
    <row r="70" spans="1:12" ht="39.950000000000003" customHeight="1" x14ac:dyDescent="0.35">
      <c r="A70" s="153"/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6"/>
    </row>
    <row r="71" spans="1:12" ht="39.950000000000003" customHeight="1" x14ac:dyDescent="0.35">
      <c r="A71" s="153"/>
      <c r="B71" s="154"/>
      <c r="C71" s="155"/>
      <c r="D71" s="155"/>
      <c r="E71" s="155"/>
      <c r="F71" s="155"/>
      <c r="G71" s="155"/>
      <c r="H71" s="155"/>
      <c r="I71" s="155"/>
      <c r="J71" s="155"/>
      <c r="K71" s="155"/>
      <c r="L71" s="156"/>
    </row>
    <row r="72" spans="1:12" x14ac:dyDescent="0.25">
      <c r="B72" s="157"/>
      <c r="C72" s="158"/>
      <c r="D72" s="158"/>
      <c r="E72" s="158"/>
      <c r="F72" s="158"/>
      <c r="G72" s="158"/>
      <c r="H72" s="158"/>
      <c r="I72" s="158"/>
      <c r="J72" s="158"/>
      <c r="K72" s="158"/>
      <c r="L72" s="173"/>
    </row>
    <row r="73" spans="1:12" x14ac:dyDescent="0.25">
      <c r="B73" s="157"/>
      <c r="C73" s="158"/>
      <c r="D73" s="158"/>
      <c r="E73" s="158"/>
      <c r="F73" s="158"/>
      <c r="G73" s="158"/>
      <c r="H73" s="158"/>
      <c r="I73" s="158"/>
      <c r="J73" s="158"/>
      <c r="K73" s="158"/>
      <c r="L73" s="173"/>
    </row>
    <row r="74" spans="1:12" x14ac:dyDescent="0.25">
      <c r="B74" s="157"/>
      <c r="C74" s="158"/>
      <c r="D74" s="158"/>
      <c r="E74" s="158"/>
      <c r="F74" s="158"/>
      <c r="G74" s="158"/>
      <c r="H74" s="158"/>
      <c r="I74" s="158"/>
      <c r="J74" s="158"/>
      <c r="K74" s="158"/>
      <c r="L74" s="173"/>
    </row>
    <row r="75" spans="1:12" x14ac:dyDescent="0.25">
      <c r="B75" s="157"/>
      <c r="C75" s="158"/>
      <c r="D75" s="158"/>
      <c r="E75" s="158"/>
      <c r="F75" s="158"/>
      <c r="G75" s="158"/>
      <c r="H75" s="158"/>
      <c r="I75" s="158"/>
      <c r="J75" s="158"/>
      <c r="K75" s="158"/>
      <c r="L75" s="173"/>
    </row>
    <row r="76" spans="1:12" x14ac:dyDescent="0.25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74"/>
    </row>
    <row r="77" spans="1:12" x14ac:dyDescent="0.25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74"/>
    </row>
    <row r="78" spans="1:12" x14ac:dyDescent="0.25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74"/>
    </row>
    <row r="79" spans="1:12" x14ac:dyDescent="0.25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74"/>
    </row>
    <row r="80" spans="1:12" x14ac:dyDescent="0.25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74"/>
    </row>
    <row r="81" spans="2:12" x14ac:dyDescent="0.25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74"/>
    </row>
    <row r="82" spans="2:12" x14ac:dyDescent="0.25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74"/>
    </row>
    <row r="83" spans="2:12" x14ac:dyDescent="0.25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74"/>
    </row>
    <row r="84" spans="2:12" x14ac:dyDescent="0.25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74"/>
    </row>
    <row r="85" spans="2:12" x14ac:dyDescent="0.25"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74"/>
    </row>
    <row r="86" spans="2:12" x14ac:dyDescent="0.25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74"/>
    </row>
    <row r="87" spans="2:12" x14ac:dyDescent="0.25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74"/>
    </row>
    <row r="88" spans="2:12" x14ac:dyDescent="0.25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74"/>
    </row>
  </sheetData>
  <mergeCells count="14">
    <mergeCell ref="A1:L3"/>
    <mergeCell ref="A4:A6"/>
    <mergeCell ref="B4:B6"/>
    <mergeCell ref="C4:C6"/>
    <mergeCell ref="D4:E4"/>
    <mergeCell ref="F4:G4"/>
    <mergeCell ref="H4:I4"/>
    <mergeCell ref="J4:K4"/>
    <mergeCell ref="L4:L6"/>
    <mergeCell ref="D5:D6"/>
    <mergeCell ref="E5:E6"/>
    <mergeCell ref="G5:G6"/>
    <mergeCell ref="I5:I6"/>
    <mergeCell ref="K5:K6"/>
  </mergeCells>
  <pageMargins left="0.7" right="0.7" top="0.75" bottom="0.75" header="0.3" footer="0.3"/>
  <pageSetup paperSize="9" scale="2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152"/>
  <sheetViews>
    <sheetView topLeftCell="A52" zoomScale="55" zoomScaleNormal="55" workbookViewId="0">
      <selection activeCell="B69" sqref="B69"/>
    </sheetView>
  </sheetViews>
  <sheetFormatPr defaultRowHeight="15" x14ac:dyDescent="0.25"/>
  <cols>
    <col min="1" max="1" width="15.7109375" customWidth="1"/>
    <col min="2" max="2" width="105.7109375" customWidth="1"/>
    <col min="3" max="4" width="12.7109375" customWidth="1"/>
    <col min="5" max="5" width="15.7109375" customWidth="1"/>
    <col min="6" max="6" width="15.7109375" style="32" customWidth="1"/>
    <col min="7" max="7" width="17.7109375" customWidth="1"/>
    <col min="8" max="8" width="15.7109375" style="28" customWidth="1"/>
    <col min="9" max="9" width="17.7109375" customWidth="1"/>
    <col min="10" max="10" width="15.7109375" style="32" customWidth="1"/>
    <col min="11" max="11" width="17.7109375" style="32" customWidth="1"/>
    <col min="12" max="12" width="19.7109375" customWidth="1"/>
    <col min="13" max="13" width="20.7109375" style="24" customWidth="1"/>
    <col min="15" max="15" width="14.5703125" customWidth="1"/>
  </cols>
  <sheetData>
    <row r="1" spans="1:13" ht="39.950000000000003" customHeight="1" x14ac:dyDescent="0.25">
      <c r="A1" s="207" t="s">
        <v>657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39.950000000000003" customHeight="1" x14ac:dyDescent="0.25">
      <c r="A2" s="208" t="s">
        <v>0</v>
      </c>
      <c r="B2" s="208" t="s">
        <v>658</v>
      </c>
      <c r="C2" s="209" t="s">
        <v>2</v>
      </c>
      <c r="D2" s="212" t="s">
        <v>653</v>
      </c>
      <c r="E2" s="213"/>
      <c r="F2" s="208" t="s">
        <v>659</v>
      </c>
      <c r="G2" s="208"/>
      <c r="H2" s="208" t="s">
        <v>660</v>
      </c>
      <c r="I2" s="208"/>
      <c r="J2" s="214" t="s">
        <v>661</v>
      </c>
      <c r="K2" s="214"/>
      <c r="L2" s="215" t="s">
        <v>662</v>
      </c>
      <c r="M2" s="218" t="s">
        <v>663</v>
      </c>
    </row>
    <row r="3" spans="1:13" ht="39.950000000000003" customHeight="1" x14ac:dyDescent="0.25">
      <c r="A3" s="208"/>
      <c r="B3" s="208"/>
      <c r="C3" s="210"/>
      <c r="D3" s="209" t="s">
        <v>664</v>
      </c>
      <c r="E3" s="214" t="s">
        <v>665</v>
      </c>
      <c r="F3" s="29" t="s">
        <v>664</v>
      </c>
      <c r="G3" s="219" t="s">
        <v>666</v>
      </c>
      <c r="H3" s="25" t="s">
        <v>664</v>
      </c>
      <c r="I3" s="219" t="s">
        <v>666</v>
      </c>
      <c r="J3" s="29" t="s">
        <v>664</v>
      </c>
      <c r="K3" s="221" t="s">
        <v>666</v>
      </c>
      <c r="L3" s="216"/>
      <c r="M3" s="218"/>
    </row>
    <row r="4" spans="1:13" ht="39.950000000000003" customHeight="1" x14ac:dyDescent="0.25">
      <c r="A4" s="208"/>
      <c r="B4" s="208"/>
      <c r="C4" s="211"/>
      <c r="D4" s="211"/>
      <c r="E4" s="214"/>
      <c r="F4" s="29" t="s">
        <v>667</v>
      </c>
      <c r="G4" s="220"/>
      <c r="H4" s="25" t="s">
        <v>667</v>
      </c>
      <c r="I4" s="220"/>
      <c r="J4" s="29" t="s">
        <v>667</v>
      </c>
      <c r="K4" s="222"/>
      <c r="L4" s="217"/>
      <c r="M4" s="218"/>
    </row>
    <row r="5" spans="1:13" ht="39.950000000000003" customHeight="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96">
        <v>6</v>
      </c>
      <c r="G5" s="96">
        <v>7</v>
      </c>
      <c r="H5" s="96">
        <v>8</v>
      </c>
      <c r="I5" s="8">
        <v>9</v>
      </c>
      <c r="J5" s="96">
        <v>10</v>
      </c>
      <c r="K5" s="96">
        <v>11</v>
      </c>
      <c r="L5" s="12">
        <v>12</v>
      </c>
      <c r="M5" s="21">
        <v>13</v>
      </c>
    </row>
    <row r="6" spans="1:13" ht="80.099999999999994" customHeight="1" x14ac:dyDescent="0.25">
      <c r="A6" s="8">
        <v>1</v>
      </c>
      <c r="B6" s="9" t="s">
        <v>603</v>
      </c>
      <c r="C6" s="10"/>
      <c r="D6" s="10"/>
      <c r="E6" s="10"/>
      <c r="F6" s="30"/>
      <c r="G6" s="10"/>
      <c r="H6" s="26"/>
      <c r="I6" s="10"/>
      <c r="J6" s="30"/>
      <c r="K6" s="30"/>
      <c r="L6" s="11"/>
      <c r="M6" s="22"/>
    </row>
    <row r="7" spans="1:13" s="45" customFormat="1" ht="39.950000000000003" customHeight="1" x14ac:dyDescent="0.25">
      <c r="A7" s="39">
        <v>1.1000000000000001</v>
      </c>
      <c r="B7" s="40" t="s">
        <v>1168</v>
      </c>
      <c r="C7" s="41" t="s">
        <v>713</v>
      </c>
      <c r="D7" s="41"/>
      <c r="E7" s="51">
        <v>1000</v>
      </c>
      <c r="F7" s="46"/>
      <c r="G7" s="42"/>
      <c r="H7" s="49"/>
      <c r="I7" s="42"/>
      <c r="J7" s="46"/>
      <c r="K7" s="46"/>
      <c r="L7" s="43" t="e">
        <f>SUM(L8:L11)</f>
        <v>#REF!</v>
      </c>
      <c r="M7" s="50" t="s">
        <v>687</v>
      </c>
    </row>
    <row r="8" spans="1:13" ht="39.950000000000003" customHeight="1" x14ac:dyDescent="0.25">
      <c r="A8" s="16" t="s">
        <v>668</v>
      </c>
      <c r="B8" s="17" t="s">
        <v>669</v>
      </c>
      <c r="C8" s="2" t="s">
        <v>670</v>
      </c>
      <c r="D8" s="2">
        <v>486</v>
      </c>
      <c r="E8" s="14">
        <f>D8*E7/1000</f>
        <v>486</v>
      </c>
      <c r="F8" s="31"/>
      <c r="G8" s="13"/>
      <c r="H8" s="27">
        <f>IF((ISNUMBER(--LEFT(M7,2))),VLOOKUP(--LEFT(M7,2),N!$A$5:$C$54,3,FALSE),VLOOKUP(--LEFT(M7,1),N!$A$5:$C$54,3,FALSE))</f>
        <v>6</v>
      </c>
      <c r="I8" s="14">
        <f>ROUND(E8*H8,2)</f>
        <v>2916</v>
      </c>
      <c r="J8" s="35">
        <f>ROUND(IF(ISNUMBER(MATCH(B8,E!$B$6:$B$197,0)),VLOOKUP(B8,E!$B$6:$E$197,2,FALSE),IF(#REF!="დიახ",IF(VLOOKUP(B8,M!$B$6:$I$733,8,FALSE)="ლ",VLOOKUP(B8,M!$B$6:$I$733,3,FALSE)*0.001*#REF!*#REF!,IF(VLOOKUP(B8,M!$B$6:$I$733,8,FALSE)="მბ",VLOOKUP(B8,M!$B$6:$I$733,3,FALSE)*0.001*#REF!*#REF!,IF(VLOOKUP(B8,M!$B$6:$I$733,8,FALSE)="აბ",VLOOKUP(B8,M!$B$6:$I$733,3,FALSE)*0.001*#REF!*#REF!,IF(VLOOKUP(B8,M!$B$6:$I$733,8,FALSE)="ინ",VLOOKUP(B8,M!$B$6:$I$733,3,FALSE)*0.001*#REF!*#REF!,IF(VLOOKUP(B8,M!$B$6:$I$733,8,FALSE)="ას",VLOOKUP(B8,M!$B$6:$I$733,3,FALSE)*0.001*#REF!*#REF!,IF(VLOOKUP(B8,M!$B$6:$I$733,8,FALSE)="სხ",VLOOKUP(B8,M!$B$6:$I$733,3,FALSE)*0.001*#REF!*#REF!,IF(VLOOKUP(B8,M!$B$6:$I$733,8,FALSE)="ხმ",VLOOKUP(B8,M!$B$6:$I$733,3,FALSE)*0.001*#REF!*#REF!))))))))),2)</f>
        <v>0</v>
      </c>
      <c r="K8" s="31"/>
      <c r="L8" s="14">
        <f>G8+I8+K8</f>
        <v>2916</v>
      </c>
      <c r="M8" s="23" t="str">
        <f>(IF(ISNUMBER(MATCH(B8,E!$B$6:$B$197,0)),VLOOKUP(B8,E!$B$6:$E$197,4,FALSE),VLOOKUP(B8,M!$B$6:$I$733,7,FALSE)))</f>
        <v>მ.ც</v>
      </c>
    </row>
    <row r="9" spans="1:13" ht="39.950000000000003" customHeight="1" x14ac:dyDescent="0.25">
      <c r="A9" s="16" t="s">
        <v>671</v>
      </c>
      <c r="B9" s="2" t="s">
        <v>230</v>
      </c>
      <c r="C9" s="2" t="s">
        <v>672</v>
      </c>
      <c r="D9" s="2">
        <v>39.200000000000003</v>
      </c>
      <c r="E9" s="14">
        <f>D9*E7/1000</f>
        <v>39.200000000000003</v>
      </c>
      <c r="F9" s="31"/>
      <c r="G9" s="13"/>
      <c r="H9" s="27"/>
      <c r="I9" s="13"/>
      <c r="J9" s="35">
        <f>ROUND(IF(ISNUMBER(MATCH(B9,E!$B$6:$B$197,0)),VLOOKUP(B9,E!$B$6:$E$197,2,FALSE),IF(#REF!="დიახ",IF(VLOOKUP(B9,M!$B$6:$I$733,8,FALSE)="ლ",VLOOKUP(B9,M!$B$6:$I$733,3,FALSE)*0.001*#REF!*#REF!,IF(VLOOKUP(B9,M!$B$6:$I$733,8,FALSE)="მბ",VLOOKUP(B9,M!$B$6:$I$733,3,FALSE)*0.001*#REF!*#REF!,IF(VLOOKUP(B9,M!$B$6:$I$733,8,FALSE)="აბ",VLOOKUP(B9,M!$B$6:$I$733,3,FALSE)*0.001*#REF!*#REF!,IF(VLOOKUP(B9,M!$B$6:$I$733,8,FALSE)="ინ",VLOOKUP(B9,M!$B$6:$I$733,3,FALSE)*0.001*#REF!*#REF!,IF(VLOOKUP(B9,M!$B$6:$I$733,8,FALSE)="ას",VLOOKUP(B9,M!$B$6:$I$733,3,FALSE)*0.001*#REF!*#REF!,IF(VLOOKUP(B9,M!$B$6:$I$733,8,FALSE)="სხ",VLOOKUP(B9,M!$B$6:$I$733,3,FALSE)*0.001*#REF!*#REF!,IF(VLOOKUP(B9,M!$B$6:$I$733,8,FALSE)="ხმ",VLOOKUP(B9,M!$B$6:$I$733,3,FALSE)*0.001*#REF!*#REF!))))))))),2)</f>
        <v>33.46</v>
      </c>
      <c r="K9" s="31">
        <f>ROUND(E9*J9,2)</f>
        <v>1311.63</v>
      </c>
      <c r="L9" s="14">
        <f>G9+I9+K9</f>
        <v>1311.63</v>
      </c>
      <c r="M9" s="23" t="str">
        <f>(IF(ISNUMBER(MATCH(B9,E!$B$6:$B$197,0)),VLOOKUP(B9,E!$B$6:$E$197,4,FALSE),VLOOKUP(B9,M!$B$6:$I$733,7,FALSE)))</f>
        <v>14-142</v>
      </c>
    </row>
    <row r="10" spans="1:13" ht="39.950000000000003" customHeight="1" x14ac:dyDescent="0.25">
      <c r="A10" s="16" t="s">
        <v>673</v>
      </c>
      <c r="B10" s="2" t="s">
        <v>208</v>
      </c>
      <c r="C10" s="2" t="s">
        <v>672</v>
      </c>
      <c r="D10" s="2">
        <v>9.65</v>
      </c>
      <c r="E10" s="14">
        <f>D10*E7/1000</f>
        <v>9.65</v>
      </c>
      <c r="F10" s="31"/>
      <c r="G10" s="13"/>
      <c r="H10" s="27"/>
      <c r="I10" s="13"/>
      <c r="J10" s="35">
        <f>ROUND(IF(ISNUMBER(MATCH(B10,E!$B$6:$B$197,0)),VLOOKUP(B10,E!$B$6:$E$197,2,FALSE),IF(#REF!="დიახ",IF(VLOOKUP(B10,M!$B$6:$I$733,8,FALSE)="ლ",VLOOKUP(B10,M!$B$6:$I$733,3,FALSE)*0.001*#REF!*#REF!,IF(VLOOKUP(B10,M!$B$6:$I$733,8,FALSE)="მბ",VLOOKUP(B10,M!$B$6:$I$733,3,FALSE)*0.001*#REF!*#REF!,IF(VLOOKUP(B10,M!$B$6:$I$733,8,FALSE)="აბ",VLOOKUP(B10,M!$B$6:$I$733,3,FALSE)*0.001*#REF!*#REF!,IF(VLOOKUP(B10,M!$B$6:$I$733,8,FALSE)="ინ",VLOOKUP(B10,M!$B$6:$I$733,3,FALSE)*0.001*#REF!*#REF!,IF(VLOOKUP(B10,M!$B$6:$I$733,8,FALSE)="ას",VLOOKUP(B10,M!$B$6:$I$733,3,FALSE)*0.001*#REF!*#REF!,IF(VLOOKUP(B10,M!$B$6:$I$733,8,FALSE)="სხ",VLOOKUP(B10,M!$B$6:$I$733,3,FALSE)*0.001*#REF!*#REF!,IF(VLOOKUP(B10,M!$B$6:$I$733,8,FALSE)="ხმ",VLOOKUP(B10,M!$B$6:$I$733,3,FALSE)*0.001*#REF!*#REF!))))))))),2)</f>
        <v>47.43</v>
      </c>
      <c r="K10" s="31">
        <f>ROUND(E10*J10,2)</f>
        <v>457.7</v>
      </c>
      <c r="L10" s="14">
        <f>G10+I10+K10</f>
        <v>457.7</v>
      </c>
      <c r="M10" s="23" t="str">
        <f>(IF(ISNUMBER(MATCH(B10,E!$B$6:$B$197,0)),VLOOKUP(B10,E!$B$6:$E$197,4,FALSE),VLOOKUP(B10,M!$B$6:$I$733,7,FALSE)))</f>
        <v>14-119</v>
      </c>
    </row>
    <row r="11" spans="1:13" ht="39.950000000000003" customHeight="1" x14ac:dyDescent="0.25">
      <c r="A11" s="16" t="s">
        <v>675</v>
      </c>
      <c r="B11" s="2" t="s">
        <v>677</v>
      </c>
      <c r="C11" s="2" t="s">
        <v>393</v>
      </c>
      <c r="D11" s="2">
        <v>2.2799999999999998</v>
      </c>
      <c r="E11" s="14">
        <f>D11*E7/1000</f>
        <v>2.2799999999999998</v>
      </c>
      <c r="F11" s="31" t="e">
        <f>ROUND(VLOOKUP(B11,M!$B$6:$H$733,IF(#REF!="დაბალი",4,IF(#REF!="საშუალო",6,IF(#REF!="მაღალი",5))),FALSE),2)</f>
        <v>#REF!</v>
      </c>
      <c r="G11" s="14" t="e">
        <f>ROUND(E11*F11,2)</f>
        <v>#REF!</v>
      </c>
      <c r="H11" s="27"/>
      <c r="I11" s="13"/>
      <c r="J11" s="35" t="e">
        <f>ROUND(IF(ISNUMBER(MATCH(B11,E!$B$6:$B$197,0)),VLOOKUP(B11,E!$B$6:$E$197,2,FALSE),IF(#REF!="დიახ",IF(VLOOKUP(B11,M!$B$6:$I$733,8,FALSE)="ლ",VLOOKUP(B11,M!$B$6:$I$733,3,FALSE)*0.001*#REF!*#REF!,IF(VLOOKUP(B11,M!$B$6:$I$733,8,FALSE)="მბ",VLOOKUP(B11,M!$B$6:$I$733,3,FALSE)*0.001*#REF!*#REF!,IF(VLOOKUP(B11,M!$B$6:$I$733,8,FALSE)="აბ",VLOOKUP(B11,M!$B$6:$I$733,3,FALSE)*0.001*#REF!*#REF!,IF(VLOOKUP(B11,M!$B$6:$I$733,8,FALSE)="ინ",VLOOKUP(B11,M!$B$6:$I$733,3,FALSE)*0.001*#REF!*#REF!,IF(VLOOKUP(B11,M!$B$6:$I$733,8,FALSE)="ას",VLOOKUP(B11,M!$B$6:$I$733,3,FALSE)*0.001*#REF!*#REF!,IF(VLOOKUP(B11,M!$B$6:$I$733,8,FALSE)="სხ",VLOOKUP(B11,M!$B$6:$I$733,3,FALSE)*0.001*#REF!*#REF!,IF(VLOOKUP(B11,M!$B$6:$I$733,8,FALSE)="ხმ",VLOOKUP(B11,M!$B$6:$I$733,3,FALSE)*0.001*#REF!*#REF!))))))))),2)</f>
        <v>#REF!</v>
      </c>
      <c r="K11" s="31"/>
      <c r="L11" s="14" t="e">
        <f>G11+I11+K11</f>
        <v>#REF!</v>
      </c>
      <c r="M11" s="23" t="str">
        <f>(IF(ISNUMBER(MATCH(B11,E!$B$6:$B$197,0)),VLOOKUP(B11,E!$B$6:$E$197,4,FALSE),VLOOKUP(B11,M!$B$6:$I$733,7,FALSE)))</f>
        <v>ს.რ.ფ</v>
      </c>
    </row>
    <row r="12" spans="1:13" s="45" customFormat="1" ht="39.950000000000003" customHeight="1" x14ac:dyDescent="0.25">
      <c r="A12" s="39">
        <v>1.1000000000000001</v>
      </c>
      <c r="B12" s="40" t="s">
        <v>1219</v>
      </c>
      <c r="C12" s="41" t="s">
        <v>712</v>
      </c>
      <c r="D12" s="41"/>
      <c r="E12" s="52">
        <v>1</v>
      </c>
      <c r="F12" s="42"/>
      <c r="G12" s="42"/>
      <c r="H12" s="42"/>
      <c r="I12" s="42"/>
      <c r="J12" s="35"/>
      <c r="K12" s="46"/>
      <c r="L12" s="43">
        <f>SUM(L13:L14)</f>
        <v>25.16</v>
      </c>
      <c r="M12" s="53" t="s">
        <v>1220</v>
      </c>
    </row>
    <row r="13" spans="1:13" ht="39.950000000000003" customHeight="1" x14ac:dyDescent="0.25">
      <c r="A13" s="16" t="s">
        <v>668</v>
      </c>
      <c r="B13" s="17" t="s">
        <v>669</v>
      </c>
      <c r="C13" s="2" t="s">
        <v>670</v>
      </c>
      <c r="D13" s="2">
        <v>16.329999999999998</v>
      </c>
      <c r="E13" s="14">
        <f>D13*E12/100</f>
        <v>0.16329999999999997</v>
      </c>
      <c r="F13" s="14"/>
      <c r="G13" s="13"/>
      <c r="H13" s="27">
        <f>IF((ISNUMBER(--LEFT(M12,2))),VLOOKUP(--LEFT(M12,2),N!$A$5:$C$54,3,FALSE),VLOOKUP(--LEFT(M12,1),N!$A$5:$C$54,3,FALSE))</f>
        <v>6</v>
      </c>
      <c r="I13" s="14">
        <f>ROUND(E13*H13,2)</f>
        <v>0.98</v>
      </c>
      <c r="J13" s="35">
        <v>0</v>
      </c>
      <c r="K13" s="31"/>
      <c r="L13" s="14">
        <f>G13+I13+K13</f>
        <v>0.98</v>
      </c>
      <c r="M13" s="23" t="str">
        <f>(IF(ISNUMBER(MATCH(B13,E!$B$6:$B$197,0)),VLOOKUP(B13,E!$B$6:$E$197,4,FALSE),VLOOKUP(B13,M!$B$6:$I$733,7,FALSE)))</f>
        <v>მ.ც</v>
      </c>
    </row>
    <row r="14" spans="1:13" ht="39.950000000000003" customHeight="1" x14ac:dyDescent="0.25">
      <c r="A14" s="16" t="s">
        <v>671</v>
      </c>
      <c r="B14" s="2" t="s">
        <v>279</v>
      </c>
      <c r="C14" s="2" t="s">
        <v>672</v>
      </c>
      <c r="D14" s="2">
        <v>16.329999999999998</v>
      </c>
      <c r="E14" s="14">
        <f>D14*E12/100</f>
        <v>0.16329999999999997</v>
      </c>
      <c r="F14" s="13"/>
      <c r="G14" s="13"/>
      <c r="H14" s="13"/>
      <c r="I14" s="13"/>
      <c r="J14" s="35">
        <f>ROUND(IF(ISNUMBER(MATCH(B14,E!$B$6:$B$197,0)),VLOOKUP(B14,E!$B$6:$E$197,2,FALSE),IF(#REF!="დიახ",IF(VLOOKUP(B14,M!$B$6:$I$733,8,FALSE)="ლ",VLOOKUP(B14,M!$B$6:$I$733,3,FALSE)*0.001*#REF!*#REF!,IF(VLOOKUP(B14,M!$B$6:$I$733,8,FALSE)="მბ",VLOOKUP(B14,M!$B$6:$I$733,3,FALSE)*0.001*#REF!*#REF!,IF(VLOOKUP(B14,M!$B$6:$I$733,8,FALSE)="აბ",VLOOKUP(B14,M!$B$6:$I$733,3,FALSE)*0.001*#REF!*#REF!,IF(VLOOKUP(B14,M!$B$6:$I$733,8,FALSE)="ინ",VLOOKUP(B14,M!$B$6:$I$733,3,FALSE)*0.001*#REF!*#REF!,IF(VLOOKUP(B14,M!$B$6:$I$733,8,FALSE)="ას",VLOOKUP(B14,M!$B$6:$I$733,3,FALSE)*0.001*#REF!*#REF!,IF(VLOOKUP(B14,M!$B$6:$I$733,8,FALSE)="სხ",VLOOKUP(B14,M!$B$6:$I$733,3,FALSE)*0.001*#REF!*#REF!,IF(VLOOKUP(B14,M!$B$6:$I$733,8,FALSE)="ხმ",VLOOKUP(B14,M!$B$6:$I$733,3,FALSE)*0.001*#REF!*#REF!))))))))),2)</f>
        <v>148.06</v>
      </c>
      <c r="K14" s="31">
        <f>ROUND(E14*J14,2)</f>
        <v>24.18</v>
      </c>
      <c r="L14" s="14">
        <f>G14+I14+K14</f>
        <v>24.18</v>
      </c>
      <c r="M14" s="23" t="str">
        <f>(IF(ISNUMBER(MATCH(B14,E!$B$6:$B$197,0)),VLOOKUP(B14,E!$B$6:$E$197,4,FALSE),VLOOKUP(B14,M!$B$6:$I$733,7,FALSE)))</f>
        <v>14.2-4</v>
      </c>
    </row>
    <row r="15" spans="1:13" s="45" customFormat="1" ht="39.950000000000003" customHeight="1" x14ac:dyDescent="0.25">
      <c r="A15" s="39">
        <v>1.1000000000000001</v>
      </c>
      <c r="B15" s="40" t="s">
        <v>686</v>
      </c>
      <c r="C15" s="41" t="s">
        <v>713</v>
      </c>
      <c r="D15" s="41"/>
      <c r="E15" s="51">
        <v>1000</v>
      </c>
      <c r="F15" s="46"/>
      <c r="G15" s="42"/>
      <c r="H15" s="49"/>
      <c r="I15" s="42"/>
      <c r="J15" s="46"/>
      <c r="K15" s="46"/>
      <c r="L15" s="43" t="e">
        <f>SUM(L16:L19)</f>
        <v>#REF!</v>
      </c>
      <c r="M15" s="50" t="s">
        <v>687</v>
      </c>
    </row>
    <row r="16" spans="1:13" ht="39.950000000000003" customHeight="1" x14ac:dyDescent="0.25">
      <c r="A16" s="16" t="s">
        <v>668</v>
      </c>
      <c r="B16" s="17" t="s">
        <v>669</v>
      </c>
      <c r="C16" s="2" t="s">
        <v>670</v>
      </c>
      <c r="D16" s="2">
        <v>677</v>
      </c>
      <c r="E16" s="14">
        <f>D16*E15/1000</f>
        <v>677</v>
      </c>
      <c r="F16" s="31"/>
      <c r="G16" s="13"/>
      <c r="H16" s="27">
        <f>IF((ISNUMBER(--LEFT(M15,2))),VLOOKUP(--LEFT(M15,2),N!$A$5:$C$54,3,FALSE),VLOOKUP(--LEFT(M15,1),N!$A$5:$C$54,3,FALSE))</f>
        <v>6</v>
      </c>
      <c r="I16" s="14">
        <f>ROUND(E16*H16,2)</f>
        <v>4062</v>
      </c>
      <c r="J16" s="35">
        <f>ROUND(IF(ISNUMBER(MATCH(B16,E!$B$6:$B$197,0)),VLOOKUP(B16,E!$B$6:$E$197,2,FALSE),IF(#REF!="დიახ",IF(VLOOKUP(B16,M!$B$6:$I$733,8,FALSE)="ლ",VLOOKUP(B16,M!$B$6:$I$733,3,FALSE)*0.001*#REF!*#REF!,IF(VLOOKUP(B16,M!$B$6:$I$733,8,FALSE)="მბ",VLOOKUP(B16,M!$B$6:$I$733,3,FALSE)*0.001*#REF!*#REF!,IF(VLOOKUP(B16,M!$B$6:$I$733,8,FALSE)="აბ",VLOOKUP(B16,M!$B$6:$I$733,3,FALSE)*0.001*#REF!*#REF!,IF(VLOOKUP(B16,M!$B$6:$I$733,8,FALSE)="ინ",VLOOKUP(B16,M!$B$6:$I$733,3,FALSE)*0.001*#REF!*#REF!,IF(VLOOKUP(B16,M!$B$6:$I$733,8,FALSE)="ას",VLOOKUP(B16,M!$B$6:$I$733,3,FALSE)*0.001*#REF!*#REF!,IF(VLOOKUP(B16,M!$B$6:$I$733,8,FALSE)="სხ",VLOOKUP(B16,M!$B$6:$I$733,3,FALSE)*0.001*#REF!*#REF!,IF(VLOOKUP(B16,M!$B$6:$I$733,8,FALSE)="ხმ",VLOOKUP(B16,M!$B$6:$I$733,3,FALSE)*0.001*#REF!*#REF!))))))))),2)</f>
        <v>0</v>
      </c>
      <c r="K16" s="31"/>
      <c r="L16" s="14">
        <f>G16+I16+K16</f>
        <v>4062</v>
      </c>
      <c r="M16" s="23" t="str">
        <f>(IF(ISNUMBER(MATCH(B16,E!$B$6:$B$197,0)),VLOOKUP(B16,E!$B$6:$E$197,4,FALSE),VLOOKUP(B16,M!$B$6:$I$733,7,FALSE)))</f>
        <v>მ.ც</v>
      </c>
    </row>
    <row r="17" spans="1:13" ht="39.950000000000003" customHeight="1" x14ac:dyDescent="0.25">
      <c r="A17" s="16" t="s">
        <v>671</v>
      </c>
      <c r="B17" s="2" t="s">
        <v>230</v>
      </c>
      <c r="C17" s="2" t="s">
        <v>672</v>
      </c>
      <c r="D17" s="2">
        <v>57.8</v>
      </c>
      <c r="E17" s="14">
        <f>D17*E15/1000</f>
        <v>57.8</v>
      </c>
      <c r="F17" s="31"/>
      <c r="G17" s="13"/>
      <c r="H17" s="27"/>
      <c r="I17" s="13"/>
      <c r="J17" s="35">
        <f>ROUND(IF(ISNUMBER(MATCH(B17,E!$B$6:$B$197,0)),VLOOKUP(B17,E!$B$6:$E$197,2,FALSE),IF(#REF!="დიახ",IF(VLOOKUP(B17,M!$B$6:$I$733,8,FALSE)="ლ",VLOOKUP(B17,M!$B$6:$I$733,3,FALSE)*0.001*#REF!*#REF!,IF(VLOOKUP(B17,M!$B$6:$I$733,8,FALSE)="მბ",VLOOKUP(B17,M!$B$6:$I$733,3,FALSE)*0.001*#REF!*#REF!,IF(VLOOKUP(B17,M!$B$6:$I$733,8,FALSE)="აბ",VLOOKUP(B17,M!$B$6:$I$733,3,FALSE)*0.001*#REF!*#REF!,IF(VLOOKUP(B17,M!$B$6:$I$733,8,FALSE)="ინ",VLOOKUP(B17,M!$B$6:$I$733,3,FALSE)*0.001*#REF!*#REF!,IF(VLOOKUP(B17,M!$B$6:$I$733,8,FALSE)="ას",VLOOKUP(B17,M!$B$6:$I$733,3,FALSE)*0.001*#REF!*#REF!,IF(VLOOKUP(B17,M!$B$6:$I$733,8,FALSE)="სხ",VLOOKUP(B17,M!$B$6:$I$733,3,FALSE)*0.001*#REF!*#REF!,IF(VLOOKUP(B17,M!$B$6:$I$733,8,FALSE)="ხმ",VLOOKUP(B17,M!$B$6:$I$733,3,FALSE)*0.001*#REF!*#REF!))))))))),2)</f>
        <v>33.46</v>
      </c>
      <c r="K17" s="31">
        <f>ROUND(E17*J17,2)</f>
        <v>1933.99</v>
      </c>
      <c r="L17" s="14">
        <f>G17+I17+K17</f>
        <v>1933.99</v>
      </c>
      <c r="M17" s="23" t="str">
        <f>(IF(ISNUMBER(MATCH(B17,E!$B$6:$B$197,0)),VLOOKUP(B17,E!$B$6:$E$197,4,FALSE),VLOOKUP(B17,M!$B$6:$I$733,7,FALSE)))</f>
        <v>14-142</v>
      </c>
    </row>
    <row r="18" spans="1:13" ht="39.950000000000003" customHeight="1" x14ac:dyDescent="0.25">
      <c r="A18" s="16" t="s">
        <v>673</v>
      </c>
      <c r="B18" s="2" t="s">
        <v>208</v>
      </c>
      <c r="C18" s="2" t="s">
        <v>672</v>
      </c>
      <c r="D18" s="2">
        <v>12.5</v>
      </c>
      <c r="E18" s="14">
        <f>D18*E15/1000</f>
        <v>12.5</v>
      </c>
      <c r="F18" s="31"/>
      <c r="G18" s="13"/>
      <c r="H18" s="27"/>
      <c r="I18" s="13"/>
      <c r="J18" s="35">
        <f>ROUND(IF(ISNUMBER(MATCH(B18,E!$B$6:$B$197,0)),VLOOKUP(B18,E!$B$6:$E$197,2,FALSE),IF(#REF!="დიახ",IF(VLOOKUP(B18,M!$B$6:$I$733,8,FALSE)="ლ",VLOOKUP(B18,M!$B$6:$I$733,3,FALSE)*0.001*#REF!*#REF!,IF(VLOOKUP(B18,M!$B$6:$I$733,8,FALSE)="მბ",VLOOKUP(B18,M!$B$6:$I$733,3,FALSE)*0.001*#REF!*#REF!,IF(VLOOKUP(B18,M!$B$6:$I$733,8,FALSE)="აბ",VLOOKUP(B18,M!$B$6:$I$733,3,FALSE)*0.001*#REF!*#REF!,IF(VLOOKUP(B18,M!$B$6:$I$733,8,FALSE)="ინ",VLOOKUP(B18,M!$B$6:$I$733,3,FALSE)*0.001*#REF!*#REF!,IF(VLOOKUP(B18,M!$B$6:$I$733,8,FALSE)="ას",VLOOKUP(B18,M!$B$6:$I$733,3,FALSE)*0.001*#REF!*#REF!,IF(VLOOKUP(B18,M!$B$6:$I$733,8,FALSE)="სხ",VLOOKUP(B18,M!$B$6:$I$733,3,FALSE)*0.001*#REF!*#REF!,IF(VLOOKUP(B18,M!$B$6:$I$733,8,FALSE)="ხმ",VLOOKUP(B18,M!$B$6:$I$733,3,FALSE)*0.001*#REF!*#REF!))))))))),2)</f>
        <v>47.43</v>
      </c>
      <c r="K18" s="31">
        <f>ROUND(E18*J18,2)</f>
        <v>592.88</v>
      </c>
      <c r="L18" s="14">
        <f>G18+I18+K18</f>
        <v>592.88</v>
      </c>
      <c r="M18" s="23" t="str">
        <f>(IF(ISNUMBER(MATCH(B18,E!$B$6:$B$197,0)),VLOOKUP(B18,E!$B$6:$E$197,4,FALSE),VLOOKUP(B18,M!$B$6:$I$733,7,FALSE)))</f>
        <v>14-119</v>
      </c>
    </row>
    <row r="19" spans="1:13" ht="39.950000000000003" customHeight="1" x14ac:dyDescent="0.25">
      <c r="A19" s="16" t="s">
        <v>675</v>
      </c>
      <c r="B19" s="2" t="s">
        <v>677</v>
      </c>
      <c r="C19" s="2" t="s">
        <v>393</v>
      </c>
      <c r="D19" s="2">
        <v>2.82</v>
      </c>
      <c r="E19" s="14">
        <f>D19*E15/1000</f>
        <v>2.82</v>
      </c>
      <c r="F19" s="31" t="e">
        <f>ROUND(VLOOKUP(B19,M!$B$6:$H$733,IF(#REF!="დაბალი",4,IF(#REF!="საშუალო",6,IF(#REF!="მაღალი",5))),FALSE),2)</f>
        <v>#REF!</v>
      </c>
      <c r="G19" s="14" t="e">
        <f>ROUND(E19*F19,2)</f>
        <v>#REF!</v>
      </c>
      <c r="H19" s="27"/>
      <c r="I19" s="13"/>
      <c r="J19" s="35" t="e">
        <f>ROUND(IF(ISNUMBER(MATCH(B19,E!$B$6:$B$197,0)),VLOOKUP(B19,E!$B$6:$E$197,2,FALSE),IF(#REF!="დიახ",IF(VLOOKUP(B19,M!$B$6:$I$733,8,FALSE)="ლ",VLOOKUP(B19,M!$B$6:$I$733,3,FALSE)*0.001*#REF!*#REF!,IF(VLOOKUP(B19,M!$B$6:$I$733,8,FALSE)="მბ",VLOOKUP(B19,M!$B$6:$I$733,3,FALSE)*0.001*#REF!*#REF!,IF(VLOOKUP(B19,M!$B$6:$I$733,8,FALSE)="აბ",VLOOKUP(B19,M!$B$6:$I$733,3,FALSE)*0.001*#REF!*#REF!,IF(VLOOKUP(B19,M!$B$6:$I$733,8,FALSE)="ინ",VLOOKUP(B19,M!$B$6:$I$733,3,FALSE)*0.001*#REF!*#REF!,IF(VLOOKUP(B19,M!$B$6:$I$733,8,FALSE)="ას",VLOOKUP(B19,M!$B$6:$I$733,3,FALSE)*0.001*#REF!*#REF!,IF(VLOOKUP(B19,M!$B$6:$I$733,8,FALSE)="სხ",VLOOKUP(B19,M!$B$6:$I$733,3,FALSE)*0.001*#REF!*#REF!,IF(VLOOKUP(B19,M!$B$6:$I$733,8,FALSE)="ხმ",VLOOKUP(B19,M!$B$6:$I$733,3,FALSE)*0.001*#REF!*#REF!))))))))),2)</f>
        <v>#REF!</v>
      </c>
      <c r="K19" s="31"/>
      <c r="L19" s="14" t="e">
        <f>G19+I19+K19</f>
        <v>#REF!</v>
      </c>
      <c r="M19" s="23" t="str">
        <f>(IF(ISNUMBER(MATCH(B19,E!$B$6:$B$197,0)),VLOOKUP(B19,E!$B$6:$E$197,4,FALSE),VLOOKUP(B19,M!$B$6:$I$733,7,FALSE)))</f>
        <v>ს.რ.ფ</v>
      </c>
    </row>
    <row r="20" spans="1:13" s="45" customFormat="1" ht="39.950000000000003" customHeight="1" x14ac:dyDescent="0.25">
      <c r="A20" s="39">
        <v>1.1000000000000001</v>
      </c>
      <c r="B20" s="40" t="s">
        <v>1169</v>
      </c>
      <c r="C20" s="41" t="s">
        <v>713</v>
      </c>
      <c r="D20" s="41"/>
      <c r="E20" s="51">
        <v>1000</v>
      </c>
      <c r="F20" s="46"/>
      <c r="G20" s="42"/>
      <c r="H20" s="49"/>
      <c r="I20" s="42"/>
      <c r="J20" s="46"/>
      <c r="K20" s="46"/>
      <c r="L20" s="43" t="e">
        <f>SUM(L21:L24)</f>
        <v>#REF!</v>
      </c>
      <c r="M20" s="50" t="s">
        <v>687</v>
      </c>
    </row>
    <row r="21" spans="1:13" ht="39.950000000000003" customHeight="1" x14ac:dyDescent="0.25">
      <c r="A21" s="16" t="s">
        <v>668</v>
      </c>
      <c r="B21" s="17" t="s">
        <v>669</v>
      </c>
      <c r="C21" s="2" t="s">
        <v>670</v>
      </c>
      <c r="D21" s="2">
        <v>815</v>
      </c>
      <c r="E21" s="14">
        <f>D21*E20/1000</f>
        <v>815</v>
      </c>
      <c r="F21" s="31"/>
      <c r="G21" s="13"/>
      <c r="H21" s="27">
        <f>IF((ISNUMBER(--LEFT(M20,2))),VLOOKUP(--LEFT(M20,2),N!$A$5:$C$54,3,FALSE),VLOOKUP(--LEFT(M20,1),N!$A$5:$C$54,3,FALSE))</f>
        <v>6</v>
      </c>
      <c r="I21" s="14">
        <f>ROUND(E21*H21,2)</f>
        <v>4890</v>
      </c>
      <c r="J21" s="35">
        <f>ROUND(IF(ISNUMBER(MATCH(B21,E!$B$6:$B$197,0)),VLOOKUP(B21,E!$B$6:$E$197,2,FALSE),IF(#REF!="დიახ",IF(VLOOKUP(B21,M!$B$6:$I$733,8,FALSE)="ლ",VLOOKUP(B21,M!$B$6:$I$733,3,FALSE)*0.001*#REF!*#REF!,IF(VLOOKUP(B21,M!$B$6:$I$733,8,FALSE)="მბ",VLOOKUP(B21,M!$B$6:$I$733,3,FALSE)*0.001*#REF!*#REF!,IF(VLOOKUP(B21,M!$B$6:$I$733,8,FALSE)="აბ",VLOOKUP(B21,M!$B$6:$I$733,3,FALSE)*0.001*#REF!*#REF!,IF(VLOOKUP(B21,M!$B$6:$I$733,8,FALSE)="ინ",VLOOKUP(B21,M!$B$6:$I$733,3,FALSE)*0.001*#REF!*#REF!,IF(VLOOKUP(B21,M!$B$6:$I$733,8,FALSE)="ას",VLOOKUP(B21,M!$B$6:$I$733,3,FALSE)*0.001*#REF!*#REF!,IF(VLOOKUP(B21,M!$B$6:$I$733,8,FALSE)="სხ",VLOOKUP(B21,M!$B$6:$I$733,3,FALSE)*0.001*#REF!*#REF!,IF(VLOOKUP(B21,M!$B$6:$I$733,8,FALSE)="ხმ",VLOOKUP(B21,M!$B$6:$I$733,3,FALSE)*0.001*#REF!*#REF!))))))))),2)</f>
        <v>0</v>
      </c>
      <c r="K21" s="31"/>
      <c r="L21" s="14">
        <f>G21+I21+K21</f>
        <v>4890</v>
      </c>
      <c r="M21" s="23" t="str">
        <f>(IF(ISNUMBER(MATCH(B21,E!$B$6:$B$197,0)),VLOOKUP(B21,E!$B$6:$E$197,4,FALSE),VLOOKUP(B21,M!$B$6:$I$733,7,FALSE)))</f>
        <v>მ.ც</v>
      </c>
    </row>
    <row r="22" spans="1:13" ht="39.950000000000003" customHeight="1" x14ac:dyDescent="0.25">
      <c r="A22" s="16" t="s">
        <v>671</v>
      </c>
      <c r="B22" s="2" t="s">
        <v>230</v>
      </c>
      <c r="C22" s="2" t="s">
        <v>672</v>
      </c>
      <c r="D22" s="2">
        <v>57.8</v>
      </c>
      <c r="E22" s="14">
        <f>D22*E20/1000</f>
        <v>57.8</v>
      </c>
      <c r="F22" s="31"/>
      <c r="G22" s="13"/>
      <c r="H22" s="27"/>
      <c r="I22" s="13"/>
      <c r="J22" s="35">
        <f>ROUND(IF(ISNUMBER(MATCH(B22,E!$B$6:$B$197,0)),VLOOKUP(B22,E!$B$6:$E$197,2,FALSE),IF(#REF!="დიახ",IF(VLOOKUP(B22,M!$B$6:$I$733,8,FALSE)="ლ",VLOOKUP(B22,M!$B$6:$I$733,3,FALSE)*0.001*#REF!*#REF!,IF(VLOOKUP(B22,M!$B$6:$I$733,8,FALSE)="მბ",VLOOKUP(B22,M!$B$6:$I$733,3,FALSE)*0.001*#REF!*#REF!,IF(VLOOKUP(B22,M!$B$6:$I$733,8,FALSE)="აბ",VLOOKUP(B22,M!$B$6:$I$733,3,FALSE)*0.001*#REF!*#REF!,IF(VLOOKUP(B22,M!$B$6:$I$733,8,FALSE)="ინ",VLOOKUP(B22,M!$B$6:$I$733,3,FALSE)*0.001*#REF!*#REF!,IF(VLOOKUP(B22,M!$B$6:$I$733,8,FALSE)="ას",VLOOKUP(B22,M!$B$6:$I$733,3,FALSE)*0.001*#REF!*#REF!,IF(VLOOKUP(B22,M!$B$6:$I$733,8,FALSE)="სხ",VLOOKUP(B22,M!$B$6:$I$733,3,FALSE)*0.001*#REF!*#REF!,IF(VLOOKUP(B22,M!$B$6:$I$733,8,FALSE)="ხმ",VLOOKUP(B22,M!$B$6:$I$733,3,FALSE)*0.001*#REF!*#REF!))))))))),2)</f>
        <v>33.46</v>
      </c>
      <c r="K22" s="31">
        <f>ROUND(E22*J22,2)</f>
        <v>1933.99</v>
      </c>
      <c r="L22" s="14">
        <f>G22+I22+K22</f>
        <v>1933.99</v>
      </c>
      <c r="M22" s="23" t="str">
        <f>(IF(ISNUMBER(MATCH(B22,E!$B$6:$B$197,0)),VLOOKUP(B22,E!$B$6:$E$197,4,FALSE),VLOOKUP(B22,M!$B$6:$I$733,7,FALSE)))</f>
        <v>14-142</v>
      </c>
    </row>
    <row r="23" spans="1:13" ht="39.950000000000003" customHeight="1" x14ac:dyDescent="0.25">
      <c r="A23" s="16" t="s">
        <v>673</v>
      </c>
      <c r="B23" s="2" t="s">
        <v>208</v>
      </c>
      <c r="C23" s="2" t="s">
        <v>672</v>
      </c>
      <c r="D23" s="2">
        <v>12.9</v>
      </c>
      <c r="E23" s="14">
        <f>D23*E20/1000</f>
        <v>12.9</v>
      </c>
      <c r="F23" s="31"/>
      <c r="G23" s="13"/>
      <c r="H23" s="27"/>
      <c r="I23" s="13"/>
      <c r="J23" s="35">
        <f>ROUND(IF(ISNUMBER(MATCH(B23,E!$B$6:$B$197,0)),VLOOKUP(B23,E!$B$6:$E$197,2,FALSE),IF(#REF!="დიახ",IF(VLOOKUP(B23,M!$B$6:$I$733,8,FALSE)="ლ",VLOOKUP(B23,M!$B$6:$I$733,3,FALSE)*0.001*#REF!*#REF!,IF(VLOOKUP(B23,M!$B$6:$I$733,8,FALSE)="მბ",VLOOKUP(B23,M!$B$6:$I$733,3,FALSE)*0.001*#REF!*#REF!,IF(VLOOKUP(B23,M!$B$6:$I$733,8,FALSE)="აბ",VLOOKUP(B23,M!$B$6:$I$733,3,FALSE)*0.001*#REF!*#REF!,IF(VLOOKUP(B23,M!$B$6:$I$733,8,FALSE)="ინ",VLOOKUP(B23,M!$B$6:$I$733,3,FALSE)*0.001*#REF!*#REF!,IF(VLOOKUP(B23,M!$B$6:$I$733,8,FALSE)="ას",VLOOKUP(B23,M!$B$6:$I$733,3,FALSE)*0.001*#REF!*#REF!,IF(VLOOKUP(B23,M!$B$6:$I$733,8,FALSE)="სხ",VLOOKUP(B23,M!$B$6:$I$733,3,FALSE)*0.001*#REF!*#REF!,IF(VLOOKUP(B23,M!$B$6:$I$733,8,FALSE)="ხმ",VLOOKUP(B23,M!$B$6:$I$733,3,FALSE)*0.001*#REF!*#REF!))))))))),2)</f>
        <v>47.43</v>
      </c>
      <c r="K23" s="31">
        <f>ROUND(E23*J23,2)</f>
        <v>611.85</v>
      </c>
      <c r="L23" s="14">
        <f>G23+I23+K23</f>
        <v>611.85</v>
      </c>
      <c r="M23" s="23" t="str">
        <f>(IF(ISNUMBER(MATCH(B23,E!$B$6:$B$197,0)),VLOOKUP(B23,E!$B$6:$E$197,4,FALSE),VLOOKUP(B23,M!$B$6:$I$733,7,FALSE)))</f>
        <v>14-119</v>
      </c>
    </row>
    <row r="24" spans="1:13" ht="39.950000000000003" customHeight="1" x14ac:dyDescent="0.25">
      <c r="A24" s="16" t="s">
        <v>675</v>
      </c>
      <c r="B24" s="2" t="s">
        <v>677</v>
      </c>
      <c r="C24" s="2" t="s">
        <v>393</v>
      </c>
      <c r="D24" s="2">
        <v>3.88</v>
      </c>
      <c r="E24" s="14">
        <f>D24*E20/1000</f>
        <v>3.88</v>
      </c>
      <c r="F24" s="31" t="e">
        <f>ROUND(VLOOKUP(B24,M!$B$6:$H$733,IF(#REF!="დაბალი",4,IF(#REF!="საშუალო",6,IF(#REF!="მაღალი",5))),FALSE),2)</f>
        <v>#REF!</v>
      </c>
      <c r="G24" s="14" t="e">
        <f>ROUND(E24*F24,2)</f>
        <v>#REF!</v>
      </c>
      <c r="H24" s="27"/>
      <c r="I24" s="13"/>
      <c r="J24" s="35" t="e">
        <f>ROUND(IF(ISNUMBER(MATCH(B24,E!$B$6:$B$197,0)),VLOOKUP(B24,E!$B$6:$E$197,2,FALSE),IF(#REF!="დიახ",IF(VLOOKUP(B24,M!$B$6:$I$733,8,FALSE)="ლ",VLOOKUP(B24,M!$B$6:$I$733,3,FALSE)*0.001*#REF!*#REF!,IF(VLOOKUP(B24,M!$B$6:$I$733,8,FALSE)="მბ",VLOOKUP(B24,M!$B$6:$I$733,3,FALSE)*0.001*#REF!*#REF!,IF(VLOOKUP(B24,M!$B$6:$I$733,8,FALSE)="აბ",VLOOKUP(B24,M!$B$6:$I$733,3,FALSE)*0.001*#REF!*#REF!,IF(VLOOKUP(B24,M!$B$6:$I$733,8,FALSE)="ინ",VLOOKUP(B24,M!$B$6:$I$733,3,FALSE)*0.001*#REF!*#REF!,IF(VLOOKUP(B24,M!$B$6:$I$733,8,FALSE)="ას",VLOOKUP(B24,M!$B$6:$I$733,3,FALSE)*0.001*#REF!*#REF!,IF(VLOOKUP(B24,M!$B$6:$I$733,8,FALSE)="სხ",VLOOKUP(B24,M!$B$6:$I$733,3,FALSE)*0.001*#REF!*#REF!,IF(VLOOKUP(B24,M!$B$6:$I$733,8,FALSE)="ხმ",VLOOKUP(B24,M!$B$6:$I$733,3,FALSE)*0.001*#REF!*#REF!))))))))),2)</f>
        <v>#REF!</v>
      </c>
      <c r="K24" s="31"/>
      <c r="L24" s="14" t="e">
        <f>G24+I24+K24</f>
        <v>#REF!</v>
      </c>
      <c r="M24" s="23" t="str">
        <f>(IF(ISNUMBER(MATCH(B24,E!$B$6:$B$197,0)),VLOOKUP(B24,E!$B$6:$E$197,4,FALSE),VLOOKUP(B24,M!$B$6:$I$733,7,FALSE)))</f>
        <v>ს.რ.ფ</v>
      </c>
    </row>
    <row r="25" spans="1:13" s="45" customFormat="1" ht="39.950000000000003" customHeight="1" x14ac:dyDescent="0.25">
      <c r="A25" s="39">
        <v>1.1000000000000001</v>
      </c>
      <c r="B25" s="40" t="s">
        <v>688</v>
      </c>
      <c r="C25" s="41" t="s">
        <v>713</v>
      </c>
      <c r="D25" s="41"/>
      <c r="E25" s="51">
        <v>1000</v>
      </c>
      <c r="F25" s="42"/>
      <c r="G25" s="42"/>
      <c r="H25" s="42"/>
      <c r="I25" s="42"/>
      <c r="J25" s="35"/>
      <c r="K25" s="46"/>
      <c r="L25" s="43" t="e">
        <f>SUM(L26:L29)</f>
        <v>#REF!</v>
      </c>
      <c r="M25" s="79" t="str">
        <f>"1-22-"&amp;IF(AND((ISNUMBER(--MID(B25,4,1))),(MID(B27,13,4)="1,0 ")),HLOOKUP(--MID(B25,4,1),SN!$D$4:$I$10,2,FALSE),IF(AND(MID(B27,13,4)="1,0 ",ISNUMBER(--LEFT(B25,1))),HLOOKUP(--LEFT(B25,1),SN!$D$4:$I$10,2,FALSE),IF(AND((ISNUMBER(--MID(B25,4,1))),(MID(B27,13,4)="0,5 ")),HLOOKUP(--MID(B25,4,1),SN!$P$4:$U$10,2,FALSE),IF(AND(MID(B27,13,4)="0,5 ",ISNUMBER(--LEFT(B25,1))),HLOOKUP(--LEFT(B25,1),SN!$P$4:$U$10,2,FALSE),IF(AND((ISNUMBER(--MID(B25,4,1))),(MID(B27,13,4)="0,65")),HLOOKUP(--MID(B25,4,1),SN!$J$4:$O$10,2,FALSE),IF(AND(MID(B27,13,4)="0,65",ISNUMBER(--LEFT(B25,1))),HLOOKUP(--LEFT(B25,1),SN!$J$4:$O$10,2,FALSE),IF(AND((ISNUMBER(--MID(B25,4,1))),ISTEXT(B27)),HLOOKUP(--MID(B25,4,1),SN!$P$4:$U$10,2,FALSE),IF(AND(ISTEXT(B25),ISNUMBER(--LEFT(B25,1))),HLOOKUP(--LEFT(B25,1),SN!$P$4:$U$10,2,FALSE)))))))))</f>
        <v>1-22-15</v>
      </c>
    </row>
    <row r="26" spans="1:13" ht="39.950000000000003" customHeight="1" x14ac:dyDescent="0.25">
      <c r="A26" s="16" t="s">
        <v>668</v>
      </c>
      <c r="B26" s="17" t="s">
        <v>669</v>
      </c>
      <c r="C26" s="2" t="s">
        <v>670</v>
      </c>
      <c r="D26" s="2">
        <f>IF(AND((ISNUMBER(--MID(B25,4,1))),(MID(B27,13,4)="1,0 ")),HLOOKUP(--MID(B25,4,1),SN!$D$4:$I$10,3,FALSE),IF(AND(MID(B27,13,4)="1,0 ",ISNUMBER(--LEFT(B25,1))),HLOOKUP(--LEFT(B25,1),SN!$D$4:$I$10,3,FALSE),IF(AND((ISNUMBER(--MID(B25,4,1))),(MID(B27,13,4)="0,5 ")),HLOOKUP(--MID(B25,4,1),SN!$P$4:$U$10,3,FALSE),IF(AND(MID(B27,13,4)="0,5 ",ISNUMBER(--LEFT(B25,1))),HLOOKUP(--LEFT(B25,1),SN!$P$4:$U$10,3,FALSE),IF(AND((ISNUMBER(--MID(B25,4,1))),(MID(B27,13,4)="0,65")),HLOOKUP(--MID(B25,4,1),SN!$J$4:$O$10,3,FALSE),IF(AND(MID(B27,13,4)="0,65",ISNUMBER(--LEFT(B25,1))),HLOOKUP(--LEFT(B25,1),SN!$J$4:$O$10,3,FALSE),IF(AND((ISNUMBER(--MID(B25,4,1))),ISTEXT(B27)),HLOOKUP(--MID(B25,4,1),SN!$P$4:$U$10,3,FALSE),IF(AND(ISTEXT(B25),ISNUMBER(--LEFT(B25,1))),HLOOKUP(--LEFT(B25,1),SN!$P$4:$U$10,3,FALSE)))))))))</f>
        <v>20</v>
      </c>
      <c r="E26" s="14">
        <f>D26*E25/1000</f>
        <v>20</v>
      </c>
      <c r="F26" s="14"/>
      <c r="G26" s="13"/>
      <c r="H26" s="27">
        <f>IF((ISNUMBER(--LEFT(M25,2))),VLOOKUP(--LEFT(M25,2),N!$A$5:$C$54,3,FALSE),VLOOKUP(--LEFT(M25,1),N!$A$5:$C$54,3,FALSE))</f>
        <v>6</v>
      </c>
      <c r="I26" s="14">
        <f>ROUND(E26*H26,2)</f>
        <v>120</v>
      </c>
      <c r="J26" s="35">
        <f>ROUND(IF(ISNUMBER(MATCH(B26,E!$B$6:$B$197,0)),VLOOKUP(B26,E!$B$6:$E$197,2,FALSE),IF(#REF!="დიახ",IF(VLOOKUP(B26,M!$B$6:$I$733,8,FALSE)="ლ",VLOOKUP(B26,M!$B$6:$I$733,3,FALSE)*0.001*#REF!*#REF!,IF(VLOOKUP(B26,M!$B$6:$I$733,8,FALSE)="მბ",VLOOKUP(B26,M!$B$6:$I$733,3,FALSE)*0.001*#REF!*#REF!,IF(VLOOKUP(B26,M!$B$6:$I$733,8,FALSE)="აბ",VLOOKUP(B26,M!$B$6:$I$733,3,FALSE)*0.001*#REF!*#REF!,IF(VLOOKUP(B26,M!$B$6:$I$733,8,FALSE)="ინ",VLOOKUP(B26,M!$B$6:$I$733,3,FALSE)*0.001*#REF!*#REF!,IF(VLOOKUP(B26,M!$B$6:$I$733,8,FALSE)="ას",VLOOKUP(B26,M!$B$6:$I$733,3,FALSE)*0.001*#REF!*#REF!,IF(VLOOKUP(B26,M!$B$6:$I$733,8,FALSE)="სხ",VLOOKUP(B26,M!$B$6:$I$733,3,FALSE)*0.001*#REF!*#REF!,IF(VLOOKUP(B26,M!$B$6:$I$733,8,FALSE)="ხმ",VLOOKUP(B26,M!$B$6:$I$733,3,FALSE)*0.001*#REF!*#REF!))))))))),2)</f>
        <v>0</v>
      </c>
      <c r="K26" s="31"/>
      <c r="L26" s="14">
        <f>G26+I26+K26</f>
        <v>120</v>
      </c>
      <c r="M26" s="23" t="str">
        <f>(IF(ISNUMBER(MATCH(B26,E!$B$6:$B$197,0)),VLOOKUP(B26,E!$B$6:$E$197,4,FALSE),VLOOKUP(B26,M!$B$6:$I$733,7,FALSE)))</f>
        <v>მ.ც</v>
      </c>
    </row>
    <row r="27" spans="1:13" ht="39.950000000000003" customHeight="1" x14ac:dyDescent="0.25">
      <c r="A27" s="16" t="s">
        <v>671</v>
      </c>
      <c r="B27" s="2" t="s">
        <v>678</v>
      </c>
      <c r="C27" s="2" t="s">
        <v>672</v>
      </c>
      <c r="D27" s="2">
        <f>IF(AND((ISNUMBER(--MID(B25,4,1))),(MID(B27,13,4)="1,0 ")),HLOOKUP(--MID(B25,4,1),SN!$D$4:$I$10,5,FALSE),IF(AND(MID(B27,13,4)="1,0 ",ISNUMBER(--LEFT(B25,1))),HLOOKUP(--LEFT(B25,1),SN!$D$4:$I$10,5,FALSE),IF(AND((ISNUMBER(--MID(B25,4,1))),(MID(B27,13,4)="0,5 ")),HLOOKUP(--MID(B25,4,1),SN!$P$4:$U$10,5,FALSE),IF(AND(MID(B27,13,4)="0,5 ",ISNUMBER(--LEFT(B25,1))),HLOOKUP(--LEFT(B25,1),SN!$P$4:$U$10,5,FALSE),IF(AND((ISNUMBER(--MID(B25,4,1))),(MID(B27,13,4)="0,65")),HLOOKUP(--MID(B25,4,1),SN!$J$4:$O$10,5,FALSE),IF(AND(MID(B27,13,4)="0,65",ISNUMBER(--LEFT(B25,1))),HLOOKUP(--LEFT(B25,1),SN!$J$4:$O$10,5,FALSE),IF(AND((ISNUMBER(--MID(B25,4,1))),ISTEXT(B27)),HLOOKUP(--MID(B25,4,1),SN!$P$4:$U$10,5,FALSE),IF(AND(ISTEXT(B25),ISNUMBER(--LEFT(B25,1))),HLOOKUP(--LEFT(B25,1),SN!$P$4:$U$10,5,FALSE)))))))))</f>
        <v>44.8</v>
      </c>
      <c r="E27" s="14">
        <f>D27*E25/1000</f>
        <v>44.8</v>
      </c>
      <c r="F27" s="13"/>
      <c r="G27" s="13"/>
      <c r="H27" s="13"/>
      <c r="I27" s="13"/>
      <c r="J27" s="35">
        <f>ROUND(IF(ISNUMBER(MATCH(B27,E!$B$6:$B$197,0)),VLOOKUP(B27,E!$B$6:$E$197,2,FALSE),IF(#REF!="დიახ",IF(VLOOKUP(B27,M!$B$6:$I$733,8,FALSE)="ლ",VLOOKUP(B27,M!$B$6:$I$733,3,FALSE)*0.001*#REF!*#REF!,IF(VLOOKUP(B27,M!$B$6:$I$733,8,FALSE)="მბ",VLOOKUP(B27,M!$B$6:$I$733,3,FALSE)*0.001*#REF!*#REF!,IF(VLOOKUP(B27,M!$B$6:$I$733,8,FALSE)="აბ",VLOOKUP(B27,M!$B$6:$I$733,3,FALSE)*0.001*#REF!*#REF!,IF(VLOOKUP(B27,M!$B$6:$I$733,8,FALSE)="ინ",VLOOKUP(B27,M!$B$6:$I$733,3,FALSE)*0.001*#REF!*#REF!,IF(VLOOKUP(B27,M!$B$6:$I$733,8,FALSE)="ას",VLOOKUP(B27,M!$B$6:$I$733,3,FALSE)*0.001*#REF!*#REF!,IF(VLOOKUP(B27,M!$B$6:$I$733,8,FALSE)="სხ",VLOOKUP(B27,M!$B$6:$I$733,3,FALSE)*0.001*#REF!*#REF!,IF(VLOOKUP(B27,M!$B$6:$I$733,8,FALSE)="ხმ",VLOOKUP(B27,M!$B$6:$I$733,3,FALSE)*0.001*#REF!*#REF!))))))))),2)</f>
        <v>41.66</v>
      </c>
      <c r="K27" s="31">
        <f>ROUND(E27*J27,2)</f>
        <v>1866.37</v>
      </c>
      <c r="L27" s="14">
        <f>G27+I27+K27</f>
        <v>1866.37</v>
      </c>
      <c r="M27" s="23" t="str">
        <f>(IF(ISNUMBER(MATCH(B27,E!$B$6:$B$197,0)),VLOOKUP(B27,E!$B$6:$E$197,4,FALSE),VLOOKUP(B27,M!$B$6:$I$733,7,FALSE)))</f>
        <v>14-118</v>
      </c>
    </row>
    <row r="28" spans="1:13" ht="39.950000000000003" customHeight="1" x14ac:dyDescent="0.25">
      <c r="A28" s="16" t="s">
        <v>673</v>
      </c>
      <c r="B28" s="17" t="s">
        <v>654</v>
      </c>
      <c r="C28" s="2" t="s">
        <v>393</v>
      </c>
      <c r="D28" s="2">
        <f>IF(AND((ISNUMBER(--MID(B25,4,1))),(MID(B27,13,4)="1,0 ")),HLOOKUP(--MID(B25,4,1),SN!$D$4:$I$10,6,FALSE),IF(AND(MID(B27,13,4)="1,0 ",ISNUMBER(--LEFT(B25,1))),HLOOKUP(--LEFT(B25,1),SN!$D$4:$I$10,6,FALSE),IF(AND((ISNUMBER(--MID(B25,4,1))),(MID(B27,13,4)="0,5 ")),HLOOKUP(--MID(B25,4,1),SN!$P$4:$U$10,6,FALSE),IF(AND(MID(B27,13,4)="0,5 ",ISNUMBER(--LEFT(B25,1))),HLOOKUP(--LEFT(B25,1),SN!$P$4:$U$10,6,FALSE),IF(AND((ISNUMBER(--MID(B25,4,1))),(MID(B27,13,4)="0,65")),HLOOKUP(--MID(B25,4,1),SN!$J$4:$O$10,6,FALSE),IF(AND(MID(B27,13,4)="0,65",ISNUMBER(--LEFT(B25,1))),HLOOKUP(--LEFT(B25,1),SN!$J$4:$O$10,6,FALSE),IF(AND((ISNUMBER(--MID(B25,4,1))),ISTEXT(B27)),HLOOKUP(--MID(B25,4,1),SN!$P$4:$U$10,6,FALSE),IF(AND(ISTEXT(B25),ISNUMBER(--LEFT(B25,1))),HLOOKUP(--LEFT(B25,1),SN!$P$4:$U$10,6,FALSE)))))))))</f>
        <v>2.1</v>
      </c>
      <c r="E28" s="14">
        <f>D28*E25/1000</f>
        <v>2.1</v>
      </c>
      <c r="F28" s="13"/>
      <c r="G28" s="13"/>
      <c r="H28" s="13"/>
      <c r="I28" s="13"/>
      <c r="J28" s="35">
        <f>ROUND(IF(ISNUMBER(MATCH(B28,E!$B$6:$B$197,0)),VLOOKUP(B28,E!$B$6:$E$197,2,FALSE),IF(#REF!="დიახ",IF(VLOOKUP(B28,M!$B$6:$I$733,8,FALSE)="ლ",VLOOKUP(B28,M!$B$6:$I$733,3,FALSE)*0.001*#REF!*#REF!,IF(VLOOKUP(B28,M!$B$6:$I$733,8,FALSE)="მბ",VLOOKUP(B28,M!$B$6:$I$733,3,FALSE)*0.001*#REF!*#REF!,IF(VLOOKUP(B28,M!$B$6:$I$733,8,FALSE)="აბ",VLOOKUP(B28,M!$B$6:$I$733,3,FALSE)*0.001*#REF!*#REF!,IF(VLOOKUP(B28,M!$B$6:$I$733,8,FALSE)="ინ",VLOOKUP(B28,M!$B$6:$I$733,3,FALSE)*0.001*#REF!*#REF!,IF(VLOOKUP(B28,M!$B$6:$I$733,8,FALSE)="ას",VLOOKUP(B28,M!$B$6:$I$733,3,FALSE)*0.001*#REF!*#REF!,IF(VLOOKUP(B28,M!$B$6:$I$733,8,FALSE)="სხ",VLOOKUP(B28,M!$B$6:$I$733,3,FALSE)*0.001*#REF!*#REF!,IF(VLOOKUP(B28,M!$B$6:$I$733,8,FALSE)="ხმ",VLOOKUP(B28,M!$B$6:$I$733,3,FALSE)*0.001*#REF!*#REF!))))))))),2)</f>
        <v>3.2</v>
      </c>
      <c r="K28" s="31">
        <f>ROUND(E28*J28,2)</f>
        <v>6.72</v>
      </c>
      <c r="L28" s="14">
        <f>G28+I28+K28</f>
        <v>6.72</v>
      </c>
      <c r="M28" s="23" t="str">
        <f>(IF(ISNUMBER(MATCH(B28,E!$B$6:$B$197,0)),VLOOKUP(B28,E!$B$6:$E$197,4,FALSE),VLOOKUP(B28,M!$B$6:$I$733,7,FALSE)))</f>
        <v>ს.რ.ფ</v>
      </c>
    </row>
    <row r="29" spans="1:13" ht="39.950000000000003" customHeight="1" x14ac:dyDescent="0.25">
      <c r="A29" s="16" t="s">
        <v>675</v>
      </c>
      <c r="B29" s="2" t="s">
        <v>337</v>
      </c>
      <c r="C29" s="2" t="s">
        <v>674</v>
      </c>
      <c r="D29" s="2">
        <f>IF(AND((ISNUMBER(--MID(B25,4,1))),(MID(B27,13,4)="1,0 ")),HLOOKUP(--MID(B25,4,1),SN!$D$4:$I$10,7,FALSE),IF(AND(MID(B27,13,4)="1,0 ",ISNUMBER(--LEFT(B25,1))),HLOOKUP(--LEFT(B25,1),SN!$D$4:$I$10,7,FALSE),IF(AND((ISNUMBER(--MID(B25,4,1))),(MID(B27,13,4)="0,5 ")),HLOOKUP(--MID(B25,4,1),SN!$P$4:$U$10,7,FALSE),IF(AND(MID(B27,13,4)="0,5 ",ISNUMBER(--LEFT(B25,1))),HLOOKUP(--LEFT(B25,1),SN!$P$4:$U$10,7,FALSE),IF(AND((ISNUMBER(--MID(B25,4,1))),(MID(B27,13,4)="0,65")),HLOOKUP(--MID(B25,4,1),SN!$J$4:$O$10,7,FALSE),IF(AND(MID(B27,13,4)="0,65",ISNUMBER(--LEFT(B25,1))),HLOOKUP(--LEFT(B25,1),SN!$J$4:$O$10,7,FALSE),IF(AND((ISNUMBER(--MID(B25,4,1))),ISTEXT(B27)),HLOOKUP(--MID(B25,4,1),SN!$P$4:$U$10,7,FALSE),IF(AND(ISTEXT(B25),ISNUMBER(--LEFT(B25,1))),HLOOKUP(--LEFT(B25,1),SN!$P$4:$U$10,7,FALSE)))))))))</f>
        <v>0.05</v>
      </c>
      <c r="E29" s="14">
        <f>D29*E25/1000</f>
        <v>0.05</v>
      </c>
      <c r="F29" s="31" t="e">
        <f>ROUND(VLOOKUP(B29,M!$B$6:$H$733,IF(#REF!="დაბალი",4,IF(#REF!="საშუალო",6,IF(#REF!="მაღალი",5))),FALSE),2)</f>
        <v>#REF!</v>
      </c>
      <c r="G29" s="14" t="e">
        <f>ROUND(E29*F29,2)</f>
        <v>#REF!</v>
      </c>
      <c r="H29" s="13"/>
      <c r="I29" s="13"/>
      <c r="J29" s="35" t="e">
        <f>ROUND(IF(ISNUMBER(MATCH(B29,E!$B$6:$B$197,0)),VLOOKUP(B29,E!$B$6:$E$197,2,FALSE),IF(#REF!="დიახ",IF(VLOOKUP(B29,M!$B$6:$I$733,8,FALSE)="ლ",VLOOKUP(B29,M!$B$6:$I$733,3,FALSE)*0.001*#REF!*#REF!,IF(VLOOKUP(B29,M!$B$6:$I$733,8,FALSE)="მბ",VLOOKUP(B29,M!$B$6:$I$733,3,FALSE)*0.001*#REF!*#REF!,IF(VLOOKUP(B29,M!$B$6:$I$733,8,FALSE)="აბ",VLOOKUP(B29,M!$B$6:$I$733,3,FALSE)*0.001*#REF!*#REF!,IF(VLOOKUP(B29,M!$B$6:$I$733,8,FALSE)="ინ",VLOOKUP(B29,M!$B$6:$I$733,3,FALSE)*0.001*#REF!*#REF!,IF(VLOOKUP(B29,M!$B$6:$I$733,8,FALSE)="ას",VLOOKUP(B29,M!$B$6:$I$733,3,FALSE)*0.001*#REF!*#REF!,IF(VLOOKUP(B29,M!$B$6:$I$733,8,FALSE)="სხ",VLOOKUP(B29,M!$B$6:$I$733,3,FALSE)*0.001*#REF!*#REF!,IF(VLOOKUP(B29,M!$B$6:$I$733,8,FALSE)="ხმ",VLOOKUP(B29,M!$B$6:$I$733,3,FALSE)*0.001*#REF!*#REF!))))))))),2)</f>
        <v>#REF!</v>
      </c>
      <c r="K29" s="31" t="e">
        <f>ROUND(E29*J29,2)</f>
        <v>#REF!</v>
      </c>
      <c r="L29" s="14" t="e">
        <f>G29+I29+K29</f>
        <v>#REF!</v>
      </c>
      <c r="M29" s="23" t="str">
        <f>(IF(ISNUMBER(MATCH(B29,E!$B$6:$B$197,0)),VLOOKUP(B29,E!$B$6:$E$197,4,FALSE),VLOOKUP(B29,M!$B$6:$I$733,7,FALSE)))</f>
        <v>4.1-234</v>
      </c>
    </row>
    <row r="30" spans="1:13" s="45" customFormat="1" ht="39.950000000000003" customHeight="1" x14ac:dyDescent="0.25">
      <c r="A30" s="39">
        <v>1.1000000000000001</v>
      </c>
      <c r="B30" s="40" t="s">
        <v>691</v>
      </c>
      <c r="C30" s="41" t="s">
        <v>713</v>
      </c>
      <c r="D30" s="41"/>
      <c r="E30" s="51">
        <v>1000</v>
      </c>
      <c r="F30" s="42"/>
      <c r="G30" s="42"/>
      <c r="H30" s="42"/>
      <c r="I30" s="42"/>
      <c r="J30" s="35"/>
      <c r="K30" s="46"/>
      <c r="L30" s="43" t="e">
        <f>SUM(L31:L34)</f>
        <v>#REF!</v>
      </c>
      <c r="M30" s="79" t="str">
        <f>"1-25-"&amp;IF(ISNUMBER(--MID(B30,4,1)),HLOOKUP(--MID(B30,4,1),SN!$D$14:$I$20,2,FALSE),IF(ISNUMBER(--LEFT(B30,1)),HLOOKUP(--LEFT(B30,1),SN!$D$14:$I$20,2,FALSE)))</f>
        <v>1-25-3</v>
      </c>
    </row>
    <row r="31" spans="1:13" ht="39.950000000000003" customHeight="1" x14ac:dyDescent="0.25">
      <c r="A31" s="16" t="s">
        <v>668</v>
      </c>
      <c r="B31" s="17" t="s">
        <v>669</v>
      </c>
      <c r="C31" s="2" t="s">
        <v>670</v>
      </c>
      <c r="D31" s="2">
        <f>IF(ISNUMBER(--MID(B30,4,1)),HLOOKUP(--MID(B30,4,1),SN!$D$14:$I$20,3,FALSE),IF(ISNUMBER(--LEFT(B30,1)),HLOOKUP(--LEFT(B30,1),SN!$D$14:$I$20,3,FALSE)))</f>
        <v>3.52</v>
      </c>
      <c r="E31" s="14">
        <f>D31*E30/1000</f>
        <v>3.52</v>
      </c>
      <c r="F31" s="13"/>
      <c r="G31" s="13"/>
      <c r="H31" s="27">
        <f>IF((ISNUMBER(--LEFT(M30,2))),VLOOKUP(--LEFT(M30,2),N!$A$5:$C$54,3,FALSE),VLOOKUP(--LEFT(M30,1),N!$A$5:$C$54,3,FALSE))</f>
        <v>6</v>
      </c>
      <c r="I31" s="14">
        <f>ROUND(E31*H31,2)</f>
        <v>21.12</v>
      </c>
      <c r="J31" s="35">
        <f>ROUND(IF(ISNUMBER(MATCH(B31,E!$B$6:$B$197,0)),VLOOKUP(B31,E!$B$6:$E$197,2,FALSE),IF(#REF!="დიახ",IF(VLOOKUP(B31,M!$B$6:$I$733,8,FALSE)="ლ",VLOOKUP(B31,M!$B$6:$I$733,3,FALSE)*0.001*#REF!*#REF!,IF(VLOOKUP(B31,M!$B$6:$I$733,8,FALSE)="მბ",VLOOKUP(B31,M!$B$6:$I$733,3,FALSE)*0.001*#REF!*#REF!,IF(VLOOKUP(B31,M!$B$6:$I$733,8,FALSE)="აბ",VLOOKUP(B31,M!$B$6:$I$733,3,FALSE)*0.001*#REF!*#REF!,IF(VLOOKUP(B31,M!$B$6:$I$733,8,FALSE)="ინ",VLOOKUP(B31,M!$B$6:$I$733,3,FALSE)*0.001*#REF!*#REF!,IF(VLOOKUP(B31,M!$B$6:$I$733,8,FALSE)="ას",VLOOKUP(B31,M!$B$6:$I$733,3,FALSE)*0.001*#REF!*#REF!,IF(VLOOKUP(B31,M!$B$6:$I$733,8,FALSE)="სხ",VLOOKUP(B31,M!$B$6:$I$733,3,FALSE)*0.001*#REF!*#REF!,IF(VLOOKUP(B31,M!$B$6:$I$733,8,FALSE)="ხმ",VLOOKUP(B31,M!$B$6:$I$733,3,FALSE)*0.001*#REF!*#REF!))))))))),2)</f>
        <v>0</v>
      </c>
      <c r="K31" s="31"/>
      <c r="L31" s="14">
        <f>G31+I31+K31</f>
        <v>21.12</v>
      </c>
      <c r="M31" s="23" t="str">
        <f>(IF(ISNUMBER(MATCH(B31,E!$B$6:$B$197,0)),VLOOKUP(B31,E!$B$6:$E$197,4,FALSE),VLOOKUP(B31,M!$B$6:$I$733,7,FALSE)))</f>
        <v>მ.ც</v>
      </c>
    </row>
    <row r="32" spans="1:13" ht="39.950000000000003" customHeight="1" x14ac:dyDescent="0.25">
      <c r="A32" s="16" t="s">
        <v>671</v>
      </c>
      <c r="B32" s="2" t="s">
        <v>230</v>
      </c>
      <c r="C32" s="2" t="s">
        <v>672</v>
      </c>
      <c r="D32" s="2">
        <f>IF(ISNUMBER(--MID(B30,4,1)),HLOOKUP(--MID(B30,4,1),SN!$D$14:$I$20,5,FALSE),IF(ISNUMBER(--LEFT(B30,1)),HLOOKUP(--LEFT(B30,1),SN!$D$14:$I$20,5,FALSE)))</f>
        <v>3.94</v>
      </c>
      <c r="E32" s="14">
        <f>D32*E30/1000</f>
        <v>3.94</v>
      </c>
      <c r="F32" s="13"/>
      <c r="G32" s="13"/>
      <c r="H32" s="13"/>
      <c r="I32" s="13"/>
      <c r="J32" s="35">
        <f>ROUND(IF(ISNUMBER(MATCH(B32,E!$B$6:$B$197,0)),VLOOKUP(B32,E!$B$6:$E$197,2,FALSE),IF(#REF!="დიახ",IF(VLOOKUP(B32,M!$B$6:$I$733,8,FALSE)="ლ",VLOOKUP(B32,M!$B$6:$I$733,3,FALSE)*0.001*#REF!*#REF!,IF(VLOOKUP(B32,M!$B$6:$I$733,8,FALSE)="მბ",VLOOKUP(B32,M!$B$6:$I$733,3,FALSE)*0.001*#REF!*#REF!,IF(VLOOKUP(B32,M!$B$6:$I$733,8,FALSE)="აბ",VLOOKUP(B32,M!$B$6:$I$733,3,FALSE)*0.001*#REF!*#REF!,IF(VLOOKUP(B32,M!$B$6:$I$733,8,FALSE)="ინ",VLOOKUP(B32,M!$B$6:$I$733,3,FALSE)*0.001*#REF!*#REF!,IF(VLOOKUP(B32,M!$B$6:$I$733,8,FALSE)="ას",VLOOKUP(B32,M!$B$6:$I$733,3,FALSE)*0.001*#REF!*#REF!,IF(VLOOKUP(B32,M!$B$6:$I$733,8,FALSE)="სხ",VLOOKUP(B32,M!$B$6:$I$733,3,FALSE)*0.001*#REF!*#REF!,IF(VLOOKUP(B32,M!$B$6:$I$733,8,FALSE)="ხმ",VLOOKUP(B32,M!$B$6:$I$733,3,FALSE)*0.001*#REF!*#REF!))))))))),2)</f>
        <v>33.46</v>
      </c>
      <c r="K32" s="31">
        <f>ROUND(E32*J32,2)</f>
        <v>131.83000000000001</v>
      </c>
      <c r="L32" s="14">
        <f>G32+I32+K32</f>
        <v>131.83000000000001</v>
      </c>
      <c r="M32" s="23" t="str">
        <f>(IF(ISNUMBER(MATCH(B32,E!$B$6:$B$197,0)),VLOOKUP(B32,E!$B$6:$E$197,4,FALSE),VLOOKUP(B32,M!$B$6:$I$733,7,FALSE)))</f>
        <v>14-142</v>
      </c>
    </row>
    <row r="33" spans="1:13" ht="39.950000000000003" customHeight="1" x14ac:dyDescent="0.25">
      <c r="A33" s="16" t="s">
        <v>673</v>
      </c>
      <c r="B33" s="17" t="s">
        <v>654</v>
      </c>
      <c r="C33" s="2" t="s">
        <v>393</v>
      </c>
      <c r="D33" s="2">
        <f>IF(ISNUMBER(--MID(B30,4,1)),HLOOKUP(--MID(B30,4,1),SN!$D$14:$I$20,6,FALSE),IF(ISNUMBER(--LEFT(B30,1)),HLOOKUP(--LEFT(B30,1),SN!$D$14:$I$20,6,FALSE)))</f>
        <v>0.19</v>
      </c>
      <c r="E33" s="14">
        <f>D33*E30/1000</f>
        <v>0.19</v>
      </c>
      <c r="F33" s="13"/>
      <c r="G33" s="13"/>
      <c r="H33" s="13"/>
      <c r="I33" s="13"/>
      <c r="J33" s="35">
        <f>ROUND(IF(ISNUMBER(MATCH(B33,E!$B$6:$B$197,0)),VLOOKUP(B33,E!$B$6:$E$197,2,FALSE),IF(#REF!="დიახ",IF(VLOOKUP(B33,M!$B$6:$I$733,8,FALSE)="ლ",VLOOKUP(B33,M!$B$6:$I$733,3,FALSE)*0.001*#REF!*#REF!,IF(VLOOKUP(B33,M!$B$6:$I$733,8,FALSE)="მბ",VLOOKUP(B33,M!$B$6:$I$733,3,FALSE)*0.001*#REF!*#REF!,IF(VLOOKUP(B33,M!$B$6:$I$733,8,FALSE)="აბ",VLOOKUP(B33,M!$B$6:$I$733,3,FALSE)*0.001*#REF!*#REF!,IF(VLOOKUP(B33,M!$B$6:$I$733,8,FALSE)="ინ",VLOOKUP(B33,M!$B$6:$I$733,3,FALSE)*0.001*#REF!*#REF!,IF(VLOOKUP(B33,M!$B$6:$I$733,8,FALSE)="ას",VLOOKUP(B33,M!$B$6:$I$733,3,FALSE)*0.001*#REF!*#REF!,IF(VLOOKUP(B33,M!$B$6:$I$733,8,FALSE)="სხ",VLOOKUP(B33,M!$B$6:$I$733,3,FALSE)*0.001*#REF!*#REF!,IF(VLOOKUP(B33,M!$B$6:$I$733,8,FALSE)="ხმ",VLOOKUP(B33,M!$B$6:$I$733,3,FALSE)*0.001*#REF!*#REF!))))))))),2)</f>
        <v>3.2</v>
      </c>
      <c r="K33" s="31">
        <f>ROUND(E33*J33,2)</f>
        <v>0.61</v>
      </c>
      <c r="L33" s="14">
        <f>G33+I33+K33</f>
        <v>0.61</v>
      </c>
      <c r="M33" s="23" t="str">
        <f>(IF(ISNUMBER(MATCH(B33,E!$B$6:$B$197,0)),VLOOKUP(B33,E!$B$6:$E$197,4,FALSE),VLOOKUP(B33,M!$B$6:$I$733,7,FALSE)))</f>
        <v>ს.რ.ფ</v>
      </c>
    </row>
    <row r="34" spans="1:13" ht="39.950000000000003" customHeight="1" x14ac:dyDescent="0.25">
      <c r="A34" s="16" t="s">
        <v>675</v>
      </c>
      <c r="B34" s="2" t="s">
        <v>337</v>
      </c>
      <c r="C34" s="2" t="s">
        <v>674</v>
      </c>
      <c r="D34" s="2">
        <f>IF(ISNUMBER(--MID(B30,4,1)),HLOOKUP(--MID(B30,4,1),SN!$D$14:$I$20,7,FALSE),IF(ISNUMBER(--LEFT(B30,1)),HLOOKUP(--LEFT(B30,1),SN!$D$14:$I$20,7,FALSE)))</f>
        <v>0.06</v>
      </c>
      <c r="E34" s="14">
        <f>D34*E30/1000</f>
        <v>0.06</v>
      </c>
      <c r="F34" s="31" t="e">
        <f>ROUND(VLOOKUP(B34,M!$B$6:$H$733,IF(#REF!="დაბალი",4,IF(#REF!="საშუალო",6,IF(#REF!="მაღალი",5))),FALSE),2)</f>
        <v>#REF!</v>
      </c>
      <c r="G34" s="14" t="e">
        <f>ROUND(E34*F34,2)</f>
        <v>#REF!</v>
      </c>
      <c r="H34" s="13"/>
      <c r="I34" s="13"/>
      <c r="J34" s="35" t="e">
        <f>ROUND(IF(ISNUMBER(MATCH(B34,E!$B$6:$B$197,0)),VLOOKUP(B34,E!$B$6:$E$197,2,FALSE),IF(#REF!="დიახ",IF(VLOOKUP(B34,M!$B$6:$I$733,8,FALSE)="ლ",VLOOKUP(B34,M!$B$6:$I$733,3,FALSE)*0.001*#REF!*#REF!,IF(VLOOKUP(B34,M!$B$6:$I$733,8,FALSE)="მბ",VLOOKUP(B34,M!$B$6:$I$733,3,FALSE)*0.001*#REF!*#REF!,IF(VLOOKUP(B34,M!$B$6:$I$733,8,FALSE)="აბ",VLOOKUP(B34,M!$B$6:$I$733,3,FALSE)*0.001*#REF!*#REF!,IF(VLOOKUP(B34,M!$B$6:$I$733,8,FALSE)="ინ",VLOOKUP(B34,M!$B$6:$I$733,3,FALSE)*0.001*#REF!*#REF!,IF(VLOOKUP(B34,M!$B$6:$I$733,8,FALSE)="ას",VLOOKUP(B34,M!$B$6:$I$733,3,FALSE)*0.001*#REF!*#REF!,IF(VLOOKUP(B34,M!$B$6:$I$733,8,FALSE)="სხ",VLOOKUP(B34,M!$B$6:$I$733,3,FALSE)*0.001*#REF!*#REF!,IF(VLOOKUP(B34,M!$B$6:$I$733,8,FALSE)="ხმ",VLOOKUP(B34,M!$B$6:$I$733,3,FALSE)*0.001*#REF!*#REF!))))))))),2)</f>
        <v>#REF!</v>
      </c>
      <c r="K34" s="31" t="e">
        <f>ROUND(E34*J34,2)</f>
        <v>#REF!</v>
      </c>
      <c r="L34" s="14" t="e">
        <f>G34+I34+K34</f>
        <v>#REF!</v>
      </c>
      <c r="M34" s="23" t="str">
        <f>(IF(ISNUMBER(MATCH(B34,E!$B$6:$B$197,0)),VLOOKUP(B34,E!$B$6:$E$197,4,FALSE),VLOOKUP(B34,M!$B$6:$I$733,7,FALSE)))</f>
        <v>4.1-234</v>
      </c>
    </row>
    <row r="35" spans="1:13" s="45" customFormat="1" ht="39.950000000000003" customHeight="1" x14ac:dyDescent="0.25">
      <c r="A35" s="39">
        <v>1.1000000000000001</v>
      </c>
      <c r="B35" s="40" t="s">
        <v>986</v>
      </c>
      <c r="C35" s="41" t="s">
        <v>713</v>
      </c>
      <c r="D35" s="92"/>
      <c r="E35" s="51">
        <v>1000</v>
      </c>
      <c r="F35" s="93"/>
      <c r="G35" s="93"/>
      <c r="H35" s="93"/>
      <c r="I35" s="94"/>
      <c r="J35" s="97"/>
      <c r="K35" s="97"/>
      <c r="L35" s="43">
        <f>SUM(L36)</f>
        <v>1496.99</v>
      </c>
      <c r="M35" s="95" t="s">
        <v>984</v>
      </c>
    </row>
    <row r="36" spans="1:13" ht="39.950000000000003" customHeight="1" x14ac:dyDescent="0.25">
      <c r="A36" s="16">
        <v>1.1000000000000001</v>
      </c>
      <c r="B36" s="2" t="s">
        <v>229</v>
      </c>
      <c r="C36" s="2" t="s">
        <v>672</v>
      </c>
      <c r="D36" s="91">
        <f>13.4+(11*4)</f>
        <v>57.4</v>
      </c>
      <c r="E36" s="14">
        <f>D36*E35/1000</f>
        <v>57.4</v>
      </c>
      <c r="F36" s="89"/>
      <c r="G36" s="89"/>
      <c r="H36" s="89"/>
      <c r="I36" s="90"/>
      <c r="J36" s="35">
        <f>ROUND(IF(ISNUMBER(MATCH(B36,E!$B$6:$B$197,0)),VLOOKUP(B36,E!$B$6:$E$197,2,FALSE),IF(#REF!="დიახ",IF(VLOOKUP(B36,M!$B$6:$I$733,8,FALSE)="ლ",VLOOKUP(B36,M!$B$6:$I$733,3,FALSE)*0.001*#REF!*#REF!,IF(VLOOKUP(B36,M!$B$6:$I$733,8,FALSE)="მბ",VLOOKUP(B36,M!$B$6:$I$733,3,FALSE)*0.001*#REF!*#REF!,IF(VLOOKUP(B36,M!$B$6:$I$733,8,FALSE)="აბ",VLOOKUP(B36,M!$B$6:$I$733,3,FALSE)*0.001*#REF!*#REF!,IF(VLOOKUP(B36,M!$B$6:$I$733,8,FALSE)="ინ",VLOOKUP(B36,M!$B$6:$I$733,3,FALSE)*0.001*#REF!*#REF!,IF(VLOOKUP(B36,M!$B$6:$I$733,8,FALSE)="ას",VLOOKUP(B36,M!$B$6:$I$733,3,FALSE)*0.001*#REF!*#REF!,IF(VLOOKUP(B36,M!$B$6:$I$733,8,FALSE)="სხ",VLOOKUP(B36,M!$B$6:$I$733,3,FALSE)*0.001*#REF!*#REF!,IF(VLOOKUP(B36,M!$B$6:$I$733,8,FALSE)="ხმ",VLOOKUP(B36,M!$B$6:$I$733,3,FALSE)*0.001*#REF!*#REF!))))))))),2)</f>
        <v>26.08</v>
      </c>
      <c r="K36" s="31">
        <f>ROUND(E36*J36,2)</f>
        <v>1496.99</v>
      </c>
      <c r="L36" s="14">
        <f>G36+I36+K36</f>
        <v>1496.99</v>
      </c>
      <c r="M36" s="23" t="str">
        <f>(IF(ISNUMBER(MATCH(B36,E!$B$6:$B$197,0)),VLOOKUP(B36,E!$B$6:$E$197,4,FALSE),VLOOKUP(B36,M!$B$6:$I$733,7,FALSE)))</f>
        <v>14-141</v>
      </c>
    </row>
    <row r="37" spans="1:13" s="45" customFormat="1" ht="39.950000000000003" customHeight="1" x14ac:dyDescent="0.25">
      <c r="A37" s="39">
        <v>1.1000000000000001</v>
      </c>
      <c r="B37" s="40" t="s">
        <v>987</v>
      </c>
      <c r="C37" s="41" t="s">
        <v>713</v>
      </c>
      <c r="D37" s="92"/>
      <c r="E37" s="51">
        <v>1000</v>
      </c>
      <c r="F37" s="93"/>
      <c r="G37" s="93"/>
      <c r="H37" s="93"/>
      <c r="I37" s="94"/>
      <c r="J37" s="97"/>
      <c r="K37" s="97"/>
      <c r="L37" s="43">
        <f>SUM(L38)</f>
        <v>1757.79</v>
      </c>
      <c r="M37" s="95" t="s">
        <v>985</v>
      </c>
    </row>
    <row r="38" spans="1:13" ht="39.950000000000003" customHeight="1" x14ac:dyDescent="0.25">
      <c r="A38" s="16">
        <v>1.1000000000000001</v>
      </c>
      <c r="B38" s="2" t="s">
        <v>229</v>
      </c>
      <c r="C38" s="2" t="s">
        <v>672</v>
      </c>
      <c r="D38" s="91">
        <f>16.2+(12.8*4)</f>
        <v>67.400000000000006</v>
      </c>
      <c r="E38" s="14">
        <f>D38*E37/1000</f>
        <v>67.400000000000006</v>
      </c>
      <c r="F38" s="89"/>
      <c r="G38" s="89"/>
      <c r="H38" s="89"/>
      <c r="I38" s="90"/>
      <c r="J38" s="35">
        <f>ROUND(IF(ISNUMBER(MATCH(B38,E!$B$6:$B$197,0)),VLOOKUP(B38,E!$B$6:$E$197,2,FALSE),IF(#REF!="დიახ",IF(VLOOKUP(B38,M!$B$6:$I$733,8,FALSE)="ლ",VLOOKUP(B38,M!$B$6:$I$733,3,FALSE)*0.001*#REF!*#REF!,IF(VLOOKUP(B38,M!$B$6:$I$733,8,FALSE)="მბ",VLOOKUP(B38,M!$B$6:$I$733,3,FALSE)*0.001*#REF!*#REF!,IF(VLOOKUP(B38,M!$B$6:$I$733,8,FALSE)="აბ",VLOOKUP(B38,M!$B$6:$I$733,3,FALSE)*0.001*#REF!*#REF!,IF(VLOOKUP(B38,M!$B$6:$I$733,8,FALSE)="ინ",VLOOKUP(B38,M!$B$6:$I$733,3,FALSE)*0.001*#REF!*#REF!,IF(VLOOKUP(B38,M!$B$6:$I$733,8,FALSE)="ას",VLOOKUP(B38,M!$B$6:$I$733,3,FALSE)*0.001*#REF!*#REF!,IF(VLOOKUP(B38,M!$B$6:$I$733,8,FALSE)="სხ",VLOOKUP(B38,M!$B$6:$I$733,3,FALSE)*0.001*#REF!*#REF!,IF(VLOOKUP(B38,M!$B$6:$I$733,8,FALSE)="ხმ",VLOOKUP(B38,M!$B$6:$I$733,3,FALSE)*0.001*#REF!*#REF!))))))))),2)</f>
        <v>26.08</v>
      </c>
      <c r="K38" s="31">
        <f>ROUND(E38*J38,2)</f>
        <v>1757.79</v>
      </c>
      <c r="L38" s="14">
        <f>G38+I38+K38</f>
        <v>1757.79</v>
      </c>
      <c r="M38" s="23" t="str">
        <f>(IF(ISNUMBER(MATCH(B38,E!$B$6:$B$197,0)),VLOOKUP(B38,E!$B$6:$E$197,4,FALSE),VLOOKUP(B38,M!$B$6:$I$733,7,FALSE)))</f>
        <v>14-141</v>
      </c>
    </row>
    <row r="39" spans="1:13" s="45" customFormat="1" ht="39.950000000000003" customHeight="1" x14ac:dyDescent="0.25">
      <c r="A39" s="39">
        <v>1.1000000000000001</v>
      </c>
      <c r="B39" s="40" t="s">
        <v>987</v>
      </c>
      <c r="C39" s="41" t="s">
        <v>713</v>
      </c>
      <c r="D39" s="92"/>
      <c r="E39" s="51">
        <v>1000</v>
      </c>
      <c r="F39" s="93"/>
      <c r="G39" s="93"/>
      <c r="H39" s="93"/>
      <c r="I39" s="94"/>
      <c r="J39" s="97"/>
      <c r="K39" s="97"/>
      <c r="L39" s="43">
        <f>SUM(L40)</f>
        <v>1334.85</v>
      </c>
      <c r="M39" s="95" t="s">
        <v>1007</v>
      </c>
    </row>
    <row r="40" spans="1:13" ht="39.950000000000003" customHeight="1" x14ac:dyDescent="0.25">
      <c r="A40" s="16">
        <v>1.1000000000000001</v>
      </c>
      <c r="B40" s="2" t="s">
        <v>231</v>
      </c>
      <c r="C40" s="2" t="s">
        <v>672</v>
      </c>
      <c r="D40" s="91">
        <f>7.75+(6.28*4)</f>
        <v>32.870000000000005</v>
      </c>
      <c r="E40" s="14">
        <f>D40*E39/1000</f>
        <v>32.870000000000005</v>
      </c>
      <c r="F40" s="89"/>
      <c r="G40" s="89"/>
      <c r="H40" s="89"/>
      <c r="I40" s="90"/>
      <c r="J40" s="35">
        <f>ROUND(IF(ISNUMBER(MATCH(B40,E!$B$6:$B$197,0)),VLOOKUP(B40,E!$B$6:$E$197,2,FALSE),IF(#REF!="დიახ",IF(VLOOKUP(B40,M!$B$6:$I$733,8,FALSE)="ლ",VLOOKUP(B40,M!$B$6:$I$733,3,FALSE)*0.001*#REF!*#REF!,IF(VLOOKUP(B40,M!$B$6:$I$733,8,FALSE)="მბ",VLOOKUP(B40,M!$B$6:$I$733,3,FALSE)*0.001*#REF!*#REF!,IF(VLOOKUP(B40,M!$B$6:$I$733,8,FALSE)="აბ",VLOOKUP(B40,M!$B$6:$I$733,3,FALSE)*0.001*#REF!*#REF!,IF(VLOOKUP(B40,M!$B$6:$I$733,8,FALSE)="ინ",VLOOKUP(B40,M!$B$6:$I$733,3,FALSE)*0.001*#REF!*#REF!,IF(VLOOKUP(B40,M!$B$6:$I$733,8,FALSE)="ას",VLOOKUP(B40,M!$B$6:$I$733,3,FALSE)*0.001*#REF!*#REF!,IF(VLOOKUP(B40,M!$B$6:$I$733,8,FALSE)="სხ",VLOOKUP(B40,M!$B$6:$I$733,3,FALSE)*0.001*#REF!*#REF!,IF(VLOOKUP(B40,M!$B$6:$I$733,8,FALSE)="ხმ",VLOOKUP(B40,M!$B$6:$I$733,3,FALSE)*0.001*#REF!*#REF!))))))))),2)</f>
        <v>40.61</v>
      </c>
      <c r="K40" s="31">
        <f>ROUND(E40*J40,2)</f>
        <v>1334.85</v>
      </c>
      <c r="L40" s="14">
        <f>G40+I40+K40</f>
        <v>1334.85</v>
      </c>
      <c r="M40" s="23" t="str">
        <f>(IF(ISNUMBER(MATCH(B40,E!$B$6:$B$197,0)),VLOOKUP(B40,E!$B$6:$E$197,4,FALSE),VLOOKUP(B40,M!$B$6:$I$733,7,FALSE)))</f>
        <v>14-143</v>
      </c>
    </row>
    <row r="41" spans="1:13" s="45" customFormat="1" ht="39.950000000000003" customHeight="1" x14ac:dyDescent="0.25">
      <c r="A41" s="39">
        <v>1.1000000000000001</v>
      </c>
      <c r="B41" s="40" t="s">
        <v>993</v>
      </c>
      <c r="C41" s="41" t="s">
        <v>713</v>
      </c>
      <c r="D41" s="92"/>
      <c r="E41" s="51">
        <v>1000</v>
      </c>
      <c r="F41" s="93"/>
      <c r="G41" s="93"/>
      <c r="H41" s="93"/>
      <c r="I41" s="94"/>
      <c r="J41" s="97"/>
      <c r="K41" s="97"/>
      <c r="L41" s="43">
        <f>SUM(L42)</f>
        <v>1381.55</v>
      </c>
      <c r="M41" s="95" t="s">
        <v>1009</v>
      </c>
    </row>
    <row r="42" spans="1:13" ht="39.950000000000003" customHeight="1" x14ac:dyDescent="0.25">
      <c r="A42" s="16">
        <v>1.1000000000000001</v>
      </c>
      <c r="B42" s="2" t="s">
        <v>231</v>
      </c>
      <c r="C42" s="2" t="s">
        <v>672</v>
      </c>
      <c r="D42" s="91">
        <f>8.9+(6.28*4)</f>
        <v>34.020000000000003</v>
      </c>
      <c r="E42" s="14">
        <f>D42*E41/1000</f>
        <v>34.020000000000003</v>
      </c>
      <c r="F42" s="89"/>
      <c r="G42" s="89"/>
      <c r="H42" s="89"/>
      <c r="I42" s="90"/>
      <c r="J42" s="35">
        <f>ROUND(IF(ISNUMBER(MATCH(B42,E!$B$6:$B$197,0)),VLOOKUP(B42,E!$B$6:$E$197,2,FALSE),IF(#REF!="დიახ",IF(VLOOKUP(B42,M!$B$6:$I$733,8,FALSE)="ლ",VLOOKUP(B42,M!$B$6:$I$733,3,FALSE)*0.001*#REF!*#REF!,IF(VLOOKUP(B42,M!$B$6:$I$733,8,FALSE)="მბ",VLOOKUP(B42,M!$B$6:$I$733,3,FALSE)*0.001*#REF!*#REF!,IF(VLOOKUP(B42,M!$B$6:$I$733,8,FALSE)="აბ",VLOOKUP(B42,M!$B$6:$I$733,3,FALSE)*0.001*#REF!*#REF!,IF(VLOOKUP(B42,M!$B$6:$I$733,8,FALSE)="ინ",VLOOKUP(B42,M!$B$6:$I$733,3,FALSE)*0.001*#REF!*#REF!,IF(VLOOKUP(B42,M!$B$6:$I$733,8,FALSE)="ას",VLOOKUP(B42,M!$B$6:$I$733,3,FALSE)*0.001*#REF!*#REF!,IF(VLOOKUP(B42,M!$B$6:$I$733,8,FALSE)="სხ",VLOOKUP(B42,M!$B$6:$I$733,3,FALSE)*0.001*#REF!*#REF!,IF(VLOOKUP(B42,M!$B$6:$I$733,8,FALSE)="ხმ",VLOOKUP(B42,M!$B$6:$I$733,3,FALSE)*0.001*#REF!*#REF!))))))))),2)</f>
        <v>40.61</v>
      </c>
      <c r="K42" s="31">
        <f>ROUND(E42*J42,2)</f>
        <v>1381.55</v>
      </c>
      <c r="L42" s="14">
        <f>G42+I42+K42</f>
        <v>1381.55</v>
      </c>
      <c r="M42" s="23" t="str">
        <f>(IF(ISNUMBER(MATCH(B42,E!$B$6:$B$197,0)),VLOOKUP(B42,E!$B$6:$E$197,4,FALSE),VLOOKUP(B42,M!$B$6:$I$733,7,FALSE)))</f>
        <v>14-143</v>
      </c>
    </row>
    <row r="43" spans="1:13" s="45" customFormat="1" ht="39.950000000000003" customHeight="1" x14ac:dyDescent="0.25">
      <c r="A43" s="39">
        <v>1.1000000000000001</v>
      </c>
      <c r="B43" s="40" t="s">
        <v>1099</v>
      </c>
      <c r="C43" s="41" t="s">
        <v>713</v>
      </c>
      <c r="D43" s="92"/>
      <c r="E43" s="51">
        <v>1000</v>
      </c>
      <c r="F43" s="93"/>
      <c r="G43" s="93"/>
      <c r="H43" s="93"/>
      <c r="I43" s="94"/>
      <c r="J43" s="97"/>
      <c r="K43" s="97"/>
      <c r="L43" s="43">
        <f>SUM(L44)</f>
        <v>2438.2199999999998</v>
      </c>
      <c r="M43" s="95" t="s">
        <v>1098</v>
      </c>
    </row>
    <row r="44" spans="1:13" ht="39.950000000000003" customHeight="1" x14ac:dyDescent="0.25">
      <c r="A44" s="16">
        <v>1.1000000000000001</v>
      </c>
      <c r="B44" s="2" t="s">
        <v>231</v>
      </c>
      <c r="C44" s="2" t="s">
        <v>672</v>
      </c>
      <c r="D44" s="91">
        <f>22.4+(9.41*4)</f>
        <v>60.04</v>
      </c>
      <c r="E44" s="14">
        <f>D44*E43/1000</f>
        <v>60.04</v>
      </c>
      <c r="F44" s="89"/>
      <c r="G44" s="89"/>
      <c r="H44" s="89"/>
      <c r="I44" s="90"/>
      <c r="J44" s="35">
        <f>ROUND(IF(ISNUMBER(MATCH(B44,E!$B$6:$B$197,0)),VLOOKUP(B44,E!$B$6:$E$197,2,FALSE),IF(#REF!="დიახ",IF(VLOOKUP(B44,M!$B$6:$I$733,8,FALSE)="ლ",VLOOKUP(B44,M!$B$6:$I$733,3,FALSE)*0.001*#REF!*#REF!,IF(VLOOKUP(B44,M!$B$6:$I$733,8,FALSE)="მბ",VLOOKUP(B44,M!$B$6:$I$733,3,FALSE)*0.001*#REF!*#REF!,IF(VLOOKUP(B44,M!$B$6:$I$733,8,FALSE)="აბ",VLOOKUP(B44,M!$B$6:$I$733,3,FALSE)*0.001*#REF!*#REF!,IF(VLOOKUP(B44,M!$B$6:$I$733,8,FALSE)="ინ",VLOOKUP(B44,M!$B$6:$I$733,3,FALSE)*0.001*#REF!*#REF!,IF(VLOOKUP(B44,M!$B$6:$I$733,8,FALSE)="ას",VLOOKUP(B44,M!$B$6:$I$733,3,FALSE)*0.001*#REF!*#REF!,IF(VLOOKUP(B44,M!$B$6:$I$733,8,FALSE)="სხ",VLOOKUP(B44,M!$B$6:$I$733,3,FALSE)*0.001*#REF!*#REF!,IF(VLOOKUP(B44,M!$B$6:$I$733,8,FALSE)="ხმ",VLOOKUP(B44,M!$B$6:$I$733,3,FALSE)*0.001*#REF!*#REF!))))))))),2)</f>
        <v>40.61</v>
      </c>
      <c r="K44" s="31">
        <f>ROUND(E44*J44,2)</f>
        <v>2438.2199999999998</v>
      </c>
      <c r="L44" s="14">
        <f>G44+I44+K44</f>
        <v>2438.2199999999998</v>
      </c>
      <c r="M44" s="23" t="str">
        <f>(IF(ISNUMBER(MATCH(B44,E!$B$6:$B$197,0)),VLOOKUP(B44,E!$B$6:$E$197,4,FALSE),VLOOKUP(B44,M!$B$6:$I$733,7,FALSE)))</f>
        <v>14-143</v>
      </c>
    </row>
    <row r="45" spans="1:13" s="45" customFormat="1" ht="39.950000000000003" customHeight="1" x14ac:dyDescent="0.25">
      <c r="A45" s="39">
        <v>1.1000000000000001</v>
      </c>
      <c r="B45" s="40" t="s">
        <v>993</v>
      </c>
      <c r="C45" s="41" t="s">
        <v>713</v>
      </c>
      <c r="D45" s="92"/>
      <c r="E45" s="51">
        <v>1000</v>
      </c>
      <c r="F45" s="93"/>
      <c r="G45" s="93"/>
      <c r="H45" s="93"/>
      <c r="I45" s="94"/>
      <c r="J45" s="97"/>
      <c r="K45" s="97"/>
      <c r="L45" s="43">
        <f>SUM(L46)</f>
        <v>1354.79</v>
      </c>
      <c r="M45" s="95" t="s">
        <v>994</v>
      </c>
    </row>
    <row r="46" spans="1:13" ht="39.950000000000003" customHeight="1" x14ac:dyDescent="0.25">
      <c r="A46" s="16">
        <v>1.1000000000000001</v>
      </c>
      <c r="B46" s="2" t="s">
        <v>233</v>
      </c>
      <c r="C46" s="2" t="s">
        <v>672</v>
      </c>
      <c r="D46" s="91">
        <f>3.4+(3.42*4)</f>
        <v>17.079999999999998</v>
      </c>
      <c r="E46" s="14">
        <f>D46*E45/1000</f>
        <v>17.079999999999998</v>
      </c>
      <c r="F46" s="89"/>
      <c r="G46" s="89"/>
      <c r="H46" s="89"/>
      <c r="I46" s="90"/>
      <c r="J46" s="35">
        <f>ROUND(IF(ISNUMBER(MATCH(B46,E!$B$6:$B$197,0)),VLOOKUP(B46,E!$B$6:$E$197,2,FALSE),IF(#REF!="დიახ",IF(VLOOKUP(B46,M!$B$6:$I$733,8,FALSE)="ლ",VLOOKUP(B46,M!$B$6:$I$733,3,FALSE)*0.001*#REF!*#REF!,IF(VLOOKUP(B46,M!$B$6:$I$733,8,FALSE)="მბ",VLOOKUP(B46,M!$B$6:$I$733,3,FALSE)*0.001*#REF!*#REF!,IF(VLOOKUP(B46,M!$B$6:$I$733,8,FALSE)="აბ",VLOOKUP(B46,M!$B$6:$I$733,3,FALSE)*0.001*#REF!*#REF!,IF(VLOOKUP(B46,M!$B$6:$I$733,8,FALSE)="ინ",VLOOKUP(B46,M!$B$6:$I$733,3,FALSE)*0.001*#REF!*#REF!,IF(VLOOKUP(B46,M!$B$6:$I$733,8,FALSE)="ას",VLOOKUP(B46,M!$B$6:$I$733,3,FALSE)*0.001*#REF!*#REF!,IF(VLOOKUP(B46,M!$B$6:$I$733,8,FALSE)="სხ",VLOOKUP(B46,M!$B$6:$I$733,3,FALSE)*0.001*#REF!*#REF!,IF(VLOOKUP(B46,M!$B$6:$I$733,8,FALSE)="ხმ",VLOOKUP(B46,M!$B$6:$I$733,3,FALSE)*0.001*#REF!*#REF!))))))))),2)</f>
        <v>79.319999999999993</v>
      </c>
      <c r="K46" s="31">
        <f>ROUND(E46*J46,2)</f>
        <v>1354.79</v>
      </c>
      <c r="L46" s="14">
        <f>G46+I46+K46</f>
        <v>1354.79</v>
      </c>
      <c r="M46" s="23" t="str">
        <f>(IF(ISNUMBER(MATCH(B46,E!$B$6:$B$197,0)),VLOOKUP(B46,E!$B$6:$E$197,4,FALSE),VLOOKUP(B46,M!$B$6:$I$733,7,FALSE)))</f>
        <v>14-145</v>
      </c>
    </row>
    <row r="47" spans="1:13" s="45" customFormat="1" ht="39.950000000000003" customHeight="1" x14ac:dyDescent="0.25">
      <c r="A47" s="39">
        <v>1.1000000000000001</v>
      </c>
      <c r="B47" s="40" t="s">
        <v>821</v>
      </c>
      <c r="C47" s="41" t="s">
        <v>713</v>
      </c>
      <c r="D47" s="41"/>
      <c r="E47" s="51">
        <v>1000</v>
      </c>
      <c r="F47" s="42"/>
      <c r="G47" s="42"/>
      <c r="H47" s="42"/>
      <c r="I47" s="42"/>
      <c r="J47" s="46"/>
      <c r="K47" s="46"/>
      <c r="L47" s="43" t="e">
        <f>SUM(L48:L49)</f>
        <v>#REF!</v>
      </c>
      <c r="M47" s="48" t="s">
        <v>822</v>
      </c>
    </row>
    <row r="48" spans="1:13" ht="39.950000000000003" customHeight="1" x14ac:dyDescent="0.25">
      <c r="A48" s="16" t="s">
        <v>668</v>
      </c>
      <c r="B48" s="2" t="s">
        <v>231</v>
      </c>
      <c r="C48" s="2" t="s">
        <v>672</v>
      </c>
      <c r="D48" s="2">
        <f>5.13</f>
        <v>5.13</v>
      </c>
      <c r="E48" s="14">
        <f>D48*E47/1000</f>
        <v>5.13</v>
      </c>
      <c r="F48" s="13"/>
      <c r="G48" s="13"/>
      <c r="H48" s="13"/>
      <c r="I48" s="13"/>
      <c r="J48" s="35">
        <f>ROUND(IF(ISNUMBER(MATCH(B48,E!$B$6:$B$197,0)),VLOOKUP(B48,E!$B$6:$E$197,2,FALSE),IF(#REF!="დიახ",IF(VLOOKUP(B48,M!$B$6:$I$733,8,FALSE)="ლ",VLOOKUP(B48,M!$B$6:$I$733,3,FALSE)*0.001*#REF!*#REF!,IF(VLOOKUP(B48,M!$B$6:$I$733,8,FALSE)="მბ",VLOOKUP(B48,M!$B$6:$I$733,3,FALSE)*0.001*#REF!*#REF!,IF(VLOOKUP(B48,M!$B$6:$I$733,8,FALSE)="აბ",VLOOKUP(B48,M!$B$6:$I$733,3,FALSE)*0.001*#REF!*#REF!,IF(VLOOKUP(B48,M!$B$6:$I$733,8,FALSE)="ინ",VLOOKUP(B48,M!$B$6:$I$733,3,FALSE)*0.001*#REF!*#REF!,IF(VLOOKUP(B48,M!$B$6:$I$733,8,FALSE)="ას",VLOOKUP(B48,M!$B$6:$I$733,3,FALSE)*0.001*#REF!*#REF!,IF(VLOOKUP(B48,M!$B$6:$I$733,8,FALSE)="სხ",VLOOKUP(B48,M!$B$6:$I$733,3,FALSE)*0.001*#REF!*#REF!,IF(VLOOKUP(B48,M!$B$6:$I$733,8,FALSE)="ხმ",VLOOKUP(B48,M!$B$6:$I$733,3,FALSE)*0.001*#REF!*#REF!))))))))),2)</f>
        <v>40.61</v>
      </c>
      <c r="K48" s="31">
        <f>ROUND(E48*J48,2)</f>
        <v>208.33</v>
      </c>
      <c r="L48" s="14">
        <f>G48+I48+K48</f>
        <v>208.33</v>
      </c>
      <c r="M48" s="23" t="str">
        <f>(IF(ISNUMBER(MATCH(B48,E!$B$6:$B$197,0)),VLOOKUP(B48,E!$B$6:$E$197,4,FALSE),VLOOKUP(B48,M!$B$6:$I$733,7,FALSE)))</f>
        <v>14-143</v>
      </c>
    </row>
    <row r="49" spans="1:14" ht="39.950000000000003" customHeight="1" x14ac:dyDescent="0.25">
      <c r="A49" s="16" t="s">
        <v>671</v>
      </c>
      <c r="B49" s="2" t="s">
        <v>331</v>
      </c>
      <c r="C49" s="2" t="s">
        <v>674</v>
      </c>
      <c r="D49" s="2">
        <v>1010</v>
      </c>
      <c r="E49" s="14">
        <f>D49*E47/1000</f>
        <v>1010</v>
      </c>
      <c r="F49" s="31" t="e">
        <f>ROUND(VLOOKUP(B49,M!$B$6:$H$733,IF(#REF!="დაბალი",4,IF(#REF!="საშუალო",6,IF(#REF!="მაღალი",5))),FALSE),2)</f>
        <v>#REF!</v>
      </c>
      <c r="G49" s="14" t="e">
        <f>ROUND(E49*F49,2)</f>
        <v>#REF!</v>
      </c>
      <c r="H49" s="13"/>
      <c r="I49" s="13"/>
      <c r="J49" s="35" t="e">
        <f>ROUND(IF(ISNUMBER(MATCH(B49,E!$B$6:$B$197,0)),VLOOKUP(B49,E!$B$6:$E$197,2,FALSE),IF(#REF!="დიახ",IF(VLOOKUP(B49,M!$B$6:$I$733,8,FALSE)="ლ",VLOOKUP(B49,M!$B$6:$I$733,3,FALSE)*0.001*#REF!*#REF!,IF(VLOOKUP(B49,M!$B$6:$I$733,8,FALSE)="მბ",VLOOKUP(B49,M!$B$6:$I$733,3,FALSE)*0.001*#REF!*#REF!,IF(VLOOKUP(B49,M!$B$6:$I$733,8,FALSE)="აბ",VLOOKUP(B49,M!$B$6:$I$733,3,FALSE)*0.001*#REF!*#REF!,IF(VLOOKUP(B49,M!$B$6:$I$733,8,FALSE)="ინ",VLOOKUP(B49,M!$B$6:$I$733,3,FALSE)*0.001*#REF!*#REF!,IF(VLOOKUP(B49,M!$B$6:$I$733,8,FALSE)="ას",VLOOKUP(B49,M!$B$6:$I$733,3,FALSE)*0.001*#REF!*#REF!,IF(VLOOKUP(B49,M!$B$6:$I$733,8,FALSE)="სხ",VLOOKUP(B49,M!$B$6:$I$733,3,FALSE)*0.001*#REF!*#REF!,IF(VLOOKUP(B49,M!$B$6:$I$733,8,FALSE)="ხმ",VLOOKUP(B49,M!$B$6:$I$733,3,FALSE)*0.001*#REF!*#REF!))))))))),2)</f>
        <v>#REF!</v>
      </c>
      <c r="K49" s="31" t="e">
        <f>ROUND(E49*J49,2)</f>
        <v>#REF!</v>
      </c>
      <c r="L49" s="14" t="e">
        <f t="shared" ref="L49" si="0">G49+I49+K49</f>
        <v>#REF!</v>
      </c>
      <c r="M49" s="23" t="str">
        <f>(IF(ISNUMBER(MATCH(B49,E!$B$6:$B$197,0)),VLOOKUP(B49,E!$B$6:$E$197,4,FALSE),VLOOKUP(B49,M!$B$6:$I$733,7,FALSE)))</f>
        <v>4.1-228</v>
      </c>
    </row>
    <row r="50" spans="1:14" s="45" customFormat="1" ht="39.950000000000003" customHeight="1" x14ac:dyDescent="0.25">
      <c r="A50" s="39">
        <v>1.1000000000000001</v>
      </c>
      <c r="B50" s="40" t="s">
        <v>1109</v>
      </c>
      <c r="C50" s="41" t="s">
        <v>721</v>
      </c>
      <c r="D50" s="41"/>
      <c r="E50" s="51">
        <v>1000</v>
      </c>
      <c r="F50" s="42"/>
      <c r="G50" s="42"/>
      <c r="H50" s="42"/>
      <c r="I50" s="42"/>
      <c r="J50" s="42"/>
      <c r="K50" s="42"/>
      <c r="L50" s="43">
        <f>SUM(L51:L51)</f>
        <v>8.14</v>
      </c>
      <c r="M50" s="44" t="s">
        <v>1110</v>
      </c>
      <c r="N50" s="68"/>
    </row>
    <row r="51" spans="1:14" ht="39.950000000000003" customHeight="1" x14ac:dyDescent="0.25">
      <c r="A51" s="16" t="s">
        <v>668</v>
      </c>
      <c r="B51" s="2" t="s">
        <v>231</v>
      </c>
      <c r="C51" s="2" t="s">
        <v>672</v>
      </c>
      <c r="D51" s="2">
        <v>0.28000000000000003</v>
      </c>
      <c r="E51" s="14">
        <f>D51*E50/1000</f>
        <v>0.28000000000000003</v>
      </c>
      <c r="F51" s="13"/>
      <c r="G51" s="13"/>
      <c r="H51" s="13"/>
      <c r="I51" s="13"/>
      <c r="J51" s="14">
        <v>29.08</v>
      </c>
      <c r="K51" s="14">
        <f>ROUND(E51*J51,2)</f>
        <v>8.14</v>
      </c>
      <c r="L51" s="14">
        <f>G51+I51+K51</f>
        <v>8.14</v>
      </c>
      <c r="M51" s="23" t="str">
        <f>(IF(ISNUMBER(MATCH(B51,E!$B$6:$B$197,0)),VLOOKUP(B51,E!$B$6:$E$197,4,FALSE),VLOOKUP(B51,M!$B$6:$I$733,7,FALSE)))</f>
        <v>14-143</v>
      </c>
    </row>
    <row r="52" spans="1:14" s="45" customFormat="1" ht="39.950000000000003" customHeight="1" x14ac:dyDescent="0.25">
      <c r="A52" s="39">
        <v>1.1000000000000001</v>
      </c>
      <c r="B52" s="40" t="s">
        <v>1167</v>
      </c>
      <c r="C52" s="41" t="s">
        <v>721</v>
      </c>
      <c r="D52" s="41"/>
      <c r="E52" s="51">
        <v>1000</v>
      </c>
      <c r="F52" s="42"/>
      <c r="G52" s="42"/>
      <c r="H52" s="42"/>
      <c r="I52" s="42"/>
      <c r="J52" s="42"/>
      <c r="K52" s="42"/>
      <c r="L52" s="43">
        <f>SUM(L53)</f>
        <v>462</v>
      </c>
      <c r="M52" s="44" t="s">
        <v>1166</v>
      </c>
      <c r="N52" s="68"/>
    </row>
    <row r="53" spans="1:14" ht="39.950000000000003" customHeight="1" x14ac:dyDescent="0.25">
      <c r="A53" s="16" t="s">
        <v>668</v>
      </c>
      <c r="B53" s="17" t="s">
        <v>669</v>
      </c>
      <c r="C53" s="2" t="s">
        <v>670</v>
      </c>
      <c r="D53" s="2">
        <v>77</v>
      </c>
      <c r="E53" s="14">
        <f>D53*E52/1000</f>
        <v>77</v>
      </c>
      <c r="F53" s="13"/>
      <c r="G53" s="13"/>
      <c r="H53" s="27">
        <f>IF((ISNUMBER(--LEFT(M52,2))),VLOOKUP(--LEFT(M52,2),N!$A$5:$C$54,3,FALSE),VLOOKUP(--LEFT(M52,1),N!$A$5:$C$54,3,FALSE))</f>
        <v>6</v>
      </c>
      <c r="I53" s="14">
        <f>ROUND(E53*H53,2)</f>
        <v>462</v>
      </c>
      <c r="J53" s="13"/>
      <c r="K53" s="13"/>
      <c r="L53" s="14">
        <f>G53+I53+K53</f>
        <v>462</v>
      </c>
      <c r="M53" s="23" t="str">
        <f>(IF(ISNUMBER(MATCH(B53,E!$B$6:$B$197,0)),VLOOKUP(B53,E!$B$6:$E$197,4,FALSE),VLOOKUP(B53,M!$B$6:$I$733,7,FALSE)))</f>
        <v>მ.ც</v>
      </c>
    </row>
    <row r="54" spans="1:14" s="45" customFormat="1" ht="39.950000000000003" customHeight="1" x14ac:dyDescent="0.25">
      <c r="A54" s="39">
        <v>1.1000000000000001</v>
      </c>
      <c r="B54" s="40" t="s">
        <v>1198</v>
      </c>
      <c r="C54" s="41" t="s">
        <v>713</v>
      </c>
      <c r="D54" s="41"/>
      <c r="E54" s="51">
        <v>1000</v>
      </c>
      <c r="F54" s="42"/>
      <c r="G54" s="42"/>
      <c r="H54" s="42"/>
      <c r="I54" s="42"/>
      <c r="J54" s="42"/>
      <c r="K54" s="42"/>
      <c r="L54" s="43">
        <f>SUM(L55:L56)</f>
        <v>863.68</v>
      </c>
      <c r="M54" s="44" t="s">
        <v>1197</v>
      </c>
      <c r="N54" s="68"/>
    </row>
    <row r="55" spans="1:14" ht="39.950000000000003" customHeight="1" x14ac:dyDescent="0.25">
      <c r="A55" s="16" t="s">
        <v>668</v>
      </c>
      <c r="B55" s="17" t="s">
        <v>669</v>
      </c>
      <c r="C55" s="2" t="s">
        <v>670</v>
      </c>
      <c r="D55" s="2">
        <v>7.4</v>
      </c>
      <c r="E55" s="14">
        <f>D55*E54/1000</f>
        <v>7.4</v>
      </c>
      <c r="F55" s="13"/>
      <c r="G55" s="13"/>
      <c r="H55" s="27">
        <f>IF((ISNUMBER(--LEFT(M54,2))),VLOOKUP(--LEFT(M54,2),N!$A$5:$C$54,3,FALSE),VLOOKUP(--LEFT(M54,1),N!$A$5:$C$54,3,FALSE))</f>
        <v>6</v>
      </c>
      <c r="I55" s="14">
        <f>ROUND(E55*H55,2)</f>
        <v>44.4</v>
      </c>
      <c r="J55" s="13"/>
      <c r="K55" s="13"/>
      <c r="L55" s="14">
        <f>G55+I55+K55</f>
        <v>44.4</v>
      </c>
      <c r="M55" s="23" t="str">
        <f>(IF(ISNUMBER(MATCH(B55,E!$B$6:$B$197,0)),VLOOKUP(B55,E!$B$6:$E$197,4,FALSE),VLOOKUP(B55,M!$B$6:$I$733,7,FALSE)))</f>
        <v>მ.ც</v>
      </c>
    </row>
    <row r="56" spans="1:14" ht="39.950000000000003" customHeight="1" x14ac:dyDescent="0.25">
      <c r="A56" s="16" t="s">
        <v>671</v>
      </c>
      <c r="B56" s="2" t="s">
        <v>241</v>
      </c>
      <c r="C56" s="2" t="s">
        <v>672</v>
      </c>
      <c r="D56" s="2">
        <v>26.8</v>
      </c>
      <c r="E56" s="14">
        <f>D56*E54/1000</f>
        <v>26.8</v>
      </c>
      <c r="F56" s="13"/>
      <c r="G56" s="13"/>
      <c r="H56" s="13"/>
      <c r="I56" s="13"/>
      <c r="J56" s="35">
        <f>ROUND(IF(ISNUMBER(MATCH(B56,E!$B$6:$B$197,0)),VLOOKUP(B56,E!$B$6:$E$197,2,FALSE),IF(#REF!="დიახ",IF(VLOOKUP(B56,M!$B$6:$I$733,8,FALSE)="ლ",VLOOKUP(B56,M!$B$6:$I$733,3,FALSE)*0.001*#REF!*#REF!,IF(VLOOKUP(B56,M!$B$6:$I$733,8,FALSE)="მბ",VLOOKUP(B56,M!$B$6:$I$733,3,FALSE)*0.001*#REF!*#REF!,IF(VLOOKUP(B56,M!$B$6:$I$733,8,FALSE)="აბ",VLOOKUP(B56,M!$B$6:$I$733,3,FALSE)*0.001*#REF!*#REF!,IF(VLOOKUP(B56,M!$B$6:$I$733,8,FALSE)="ინ",VLOOKUP(B56,M!$B$6:$I$733,3,FALSE)*0.001*#REF!*#REF!,IF(VLOOKUP(B56,M!$B$6:$I$733,8,FALSE)="ას",VLOOKUP(B56,M!$B$6:$I$733,3,FALSE)*0.001*#REF!*#REF!,IF(VLOOKUP(B56,M!$B$6:$I$733,8,FALSE)="სხ",VLOOKUP(B56,M!$B$6:$I$733,3,FALSE)*0.001*#REF!*#REF!,IF(VLOOKUP(B56,M!$B$6:$I$733,8,FALSE)="ხმ",VLOOKUP(B56,M!$B$6:$I$733,3,FALSE)*0.001*#REF!*#REF!))))))))),2)</f>
        <v>30.57</v>
      </c>
      <c r="K56" s="14">
        <f>ROUND(E56*J56,2)</f>
        <v>819.28</v>
      </c>
      <c r="L56" s="14">
        <f>G56+I56+K56</f>
        <v>819.28</v>
      </c>
      <c r="M56" s="23" t="str">
        <f>(IF(ISNUMBER(MATCH(B56,E!$B$6:$B$197,0)),VLOOKUP(B56,E!$B$6:$E$197,4,FALSE),VLOOKUP(B56,M!$B$6:$I$733,7,FALSE)))</f>
        <v>14-200</v>
      </c>
    </row>
    <row r="57" spans="1:14" s="45" customFormat="1" ht="39.950000000000003" customHeight="1" x14ac:dyDescent="0.25">
      <c r="A57" s="39">
        <v>1.1000000000000001</v>
      </c>
      <c r="B57" s="40" t="s">
        <v>995</v>
      </c>
      <c r="C57" s="41" t="s">
        <v>721</v>
      </c>
      <c r="D57" s="41"/>
      <c r="E57" s="51">
        <v>1000</v>
      </c>
      <c r="F57" s="42"/>
      <c r="G57" s="42"/>
      <c r="H57" s="42"/>
      <c r="I57" s="42"/>
      <c r="J57" s="46"/>
      <c r="K57" s="46"/>
      <c r="L57" s="43">
        <f>SUM(L58:L59)</f>
        <v>3.61</v>
      </c>
      <c r="M57" s="44" t="s">
        <v>996</v>
      </c>
    </row>
    <row r="58" spans="1:14" ht="39.950000000000003" customHeight="1" x14ac:dyDescent="0.25">
      <c r="A58" s="16" t="s">
        <v>668</v>
      </c>
      <c r="B58" s="17" t="s">
        <v>669</v>
      </c>
      <c r="C58" s="2" t="s">
        <v>670</v>
      </c>
      <c r="D58" s="2">
        <v>3.1E-2</v>
      </c>
      <c r="E58" s="14">
        <f>D58*E57/1000</f>
        <v>3.1E-2</v>
      </c>
      <c r="F58" s="13"/>
      <c r="G58" s="13"/>
      <c r="H58" s="27">
        <f>IF((ISNUMBER(--LEFT(M57,2))),VLOOKUP(--LEFT(M57,2),N!$A$5:$C$54,3,FALSE),VLOOKUP(--LEFT(M57,1),N!$A$5:$C$54,3,FALSE))</f>
        <v>6</v>
      </c>
      <c r="I58" s="14">
        <f>ROUND(E58*H58,2)</f>
        <v>0.19</v>
      </c>
      <c r="J58" s="31"/>
      <c r="K58" s="31"/>
      <c r="L58" s="14">
        <f>G58+I58+K58</f>
        <v>0.19</v>
      </c>
      <c r="M58" s="23" t="str">
        <f>(IF(ISNUMBER(MATCH(B58,E!$B$6:$B$197,0)),VLOOKUP(B58,E!$B$6:$E$197,4,FALSE),VLOOKUP(B58,M!$B$6:$I$733,7,FALSE)))</f>
        <v>მ.ც</v>
      </c>
    </row>
    <row r="59" spans="1:14" ht="39.950000000000003" customHeight="1" x14ac:dyDescent="0.25">
      <c r="A59" s="16" t="s">
        <v>671</v>
      </c>
      <c r="B59" s="2" t="s">
        <v>241</v>
      </c>
      <c r="C59" s="2" t="s">
        <v>672</v>
      </c>
      <c r="D59" s="2">
        <v>0.112</v>
      </c>
      <c r="E59" s="14">
        <f>D59*E57/1000</f>
        <v>0.112</v>
      </c>
      <c r="F59" s="13"/>
      <c r="G59" s="13"/>
      <c r="H59" s="13"/>
      <c r="I59" s="13"/>
      <c r="J59" s="35">
        <f>ROUND(IF(ISNUMBER(MATCH(B59,E!$B$6:$B$197,0)),VLOOKUP(B59,E!$B$6:$E$197,2,FALSE),IF(#REF!="დიახ",IF(VLOOKUP(B59,M!$B$6:$I$733,8,FALSE)="ლ",VLOOKUP(B59,M!$B$6:$I$733,3,FALSE)*0.001*#REF!*#REF!,IF(VLOOKUP(B59,M!$B$6:$I$733,8,FALSE)="მბ",VLOOKUP(B59,M!$B$6:$I$733,3,FALSE)*0.001*#REF!*#REF!,IF(VLOOKUP(B59,M!$B$6:$I$733,8,FALSE)="აბ",VLOOKUP(B59,M!$B$6:$I$733,3,FALSE)*0.001*#REF!*#REF!,IF(VLOOKUP(B59,M!$B$6:$I$733,8,FALSE)="ინ",VLOOKUP(B59,M!$B$6:$I$733,3,FALSE)*0.001*#REF!*#REF!,IF(VLOOKUP(B59,M!$B$6:$I$733,8,FALSE)="ას",VLOOKUP(B59,M!$B$6:$I$733,3,FALSE)*0.001*#REF!*#REF!,IF(VLOOKUP(B59,M!$B$6:$I$733,8,FALSE)="სხ",VLOOKUP(B59,M!$B$6:$I$733,3,FALSE)*0.001*#REF!*#REF!,IF(VLOOKUP(B59,M!$B$6:$I$733,8,FALSE)="ხმ",VLOOKUP(B59,M!$B$6:$I$733,3,FALSE)*0.001*#REF!*#REF!))))))))),2)</f>
        <v>30.57</v>
      </c>
      <c r="K59" s="31">
        <f>ROUND(E59*J59,2)</f>
        <v>3.42</v>
      </c>
      <c r="L59" s="14">
        <f>G59+I59+K59</f>
        <v>3.42</v>
      </c>
      <c r="M59" s="23" t="str">
        <f>(IF(ISNUMBER(MATCH(B59,E!$B$6:$B$197,0)),VLOOKUP(B59,E!$B$6:$E$197,4,FALSE),VLOOKUP(B59,M!$B$6:$I$733,7,FALSE)))</f>
        <v>14-200</v>
      </c>
    </row>
    <row r="60" spans="1:14" s="45" customFormat="1" ht="39.950000000000003" customHeight="1" x14ac:dyDescent="0.25">
      <c r="A60" s="39">
        <v>1.1000000000000001</v>
      </c>
      <c r="B60" s="40" t="s">
        <v>823</v>
      </c>
      <c r="C60" s="41" t="s">
        <v>712</v>
      </c>
      <c r="D60" s="41"/>
      <c r="E60" s="52">
        <v>100</v>
      </c>
      <c r="F60" s="42"/>
      <c r="G60" s="42"/>
      <c r="H60" s="42"/>
      <c r="I60" s="42"/>
      <c r="J60" s="46"/>
      <c r="K60" s="46"/>
      <c r="L60" s="43">
        <f>SUM(L61)</f>
        <v>1236</v>
      </c>
      <c r="M60" s="79" t="str">
        <f>"1-80-"&amp;IF(ISNUMBER(--MID(B60,4,1)),HLOOKUP(--MID(B60,4,1),SN!$M$15:$P$17,1,FALSE),IF(ISNUMBER(--LEFT(B60,1)),HLOOKUP(--LEFT(B60,1),SN!$M$15:$P$17,1,FALSE)))</f>
        <v>1-80-3</v>
      </c>
    </row>
    <row r="61" spans="1:14" ht="39.950000000000003" customHeight="1" x14ac:dyDescent="0.25">
      <c r="A61" s="16" t="s">
        <v>668</v>
      </c>
      <c r="B61" s="17" t="s">
        <v>669</v>
      </c>
      <c r="C61" s="2" t="s">
        <v>670</v>
      </c>
      <c r="D61" s="2">
        <f>IF(ISNUMBER(--MID(B60,4,1)),HLOOKUP(--MID(B60,4,1),SN!$M$15:$P$17,3,FALSE),IF(ISNUMBER(--LEFT(B60,1)),HLOOKUP(--LEFT(B60,1),SN!$M$15:$P$17,3,FALSE)))</f>
        <v>206</v>
      </c>
      <c r="E61" s="14">
        <f>D61*E60/100</f>
        <v>206</v>
      </c>
      <c r="F61" s="13"/>
      <c r="G61" s="13"/>
      <c r="H61" s="27">
        <f>IF((ISNUMBER(--LEFT(M60,2))),VLOOKUP(--LEFT(M60,2),N!$A$5:$C$54,3,FALSE),VLOOKUP(--LEFT(M60,1),N!$A$5:$C$54,3,FALSE))</f>
        <v>6</v>
      </c>
      <c r="I61" s="14">
        <f>ROUND(E61*H61,2)</f>
        <v>1236</v>
      </c>
      <c r="J61" s="31"/>
      <c r="K61" s="31"/>
      <c r="L61" s="14">
        <f>G61+I61+K61</f>
        <v>1236</v>
      </c>
      <c r="M61" s="23" t="str">
        <f>(IF(ISNUMBER(MATCH(B61,E!$B$6:$B$197,0)),VLOOKUP(B61,E!$B$6:$E$197,4,FALSE),VLOOKUP(B61,M!$B$6:$I$733,7,FALSE)))</f>
        <v>მ.ც</v>
      </c>
    </row>
    <row r="62" spans="1:14" s="45" customFormat="1" ht="39.950000000000003" customHeight="1" x14ac:dyDescent="0.25">
      <c r="A62" s="39">
        <v>1.1000000000000001</v>
      </c>
      <c r="B62" s="40" t="s">
        <v>979</v>
      </c>
      <c r="C62" s="41" t="s">
        <v>712</v>
      </c>
      <c r="D62" s="41"/>
      <c r="E62" s="52">
        <v>100</v>
      </c>
      <c r="F62" s="42"/>
      <c r="G62" s="42"/>
      <c r="H62" s="42"/>
      <c r="I62" s="42"/>
      <c r="J62" s="46"/>
      <c r="K62" s="46"/>
      <c r="L62" s="43" t="e">
        <f>SUM(L63:L64)</f>
        <v>#REF!</v>
      </c>
      <c r="M62" s="44" t="s">
        <v>828</v>
      </c>
    </row>
    <row r="63" spans="1:14" ht="39.950000000000003" customHeight="1" x14ac:dyDescent="0.25">
      <c r="A63" s="16" t="s">
        <v>668</v>
      </c>
      <c r="B63" s="17" t="s">
        <v>669</v>
      </c>
      <c r="C63" s="2" t="s">
        <v>670</v>
      </c>
      <c r="D63" s="2">
        <v>121</v>
      </c>
      <c r="E63" s="14">
        <f>D63*E62/100</f>
        <v>121</v>
      </c>
      <c r="F63" s="13"/>
      <c r="G63" s="13"/>
      <c r="H63" s="27">
        <f>IF((ISNUMBER(--LEFT(M62,2))),VLOOKUP(--LEFT(M62,2),N!$A$5:$C$54,3,FALSE),VLOOKUP(--LEFT(M62,1),N!$A$5:$C$54,3,FALSE))</f>
        <v>6</v>
      </c>
      <c r="I63" s="14">
        <f>ROUND(E63*H63,2)</f>
        <v>726</v>
      </c>
      <c r="J63" s="31"/>
      <c r="K63" s="31"/>
      <c r="L63" s="14">
        <f>G63+I63+K63</f>
        <v>726</v>
      </c>
      <c r="M63" s="23" t="str">
        <f>(IF(ISNUMBER(MATCH(B63,E!$B$6:$B$197,0)),VLOOKUP(B63,E!$B$6:$E$197,4,FALSE),VLOOKUP(B63,M!$B$6:$I$733,7,FALSE)))</f>
        <v>მ.ც</v>
      </c>
    </row>
    <row r="64" spans="1:14" ht="39.950000000000003" customHeight="1" x14ac:dyDescent="0.25">
      <c r="A64" s="16" t="s">
        <v>671</v>
      </c>
      <c r="B64" s="2" t="s">
        <v>333</v>
      </c>
      <c r="C64" s="2" t="s">
        <v>674</v>
      </c>
      <c r="D64" s="2">
        <v>101</v>
      </c>
      <c r="E64" s="14">
        <f>D64*E62/100</f>
        <v>101</v>
      </c>
      <c r="F64" s="31" t="e">
        <f>ROUND(VLOOKUP(B64,M!$B$6:$H$733,IF(#REF!="დაბალი",4,IF(#REF!="საშუალო",6,IF(#REF!="მაღალი",5))),FALSE),2)</f>
        <v>#REF!</v>
      </c>
      <c r="G64" s="14" t="e">
        <f>ROUND(E64*F64,2)</f>
        <v>#REF!</v>
      </c>
      <c r="H64" s="13"/>
      <c r="I64" s="13"/>
      <c r="J64" s="35" t="e">
        <f>ROUND(IF(ISNUMBER(MATCH(B64,E!$B$6:$B$197,0)),VLOOKUP(B64,E!$B$6:$E$197,2,FALSE),IF(#REF!="დიახ",IF(VLOOKUP(B64,M!$B$6:$I$733,8,FALSE)="ლ",VLOOKUP(B64,M!$B$6:$I$733,3,FALSE)*0.001*#REF!*#REF!,IF(VLOOKUP(B64,M!$B$6:$I$733,8,FALSE)="მბ",VLOOKUP(B64,M!$B$6:$I$733,3,FALSE)*0.001*#REF!*#REF!,IF(VLOOKUP(B64,M!$B$6:$I$733,8,FALSE)="აბ",VLOOKUP(B64,M!$B$6:$I$733,3,FALSE)*0.001*#REF!*#REF!,IF(VLOOKUP(B64,M!$B$6:$I$733,8,FALSE)="ინ",VLOOKUP(B64,M!$B$6:$I$733,3,FALSE)*0.001*#REF!*#REF!,IF(VLOOKUP(B64,M!$B$6:$I$733,8,FALSE)="ას",VLOOKUP(B64,M!$B$6:$I$733,3,FALSE)*0.001*#REF!*#REF!,IF(VLOOKUP(B64,M!$B$6:$I$733,8,FALSE)="სხ",VLOOKUP(B64,M!$B$6:$I$733,3,FALSE)*0.001*#REF!*#REF!,IF(VLOOKUP(B64,M!$B$6:$I$733,8,FALSE)="ხმ",VLOOKUP(B64,M!$B$6:$I$733,3,FALSE)*0.001*#REF!*#REF!))))))))),2)</f>
        <v>#REF!</v>
      </c>
      <c r="K64" s="31" t="e">
        <f>ROUND(E64*J64,2)</f>
        <v>#REF!</v>
      </c>
      <c r="L64" s="14" t="e">
        <f>G64+I64+K64</f>
        <v>#REF!</v>
      </c>
      <c r="M64" s="23" t="str">
        <f>(IF(ISNUMBER(MATCH(B64,E!$B$6:$B$197,0)),VLOOKUP(B64,E!$B$6:$E$197,4,FALSE),VLOOKUP(B64,M!$B$6:$I$733,7,FALSE)))</f>
        <v>4.1-230</v>
      </c>
    </row>
    <row r="65" spans="1:13" s="45" customFormat="1" ht="39.950000000000003" customHeight="1" x14ac:dyDescent="0.25">
      <c r="A65" s="39">
        <v>1.1000000000000001</v>
      </c>
      <c r="B65" s="40" t="s">
        <v>1319</v>
      </c>
      <c r="C65" s="41" t="s">
        <v>712</v>
      </c>
      <c r="D65" s="41"/>
      <c r="E65" s="52">
        <v>100</v>
      </c>
      <c r="F65" s="42"/>
      <c r="G65" s="42"/>
      <c r="H65" s="42"/>
      <c r="I65" s="42"/>
      <c r="J65" s="46"/>
      <c r="K65" s="46"/>
      <c r="L65" s="43" t="e">
        <f>SUM(L66:L67)</f>
        <v>#REF!</v>
      </c>
      <c r="M65" s="44" t="s">
        <v>828</v>
      </c>
    </row>
    <row r="66" spans="1:13" ht="39.950000000000003" customHeight="1" x14ac:dyDescent="0.25">
      <c r="A66" s="16" t="s">
        <v>668</v>
      </c>
      <c r="B66" s="17" t="s">
        <v>669</v>
      </c>
      <c r="C66" s="2" t="s">
        <v>670</v>
      </c>
      <c r="D66" s="2">
        <v>121</v>
      </c>
      <c r="E66" s="14">
        <f>D66*E65/100</f>
        <v>121</v>
      </c>
      <c r="F66" s="13"/>
      <c r="G66" s="13"/>
      <c r="H66" s="27">
        <f>IF((ISNUMBER(--LEFT(M65,2))),VLOOKUP(--LEFT(M65,2),N!$A$5:$C$54,3,FALSE),VLOOKUP(--LEFT(M65,1),N!$A$5:$C$54,3,FALSE))</f>
        <v>6</v>
      </c>
      <c r="I66" s="14">
        <f>ROUND(E66*H66,2)</f>
        <v>726</v>
      </c>
      <c r="J66" s="31"/>
      <c r="K66" s="31"/>
      <c r="L66" s="14">
        <f>G66+I66+K66</f>
        <v>726</v>
      </c>
      <c r="M66" s="23" t="str">
        <f>(IF(ISNUMBER(MATCH(B66,E!$B$6:$B$197,0)),VLOOKUP(B66,E!$B$6:$E$197,4,FALSE),VLOOKUP(B66,M!$B$6:$I$733,7,FALSE)))</f>
        <v>მ.ც</v>
      </c>
    </row>
    <row r="67" spans="1:13" ht="39.950000000000003" customHeight="1" x14ac:dyDescent="0.25">
      <c r="A67" s="16" t="s">
        <v>671</v>
      </c>
      <c r="B67" s="2" t="s">
        <v>331</v>
      </c>
      <c r="C67" s="2" t="s">
        <v>674</v>
      </c>
      <c r="D67" s="2">
        <v>122</v>
      </c>
      <c r="E67" s="14">
        <f>D67*E65/100</f>
        <v>122</v>
      </c>
      <c r="F67" s="31" t="e">
        <f>ROUND(VLOOKUP(B67,M!$B$6:$H$733,IF(#REF!="დაბალი",4,IF(#REF!="საშუალო",6,IF(#REF!="მაღალი",5))),FALSE),2)</f>
        <v>#REF!</v>
      </c>
      <c r="G67" s="14" t="e">
        <f>ROUND(E67*F67,2)</f>
        <v>#REF!</v>
      </c>
      <c r="H67" s="13"/>
      <c r="I67" s="13"/>
      <c r="J67" s="35" t="e">
        <f>ROUND(IF(ISNUMBER(MATCH(B67,E!$B$6:$B$197,0)),VLOOKUP(B67,E!$B$6:$E$197,2,FALSE),IF(#REF!="დიახ",IF(VLOOKUP(B67,M!$B$6:$I$733,8,FALSE)="ლ",VLOOKUP(B67,M!$B$6:$I$733,3,FALSE)*0.001*#REF!*#REF!,IF(VLOOKUP(B67,M!$B$6:$I$733,8,FALSE)="მბ",VLOOKUP(B67,M!$B$6:$I$733,3,FALSE)*0.001*#REF!*#REF!,IF(VLOOKUP(B67,M!$B$6:$I$733,8,FALSE)="აბ",VLOOKUP(B67,M!$B$6:$I$733,3,FALSE)*0.001*#REF!*#REF!,IF(VLOOKUP(B67,M!$B$6:$I$733,8,FALSE)="ინ",VLOOKUP(B67,M!$B$6:$I$733,3,FALSE)*0.001*#REF!*#REF!,IF(VLOOKUP(B67,M!$B$6:$I$733,8,FALSE)="ას",VLOOKUP(B67,M!$B$6:$I$733,3,FALSE)*0.001*#REF!*#REF!,IF(VLOOKUP(B67,M!$B$6:$I$733,8,FALSE)="სხ",VLOOKUP(B67,M!$B$6:$I$733,3,FALSE)*0.001*#REF!*#REF!,IF(VLOOKUP(B67,M!$B$6:$I$733,8,FALSE)="ხმ",VLOOKUP(B67,M!$B$6:$I$733,3,FALSE)*0.001*#REF!*#REF!))))))))),2)</f>
        <v>#REF!</v>
      </c>
      <c r="K67" s="31" t="e">
        <f>ROUND(E67*J67,2)</f>
        <v>#REF!</v>
      </c>
      <c r="L67" s="14" t="e">
        <f>G67+I67+K67</f>
        <v>#REF!</v>
      </c>
      <c r="M67" s="23" t="str">
        <f>(IF(ISNUMBER(MATCH(B67,E!$B$6:$B$197,0)),VLOOKUP(B67,E!$B$6:$E$197,4,FALSE),VLOOKUP(B67,M!$B$6:$I$733,7,FALSE)))</f>
        <v>4.1-228</v>
      </c>
    </row>
    <row r="68" spans="1:13" s="45" customFormat="1" ht="39.950000000000003" customHeight="1" x14ac:dyDescent="0.25">
      <c r="A68" s="70">
        <v>1.1000000000000001</v>
      </c>
      <c r="B68" s="40" t="s">
        <v>1083</v>
      </c>
      <c r="C68" s="41" t="s">
        <v>712</v>
      </c>
      <c r="D68" s="41"/>
      <c r="E68" s="52">
        <v>100</v>
      </c>
      <c r="F68" s="42"/>
      <c r="G68" s="42"/>
      <c r="H68" s="42"/>
      <c r="I68" s="42"/>
      <c r="J68" s="46"/>
      <c r="K68" s="46"/>
      <c r="L68" s="43">
        <f>SUM(L69:L71)</f>
        <v>14188.8</v>
      </c>
      <c r="M68" s="48" t="s">
        <v>1082</v>
      </c>
    </row>
    <row r="69" spans="1:13" ht="39.950000000000003" customHeight="1" x14ac:dyDescent="0.25">
      <c r="A69" s="16" t="s">
        <v>668</v>
      </c>
      <c r="B69" s="17" t="s">
        <v>669</v>
      </c>
      <c r="C69" s="2" t="s">
        <v>670</v>
      </c>
      <c r="D69" s="2">
        <v>706</v>
      </c>
      <c r="E69" s="14">
        <f>D69*E68/100</f>
        <v>706</v>
      </c>
      <c r="F69" s="13"/>
      <c r="G69" s="13"/>
      <c r="H69" s="27">
        <f>IF((ISNUMBER(--LEFT(M68,2))),VLOOKUP(--LEFT(M68,2),N!$A$5:$C$54,3,FALSE),VLOOKUP(--LEFT(M68,1),N!$A$5:$C$54,3,FALSE))</f>
        <v>6</v>
      </c>
      <c r="I69" s="14">
        <f>ROUND(E69*H69,2)</f>
        <v>4236</v>
      </c>
      <c r="J69" s="31"/>
      <c r="K69" s="31"/>
      <c r="L69" s="14">
        <f t="shared" ref="L69:L70" si="1">G69+I69+K69</f>
        <v>4236</v>
      </c>
      <c r="M69" s="23" t="str">
        <f>(IF(ISNUMBER(MATCH(B69,E!$B$6:$B$197,0)),VLOOKUP(B69,E!$B$6:$E$197,4,FALSE),VLOOKUP(B69,M!$B$6:$I$733,7,FALSE)))</f>
        <v>მ.ც</v>
      </c>
    </row>
    <row r="70" spans="1:13" ht="39.950000000000003" customHeight="1" x14ac:dyDescent="0.25">
      <c r="A70" s="16" t="s">
        <v>671</v>
      </c>
      <c r="B70" s="2" t="s">
        <v>276</v>
      </c>
      <c r="C70" s="2" t="s">
        <v>672</v>
      </c>
      <c r="D70" s="2">
        <v>520</v>
      </c>
      <c r="E70" s="14">
        <f>D70*E68/100</f>
        <v>520</v>
      </c>
      <c r="F70" s="13"/>
      <c r="G70" s="13"/>
      <c r="H70" s="13"/>
      <c r="I70" s="13"/>
      <c r="J70" s="35">
        <f>ROUND(IF(ISNUMBER(MATCH(B70,E!$B$6:$B$197,0)),VLOOKUP(B70,E!$B$6:$E$197,2,FALSE),IF(#REF!="დიახ",IF(VLOOKUP(B70,M!$B$6:$I$733,8,FALSE)="ლ",VLOOKUP(B70,M!$B$6:$I$733,3,FALSE)*0.001*#REF!*#REF!,IF(VLOOKUP(B70,M!$B$6:$I$733,8,FALSE)="მბ",VLOOKUP(B70,M!$B$6:$I$733,3,FALSE)*0.001*#REF!*#REF!,IF(VLOOKUP(B70,M!$B$6:$I$733,8,FALSE)="აბ",VLOOKUP(B70,M!$B$6:$I$733,3,FALSE)*0.001*#REF!*#REF!,IF(VLOOKUP(B70,M!$B$6:$I$733,8,FALSE)="ინ",VLOOKUP(B70,M!$B$6:$I$733,3,FALSE)*0.001*#REF!*#REF!,IF(VLOOKUP(B70,M!$B$6:$I$733,8,FALSE)="ას",VLOOKUP(B70,M!$B$6:$I$733,3,FALSE)*0.001*#REF!*#REF!,IF(VLOOKUP(B70,M!$B$6:$I$733,8,FALSE)="სხ",VLOOKUP(B70,M!$B$6:$I$733,3,FALSE)*0.001*#REF!*#REF!,IF(VLOOKUP(B70,M!$B$6:$I$733,8,FALSE)="ხმ",VLOOKUP(B70,M!$B$6:$I$733,3,FALSE)*0.001*#REF!*#REF!))))))))),2)</f>
        <v>6.73</v>
      </c>
      <c r="K70" s="31">
        <f>ROUND(E70*J70,2)</f>
        <v>3499.6</v>
      </c>
      <c r="L70" s="14">
        <f t="shared" si="1"/>
        <v>3499.6</v>
      </c>
      <c r="M70" s="23" t="str">
        <f>(IF(ISNUMBER(MATCH(B70,E!$B$6:$B$197,0)),VLOOKUP(B70,E!$B$6:$E$197,4,FALSE),VLOOKUP(B70,M!$B$6:$I$733,7,FALSE)))</f>
        <v>14-332</v>
      </c>
    </row>
    <row r="71" spans="1:13" ht="39.950000000000003" customHeight="1" x14ac:dyDescent="0.25">
      <c r="A71" s="16" t="s">
        <v>673</v>
      </c>
      <c r="B71" s="17" t="s">
        <v>202</v>
      </c>
      <c r="C71" s="2" t="s">
        <v>672</v>
      </c>
      <c r="D71" s="2">
        <v>260</v>
      </c>
      <c r="E71" s="14">
        <f>D71*E68/100</f>
        <v>260</v>
      </c>
      <c r="F71" s="13"/>
      <c r="G71" s="13"/>
      <c r="H71" s="2"/>
      <c r="I71" s="2"/>
      <c r="J71" s="35">
        <f>ROUND(IF(ISNUMBER(MATCH(B71,E!$B$6:$B$197,0)),VLOOKUP(B71,E!$B$6:$E$197,2,FALSE),IF(#REF!="დიახ",IF(VLOOKUP(B71,M!$B$6:$I$733,8,FALSE)="ლ",VLOOKUP(B71,M!$B$6:$I$733,3,FALSE)*0.001*#REF!*#REF!,IF(VLOOKUP(B71,M!$B$6:$I$733,8,FALSE)="მბ",VLOOKUP(B71,M!$B$6:$I$733,3,FALSE)*0.001*#REF!*#REF!,IF(VLOOKUP(B71,M!$B$6:$I$733,8,FALSE)="აბ",VLOOKUP(B71,M!$B$6:$I$733,3,FALSE)*0.001*#REF!*#REF!,IF(VLOOKUP(B71,M!$B$6:$I$733,8,FALSE)="ინ",VLOOKUP(B71,M!$B$6:$I$733,3,FALSE)*0.001*#REF!*#REF!,IF(VLOOKUP(B71,M!$B$6:$I$733,8,FALSE)="ას",VLOOKUP(B71,M!$B$6:$I$733,3,FALSE)*0.001*#REF!*#REF!,IF(VLOOKUP(B71,M!$B$6:$I$733,8,FALSE)="სხ",VLOOKUP(B71,M!$B$6:$I$733,3,FALSE)*0.001*#REF!*#REF!,IF(VLOOKUP(B71,M!$B$6:$I$733,8,FALSE)="ხმ",VLOOKUP(B71,M!$B$6:$I$733,3,FALSE)*0.001*#REF!*#REF!))))))))),2)</f>
        <v>24.82</v>
      </c>
      <c r="K71" s="31">
        <f>ROUND(E71*J71,2)</f>
        <v>6453.2</v>
      </c>
      <c r="L71" s="14">
        <f>G71+I71+K71</f>
        <v>6453.2</v>
      </c>
      <c r="M71" s="23" t="str">
        <f>(IF(ISNUMBER(MATCH(B71,E!$B$6:$B$197,0)),VLOOKUP(B71,E!$B$6:$E$197,4,FALSE),VLOOKUP(B71,M!$B$6:$I$733,7,FALSE)))</f>
        <v>14-113</v>
      </c>
    </row>
    <row r="72" spans="1:13" s="45" customFormat="1" ht="39.950000000000003" customHeight="1" x14ac:dyDescent="0.25">
      <c r="A72" s="70">
        <v>1.1000000000000001</v>
      </c>
      <c r="B72" s="40" t="s">
        <v>905</v>
      </c>
      <c r="C72" s="41" t="s">
        <v>712</v>
      </c>
      <c r="D72" s="41"/>
      <c r="E72" s="52">
        <v>100</v>
      </c>
      <c r="F72" s="42"/>
      <c r="G72" s="42"/>
      <c r="H72" s="42"/>
      <c r="I72" s="42"/>
      <c r="J72" s="46"/>
      <c r="K72" s="46"/>
      <c r="L72" s="43">
        <f>SUM(L73:L75)</f>
        <v>14123.58</v>
      </c>
      <c r="M72" s="48" t="s">
        <v>1081</v>
      </c>
    </row>
    <row r="73" spans="1:13" ht="39.950000000000003" customHeight="1" x14ac:dyDescent="0.25">
      <c r="A73" s="16" t="s">
        <v>668</v>
      </c>
      <c r="B73" s="17" t="s">
        <v>669</v>
      </c>
      <c r="C73" s="2" t="s">
        <v>670</v>
      </c>
      <c r="D73" s="2">
        <v>1247</v>
      </c>
      <c r="E73" s="14">
        <f>D73*E72/100</f>
        <v>1247</v>
      </c>
      <c r="F73" s="13"/>
      <c r="G73" s="13"/>
      <c r="H73" s="27">
        <f>IF((ISNUMBER(--LEFT(M72,2))),VLOOKUP(--LEFT(M72,2),N!$A$5:$C$54,3,FALSE),VLOOKUP(--LEFT(M72,1),N!$A$5:$C$54,3,FALSE))</f>
        <v>6</v>
      </c>
      <c r="I73" s="14">
        <f>ROUND(E73*H73,2)</f>
        <v>7482</v>
      </c>
      <c r="J73" s="31"/>
      <c r="K73" s="31"/>
      <c r="L73" s="14">
        <f t="shared" ref="L73:L74" si="2">G73+I73+K73</f>
        <v>7482</v>
      </c>
      <c r="M73" s="23" t="str">
        <f>(IF(ISNUMBER(MATCH(B73,E!$B$6:$B$197,0)),VLOOKUP(B73,E!$B$6:$E$197,4,FALSE),VLOOKUP(B73,M!$B$6:$I$733,7,FALSE)))</f>
        <v>მ.ც</v>
      </c>
    </row>
    <row r="74" spans="1:13" ht="39.950000000000003" customHeight="1" x14ac:dyDescent="0.25">
      <c r="A74" s="16" t="s">
        <v>671</v>
      </c>
      <c r="B74" s="2" t="s">
        <v>276</v>
      </c>
      <c r="C74" s="2" t="s">
        <v>672</v>
      </c>
      <c r="D74" s="2">
        <v>347</v>
      </c>
      <c r="E74" s="14">
        <f>D74*E72/100</f>
        <v>347</v>
      </c>
      <c r="F74" s="13"/>
      <c r="G74" s="13"/>
      <c r="H74" s="13"/>
      <c r="I74" s="13"/>
      <c r="J74" s="35">
        <f>ROUND(IF(ISNUMBER(MATCH(B74,E!$B$6:$B$197,0)),VLOOKUP(B74,E!$B$6:$E$197,2,FALSE),IF(#REF!="დიახ",IF(VLOOKUP(B74,M!$B$6:$I$733,8,FALSE)="ლ",VLOOKUP(B74,M!$B$6:$I$733,3,FALSE)*0.001*#REF!*#REF!,IF(VLOOKUP(B74,M!$B$6:$I$733,8,FALSE)="მბ",VLOOKUP(B74,M!$B$6:$I$733,3,FALSE)*0.001*#REF!*#REF!,IF(VLOOKUP(B74,M!$B$6:$I$733,8,FALSE)="აბ",VLOOKUP(B74,M!$B$6:$I$733,3,FALSE)*0.001*#REF!*#REF!,IF(VLOOKUP(B74,M!$B$6:$I$733,8,FALSE)="ინ",VLOOKUP(B74,M!$B$6:$I$733,3,FALSE)*0.001*#REF!*#REF!,IF(VLOOKUP(B74,M!$B$6:$I$733,8,FALSE)="ას",VLOOKUP(B74,M!$B$6:$I$733,3,FALSE)*0.001*#REF!*#REF!,IF(VLOOKUP(B74,M!$B$6:$I$733,8,FALSE)="სხ",VLOOKUP(B74,M!$B$6:$I$733,3,FALSE)*0.001*#REF!*#REF!,IF(VLOOKUP(B74,M!$B$6:$I$733,8,FALSE)="ხმ",VLOOKUP(B74,M!$B$6:$I$733,3,FALSE)*0.001*#REF!*#REF!))))))))),2)</f>
        <v>6.73</v>
      </c>
      <c r="K74" s="31">
        <f>ROUND(E74*J74,2)</f>
        <v>2335.31</v>
      </c>
      <c r="L74" s="14">
        <f t="shared" si="2"/>
        <v>2335.31</v>
      </c>
      <c r="M74" s="23" t="str">
        <f>(IF(ISNUMBER(MATCH(B74,E!$B$6:$B$197,0)),VLOOKUP(B74,E!$B$6:$E$197,4,FALSE),VLOOKUP(B74,M!$B$6:$I$733,7,FALSE)))</f>
        <v>14-332</v>
      </c>
    </row>
    <row r="75" spans="1:13" ht="39.950000000000003" customHeight="1" x14ac:dyDescent="0.25">
      <c r="A75" s="16" t="s">
        <v>673</v>
      </c>
      <c r="B75" s="17" t="s">
        <v>202</v>
      </c>
      <c r="C75" s="2" t="s">
        <v>672</v>
      </c>
      <c r="D75" s="2">
        <v>173.5</v>
      </c>
      <c r="E75" s="14">
        <f>D75*E72/100</f>
        <v>173.5</v>
      </c>
      <c r="F75" s="13"/>
      <c r="G75" s="13"/>
      <c r="H75" s="2"/>
      <c r="I75" s="2"/>
      <c r="J75" s="35">
        <f>ROUND(IF(ISNUMBER(MATCH(B75,E!$B$6:$B$197,0)),VLOOKUP(B75,E!$B$6:$E$197,2,FALSE),IF(#REF!="დიახ",IF(VLOOKUP(B75,M!$B$6:$I$733,8,FALSE)="ლ",VLOOKUP(B75,M!$B$6:$I$733,3,FALSE)*0.001*#REF!*#REF!,IF(VLOOKUP(B75,M!$B$6:$I$733,8,FALSE)="მბ",VLOOKUP(B75,M!$B$6:$I$733,3,FALSE)*0.001*#REF!*#REF!,IF(VLOOKUP(B75,M!$B$6:$I$733,8,FALSE)="აბ",VLOOKUP(B75,M!$B$6:$I$733,3,FALSE)*0.001*#REF!*#REF!,IF(VLOOKUP(B75,M!$B$6:$I$733,8,FALSE)="ინ",VLOOKUP(B75,M!$B$6:$I$733,3,FALSE)*0.001*#REF!*#REF!,IF(VLOOKUP(B75,M!$B$6:$I$733,8,FALSE)="ას",VLOOKUP(B75,M!$B$6:$I$733,3,FALSE)*0.001*#REF!*#REF!,IF(VLOOKUP(B75,M!$B$6:$I$733,8,FALSE)="სხ",VLOOKUP(B75,M!$B$6:$I$733,3,FALSE)*0.001*#REF!*#REF!,IF(VLOOKUP(B75,M!$B$6:$I$733,8,FALSE)="ხმ",VLOOKUP(B75,M!$B$6:$I$733,3,FALSE)*0.001*#REF!*#REF!))))))))),2)</f>
        <v>24.82</v>
      </c>
      <c r="K75" s="31">
        <f>ROUND(E75*J75,2)</f>
        <v>4306.2700000000004</v>
      </c>
      <c r="L75" s="14">
        <f>G75+I75+K75</f>
        <v>4306.2700000000004</v>
      </c>
      <c r="M75" s="23" t="str">
        <f>(IF(ISNUMBER(MATCH(B75,E!$B$6:$B$197,0)),VLOOKUP(B75,E!$B$6:$E$197,4,FALSE),VLOOKUP(B75,M!$B$6:$I$733,7,FALSE)))</f>
        <v>14-113</v>
      </c>
    </row>
    <row r="76" spans="1:13" s="45" customFormat="1" ht="39.950000000000003" customHeight="1" x14ac:dyDescent="0.25">
      <c r="A76" s="39">
        <v>1.1000000000000001</v>
      </c>
      <c r="B76" s="83" t="s">
        <v>906</v>
      </c>
      <c r="C76" s="41" t="s">
        <v>842</v>
      </c>
      <c r="D76" s="41"/>
      <c r="E76" s="52">
        <v>100</v>
      </c>
      <c r="F76" s="42"/>
      <c r="G76" s="42"/>
      <c r="H76" s="42"/>
      <c r="I76" s="42"/>
      <c r="J76" s="46"/>
      <c r="K76" s="46"/>
      <c r="L76" s="43">
        <f>SUM(L77)</f>
        <v>15.29</v>
      </c>
      <c r="M76" s="44" t="s">
        <v>997</v>
      </c>
    </row>
    <row r="77" spans="1:13" ht="39.950000000000003" customHeight="1" x14ac:dyDescent="0.25">
      <c r="A77" s="16" t="s">
        <v>668</v>
      </c>
      <c r="B77" s="2" t="s">
        <v>259</v>
      </c>
      <c r="C77" s="2" t="s">
        <v>672</v>
      </c>
      <c r="D77" s="2">
        <v>0.75</v>
      </c>
      <c r="E77" s="14">
        <f>D77*E76/100</f>
        <v>0.75</v>
      </c>
      <c r="F77" s="13"/>
      <c r="G77" s="13"/>
      <c r="H77" s="13"/>
      <c r="I77" s="13"/>
      <c r="J77" s="35">
        <f>ROUND(IF(ISNUMBER(MATCH(B77,E!$B$6:$B$197,0)),VLOOKUP(B77,E!$B$6:$E$197,2,FALSE),IF(#REF!="დიახ",IF(VLOOKUP(B77,M!$B$6:$I$733,8,FALSE)="ლ",VLOOKUP(B77,M!$B$6:$I$733,3,FALSE)*0.001*#REF!*#REF!,IF(VLOOKUP(B77,M!$B$6:$I$733,8,FALSE)="მბ",VLOOKUP(B77,M!$B$6:$I$733,3,FALSE)*0.001*#REF!*#REF!,IF(VLOOKUP(B77,M!$B$6:$I$733,8,FALSE)="აბ",VLOOKUP(B77,M!$B$6:$I$733,3,FALSE)*0.001*#REF!*#REF!,IF(VLOOKUP(B77,M!$B$6:$I$733,8,FALSE)="ინ",VLOOKUP(B77,M!$B$6:$I$733,3,FALSE)*0.001*#REF!*#REF!,IF(VLOOKUP(B77,M!$B$6:$I$733,8,FALSE)="ას",VLOOKUP(B77,M!$B$6:$I$733,3,FALSE)*0.001*#REF!*#REF!,IF(VLOOKUP(B77,M!$B$6:$I$733,8,FALSE)="სხ",VLOOKUP(B77,M!$B$6:$I$733,3,FALSE)*0.001*#REF!*#REF!,IF(VLOOKUP(B77,M!$B$6:$I$733,8,FALSE)="ხმ",VLOOKUP(B77,M!$B$6:$I$733,3,FALSE)*0.001*#REF!*#REF!))))))))),2)</f>
        <v>20.39</v>
      </c>
      <c r="K77" s="31">
        <f t="shared" ref="K77" si="3">ROUND(E77*J77,2)</f>
        <v>15.29</v>
      </c>
      <c r="L77" s="14">
        <f>G77+I77+K77</f>
        <v>15.29</v>
      </c>
      <c r="M77" s="23" t="str">
        <f>(IF(ISNUMBER(MATCH(B77,E!$B$6:$B$197,0)),VLOOKUP(B77,E!$B$6:$E$197,4,FALSE),VLOOKUP(B77,M!$B$6:$I$733,7,FALSE)))</f>
        <v>14-218</v>
      </c>
    </row>
    <row r="78" spans="1:13" s="45" customFormat="1" ht="39.950000000000003" customHeight="1" x14ac:dyDescent="0.25">
      <c r="A78" s="39">
        <v>1.1000000000000001</v>
      </c>
      <c r="B78" s="83" t="s">
        <v>906</v>
      </c>
      <c r="C78" s="41" t="s">
        <v>713</v>
      </c>
      <c r="D78" s="41"/>
      <c r="E78" s="51">
        <v>1000</v>
      </c>
      <c r="F78" s="42"/>
      <c r="G78" s="42"/>
      <c r="H78" s="42"/>
      <c r="I78" s="42"/>
      <c r="J78" s="46"/>
      <c r="K78" s="46"/>
      <c r="L78" s="43">
        <f>SUM(L79:L81)</f>
        <v>588.73</v>
      </c>
      <c r="M78" s="44" t="s">
        <v>907</v>
      </c>
    </row>
    <row r="79" spans="1:13" ht="39.950000000000003" customHeight="1" x14ac:dyDescent="0.25">
      <c r="A79" s="16" t="s">
        <v>668</v>
      </c>
      <c r="B79" s="2" t="s">
        <v>256</v>
      </c>
      <c r="C79" s="2" t="s">
        <v>672</v>
      </c>
      <c r="D79" s="2">
        <v>1.49</v>
      </c>
      <c r="E79" s="14">
        <f>D79*E78/1000</f>
        <v>1.49</v>
      </c>
      <c r="F79" s="13"/>
      <c r="G79" s="13"/>
      <c r="H79" s="13"/>
      <c r="I79" s="13"/>
      <c r="J79" s="35">
        <f>ROUND(IF(ISNUMBER(MATCH(B79,E!$B$6:$B$197,0)),VLOOKUP(B79,E!$B$6:$E$197,2,FALSE),IF(#REF!="დიახ",IF(VLOOKUP(B79,M!$B$6:$I$733,8,FALSE)="ლ",VLOOKUP(B79,M!$B$6:$I$733,3,FALSE)*0.001*#REF!*#REF!,IF(VLOOKUP(B79,M!$B$6:$I$733,8,FALSE)="მბ",VLOOKUP(B79,M!$B$6:$I$733,3,FALSE)*0.001*#REF!*#REF!,IF(VLOOKUP(B79,M!$B$6:$I$733,8,FALSE)="აბ",VLOOKUP(B79,M!$B$6:$I$733,3,FALSE)*0.001*#REF!*#REF!,IF(VLOOKUP(B79,M!$B$6:$I$733,8,FALSE)="ინ",VLOOKUP(B79,M!$B$6:$I$733,3,FALSE)*0.001*#REF!*#REF!,IF(VLOOKUP(B79,M!$B$6:$I$733,8,FALSE)="ას",VLOOKUP(B79,M!$B$6:$I$733,3,FALSE)*0.001*#REF!*#REF!,IF(VLOOKUP(B79,M!$B$6:$I$733,8,FALSE)="სხ",VLOOKUP(B79,M!$B$6:$I$733,3,FALSE)*0.001*#REF!*#REF!,IF(VLOOKUP(B79,M!$B$6:$I$733,8,FALSE)="ხმ",VLOOKUP(B79,M!$B$6:$I$733,3,FALSE)*0.001*#REF!*#REF!))))))))),2)</f>
        <v>3.33</v>
      </c>
      <c r="K79" s="31">
        <f t="shared" ref="K79" si="4">ROUND(E79*J79,2)</f>
        <v>4.96</v>
      </c>
      <c r="L79" s="14">
        <f>G79+I79+K79</f>
        <v>4.96</v>
      </c>
      <c r="M79" s="23" t="str">
        <f>(IF(ISNUMBER(MATCH(B79,E!$B$6:$B$197,0)),VLOOKUP(B79,E!$B$6:$E$197,4,FALSE),VLOOKUP(B79,M!$B$6:$I$733,7,FALSE)))</f>
        <v>14-215</v>
      </c>
    </row>
    <row r="80" spans="1:13" ht="39.950000000000003" customHeight="1" x14ac:dyDescent="0.25">
      <c r="A80" s="16" t="s">
        <v>671</v>
      </c>
      <c r="B80" s="2" t="s">
        <v>230</v>
      </c>
      <c r="C80" s="2" t="s">
        <v>672</v>
      </c>
      <c r="D80" s="2">
        <v>15.9</v>
      </c>
      <c r="E80" s="14">
        <f>D80*E78/1000</f>
        <v>15.9</v>
      </c>
      <c r="F80" s="13"/>
      <c r="G80" s="13"/>
      <c r="H80" s="13"/>
      <c r="I80" s="13"/>
      <c r="J80" s="35">
        <f>ROUND(IF(ISNUMBER(MATCH(B80,E!$B$6:$B$197,0)),VLOOKUP(B80,E!$B$6:$E$197,2,FALSE),IF(#REF!="დიახ",IF(VLOOKUP(B80,M!$B$6:$I$733,8,FALSE)="ლ",VLOOKUP(B80,M!$B$6:$I$733,3,FALSE)*0.001*#REF!*#REF!,IF(VLOOKUP(B80,M!$B$6:$I$733,8,FALSE)="მბ",VLOOKUP(B80,M!$B$6:$I$733,3,FALSE)*0.001*#REF!*#REF!,IF(VLOOKUP(B80,M!$B$6:$I$733,8,FALSE)="აბ",VLOOKUP(B80,M!$B$6:$I$733,3,FALSE)*0.001*#REF!*#REF!,IF(VLOOKUP(B80,M!$B$6:$I$733,8,FALSE)="ინ",VLOOKUP(B80,M!$B$6:$I$733,3,FALSE)*0.001*#REF!*#REF!,IF(VLOOKUP(B80,M!$B$6:$I$733,8,FALSE)="ას",VLOOKUP(B80,M!$B$6:$I$733,3,FALSE)*0.001*#REF!*#REF!,IF(VLOOKUP(B80,M!$B$6:$I$733,8,FALSE)="სხ",VLOOKUP(B80,M!$B$6:$I$733,3,FALSE)*0.001*#REF!*#REF!,IF(VLOOKUP(B80,M!$B$6:$I$733,8,FALSE)="ხმ",VLOOKUP(B80,M!$B$6:$I$733,3,FALSE)*0.001*#REF!*#REF!))))))))),2)</f>
        <v>33.46</v>
      </c>
      <c r="K80" s="31">
        <f>ROUND(E80*J80,2)</f>
        <v>532.01</v>
      </c>
      <c r="L80" s="14">
        <f>G80+I80+K80</f>
        <v>532.01</v>
      </c>
      <c r="M80" s="23" t="str">
        <f>(IF(ISNUMBER(MATCH(B80,E!$B$6:$B$197,0)),VLOOKUP(B80,E!$B$6:$E$197,4,FALSE),VLOOKUP(B80,M!$B$6:$I$733,7,FALSE)))</f>
        <v>14-142</v>
      </c>
    </row>
    <row r="81" spans="1:14" ht="39.950000000000003" customHeight="1" x14ac:dyDescent="0.25">
      <c r="A81" s="16" t="s">
        <v>698</v>
      </c>
      <c r="B81" s="2" t="s">
        <v>162</v>
      </c>
      <c r="C81" s="2" t="s">
        <v>672</v>
      </c>
      <c r="D81" s="2">
        <v>1.49</v>
      </c>
      <c r="E81" s="14">
        <f>D81*E78/1000</f>
        <v>1.49</v>
      </c>
      <c r="F81" s="13"/>
      <c r="G81" s="13"/>
      <c r="H81" s="13"/>
      <c r="I81" s="13"/>
      <c r="J81" s="35">
        <f>ROUND(IF(ISNUMBER(MATCH(B81,E!$B$6:$B$197,0)),VLOOKUP(B81,E!$B$6:$E$197,2,FALSE),IF(#REF!="დიახ",IF(VLOOKUP(B81,M!$B$6:$I$733,8,FALSE)="ლ",VLOOKUP(B81,M!$B$6:$I$733,3,FALSE)*0.001*#REF!*#REF!,IF(VLOOKUP(B81,M!$B$6:$I$733,8,FALSE)="მბ",VLOOKUP(B81,M!$B$6:$I$733,3,FALSE)*0.001*#REF!*#REF!,IF(VLOOKUP(B81,M!$B$6:$I$733,8,FALSE)="აბ",VLOOKUP(B81,M!$B$6:$I$733,3,FALSE)*0.001*#REF!*#REF!,IF(VLOOKUP(B81,M!$B$6:$I$733,8,FALSE)="ინ",VLOOKUP(B81,M!$B$6:$I$733,3,FALSE)*0.001*#REF!*#REF!,IF(VLOOKUP(B81,M!$B$6:$I$733,8,FALSE)="ას",VLOOKUP(B81,M!$B$6:$I$733,3,FALSE)*0.001*#REF!*#REF!,IF(VLOOKUP(B81,M!$B$6:$I$733,8,FALSE)="სხ",VLOOKUP(B81,M!$B$6:$I$733,3,FALSE)*0.001*#REF!*#REF!,IF(VLOOKUP(B81,M!$B$6:$I$733,8,FALSE)="ხმ",VLOOKUP(B81,M!$B$6:$I$733,3,FALSE)*0.001*#REF!*#REF!))))))))),2)</f>
        <v>34.74</v>
      </c>
      <c r="K81" s="31">
        <f>ROUND(E81*J81,2)</f>
        <v>51.76</v>
      </c>
      <c r="L81" s="14">
        <f t="shared" ref="L81" si="5">G81+I81+K81</f>
        <v>51.76</v>
      </c>
      <c r="M81" s="23" t="str">
        <f>(IF(ISNUMBER(MATCH(B81,E!$B$6:$B$197,0)),VLOOKUP(B81,E!$B$6:$E$197,4,FALSE),VLOOKUP(B81,M!$B$6:$I$733,7,FALSE)))</f>
        <v>14-7</v>
      </c>
    </row>
    <row r="82" spans="1:14" s="45" customFormat="1" ht="39.950000000000003" customHeight="1" x14ac:dyDescent="0.25">
      <c r="A82" s="39">
        <v>1.1000000000000001</v>
      </c>
      <c r="B82" s="40" t="s">
        <v>980</v>
      </c>
      <c r="C82" s="41" t="s">
        <v>981</v>
      </c>
      <c r="D82" s="41"/>
      <c r="E82" s="41">
        <v>1</v>
      </c>
      <c r="F82" s="42"/>
      <c r="G82" s="42"/>
      <c r="H82" s="42"/>
      <c r="I82" s="42"/>
      <c r="J82" s="46"/>
      <c r="K82" s="46"/>
      <c r="L82" s="43" t="e">
        <f>SUM(L83:L88)</f>
        <v>#REF!</v>
      </c>
      <c r="M82" s="226" t="s">
        <v>982</v>
      </c>
    </row>
    <row r="83" spans="1:14" ht="39.950000000000003" customHeight="1" x14ac:dyDescent="0.25">
      <c r="A83" s="16" t="s">
        <v>668</v>
      </c>
      <c r="B83" s="17" t="s">
        <v>669</v>
      </c>
      <c r="C83" s="2" t="s">
        <v>670</v>
      </c>
      <c r="D83" s="2">
        <v>51.5</v>
      </c>
      <c r="E83" s="14">
        <f>D83*E82</f>
        <v>51.5</v>
      </c>
      <c r="F83" s="13"/>
      <c r="G83" s="13"/>
      <c r="H83" s="27">
        <f>IF((ISNUMBER(--LEFT(M82,2))),VLOOKUP(--LEFT(M82,2),N!$A$5:$C$54,3,FALSE),VLOOKUP(--LEFT(M82,1),N!$A$5:$C$54,3,FALSE))</f>
        <v>6</v>
      </c>
      <c r="I83" s="14">
        <f>ROUND(E83*H83,2)</f>
        <v>309</v>
      </c>
      <c r="J83" s="31"/>
      <c r="K83" s="31"/>
      <c r="L83" s="14">
        <f t="shared" ref="L83:L88" si="6">G83+I83+K83</f>
        <v>309</v>
      </c>
      <c r="M83" s="226"/>
    </row>
    <row r="84" spans="1:14" ht="39.950000000000003" customHeight="1" x14ac:dyDescent="0.25">
      <c r="A84" s="16" t="s">
        <v>671</v>
      </c>
      <c r="B84" s="2" t="s">
        <v>162</v>
      </c>
      <c r="C84" s="2" t="s">
        <v>672</v>
      </c>
      <c r="D84" s="2">
        <v>6.61</v>
      </c>
      <c r="E84" s="14">
        <f>D84*E82</f>
        <v>6.61</v>
      </c>
      <c r="F84" s="13"/>
      <c r="G84" s="13"/>
      <c r="H84" s="13"/>
      <c r="I84" s="13"/>
      <c r="J84" s="35">
        <f>ROUND(IF(ISNUMBER(MATCH(B84,E!$B$6:$B$197,0)),VLOOKUP(B84,E!$B$6:$E$197,2,FALSE),IF(#REF!="დიახ",IF(VLOOKUP(B84,M!$B$6:$I$733,8,FALSE)="ლ",VLOOKUP(B84,M!$B$6:$I$733,3,FALSE)*0.001*#REF!*#REF!,IF(VLOOKUP(B84,M!$B$6:$I$733,8,FALSE)="მბ",VLOOKUP(B84,M!$B$6:$I$733,3,FALSE)*0.001*#REF!*#REF!,IF(VLOOKUP(B84,M!$B$6:$I$733,8,FALSE)="აბ",VLOOKUP(B84,M!$B$6:$I$733,3,FALSE)*0.001*#REF!*#REF!,IF(VLOOKUP(B84,M!$B$6:$I$733,8,FALSE)="ინ",VLOOKUP(B84,M!$B$6:$I$733,3,FALSE)*0.001*#REF!*#REF!,IF(VLOOKUP(B84,M!$B$6:$I$733,8,FALSE)="ას",VLOOKUP(B84,M!$B$6:$I$733,3,FALSE)*0.001*#REF!*#REF!,IF(VLOOKUP(B84,M!$B$6:$I$733,8,FALSE)="სხ",VLOOKUP(B84,M!$B$6:$I$733,3,FALSE)*0.001*#REF!*#REF!,IF(VLOOKUP(B84,M!$B$6:$I$733,8,FALSE)="ხმ",VLOOKUP(B84,M!$B$6:$I$733,3,FALSE)*0.001*#REF!*#REF!))))))))),2)</f>
        <v>34.74</v>
      </c>
      <c r="K84" s="31">
        <f>ROUND(E84*J84,2)</f>
        <v>229.63</v>
      </c>
      <c r="L84" s="14">
        <f t="shared" si="6"/>
        <v>229.63</v>
      </c>
      <c r="M84" s="23" t="str">
        <f>(IF(ISNUMBER(MATCH(B84,E!$B$6:$B$197,0)),VLOOKUP(B84,E!$B$6:$E$197,4,FALSE),VLOOKUP(B84,M!$B$6:$I$733,7,FALSE)))</f>
        <v>14-7</v>
      </c>
    </row>
    <row r="85" spans="1:14" ht="39.950000000000003" customHeight="1" x14ac:dyDescent="0.25">
      <c r="A85" s="16" t="s">
        <v>673</v>
      </c>
      <c r="B85" s="2" t="s">
        <v>983</v>
      </c>
      <c r="C85" s="2" t="s">
        <v>672</v>
      </c>
      <c r="D85" s="2">
        <v>6.61</v>
      </c>
      <c r="E85" s="14">
        <f>D85*E82</f>
        <v>6.61</v>
      </c>
      <c r="F85" s="13"/>
      <c r="G85" s="13"/>
      <c r="H85" s="13"/>
      <c r="I85" s="13"/>
      <c r="J85" s="35">
        <f>ROUND(IF(ISNUMBER(MATCH(B85,E!$B$6:$B$197,0)),VLOOKUP(B85,E!$B$6:$E$197,2,FALSE),IF(#REF!="დიახ",IF(VLOOKUP(B85,M!$B$6:$I$733,8,FALSE)="ლ",VLOOKUP(B85,M!$B$6:$I$733,3,FALSE)*0.001*#REF!*#REF!,IF(VLOOKUP(B85,M!$B$6:$I$733,8,FALSE)="მბ",VLOOKUP(B85,M!$B$6:$I$733,3,FALSE)*0.001*#REF!*#REF!,IF(VLOOKUP(B85,M!$B$6:$I$733,8,FALSE)="აბ",VLOOKUP(B85,M!$B$6:$I$733,3,FALSE)*0.001*#REF!*#REF!,IF(VLOOKUP(B85,M!$B$6:$I$733,8,FALSE)="ინ",VLOOKUP(B85,M!$B$6:$I$733,3,FALSE)*0.001*#REF!*#REF!,IF(VLOOKUP(B85,M!$B$6:$I$733,8,FALSE)="ას",VLOOKUP(B85,M!$B$6:$I$733,3,FALSE)*0.001*#REF!*#REF!,IF(VLOOKUP(B85,M!$B$6:$I$733,8,FALSE)="სხ",VLOOKUP(B85,M!$B$6:$I$733,3,FALSE)*0.001*#REF!*#REF!,IF(VLOOKUP(B85,M!$B$6:$I$733,8,FALSE)="ხმ",VLOOKUP(B85,M!$B$6:$I$733,3,FALSE)*0.001*#REF!*#REF!))))))))),2)</f>
        <v>0.9</v>
      </c>
      <c r="K85" s="31">
        <f t="shared" ref="K85:K87" si="7">ROUND(E85*J85,2)</f>
        <v>5.95</v>
      </c>
      <c r="L85" s="14">
        <f t="shared" si="6"/>
        <v>5.95</v>
      </c>
      <c r="M85" s="23" t="str">
        <f>(IF(ISNUMBER(MATCH(B85,E!$B$6:$B$197,0)),VLOOKUP(B85,E!$B$6:$E$197,4,FALSE),VLOOKUP(B85,M!$B$6:$I$733,7,FALSE)))</f>
        <v>14-159</v>
      </c>
    </row>
    <row r="86" spans="1:14" ht="39.950000000000003" customHeight="1" x14ac:dyDescent="0.25">
      <c r="A86" s="16" t="s">
        <v>675</v>
      </c>
      <c r="B86" s="2" t="s">
        <v>237</v>
      </c>
      <c r="C86" s="2" t="s">
        <v>672</v>
      </c>
      <c r="D86" s="2">
        <v>3.58</v>
      </c>
      <c r="E86" s="14">
        <f>D86*E82</f>
        <v>3.58</v>
      </c>
      <c r="F86" s="13"/>
      <c r="G86" s="13"/>
      <c r="H86" s="13"/>
      <c r="I86" s="13"/>
      <c r="J86" s="35">
        <f>ROUND(IF(ISNUMBER(MATCH(B86,E!$B$6:$B$197,0)),VLOOKUP(B86,E!$B$6:$E$197,2,FALSE),IF(#REF!="დიახ",IF(VLOOKUP(B86,M!$B$6:$I$733,8,FALSE)="ლ",VLOOKUP(B86,M!$B$6:$I$733,3,FALSE)*0.001*#REF!*#REF!,IF(VLOOKUP(B86,M!$B$6:$I$733,8,FALSE)="მბ",VLOOKUP(B86,M!$B$6:$I$733,3,FALSE)*0.001*#REF!*#REF!,IF(VLOOKUP(B86,M!$B$6:$I$733,8,FALSE)="აბ",VLOOKUP(B86,M!$B$6:$I$733,3,FALSE)*0.001*#REF!*#REF!,IF(VLOOKUP(B86,M!$B$6:$I$733,8,FALSE)="ინ",VLOOKUP(B86,M!$B$6:$I$733,3,FALSE)*0.001*#REF!*#REF!,IF(VLOOKUP(B86,M!$B$6:$I$733,8,FALSE)="ას",VLOOKUP(B86,M!$B$6:$I$733,3,FALSE)*0.001*#REF!*#REF!,IF(VLOOKUP(B86,M!$B$6:$I$733,8,FALSE)="სხ",VLOOKUP(B86,M!$B$6:$I$733,3,FALSE)*0.001*#REF!*#REF!,IF(VLOOKUP(B86,M!$B$6:$I$733,8,FALSE)="ხმ",VLOOKUP(B86,M!$B$6:$I$733,3,FALSE)*0.001*#REF!*#REF!))))))))),2)</f>
        <v>35.450000000000003</v>
      </c>
      <c r="K86" s="31">
        <f t="shared" si="7"/>
        <v>126.91</v>
      </c>
      <c r="L86" s="14">
        <f t="shared" si="6"/>
        <v>126.91</v>
      </c>
      <c r="M86" s="23" t="str">
        <f>(IF(ISNUMBER(MATCH(B86,E!$B$6:$B$197,0)),VLOOKUP(B86,E!$B$6:$E$197,4,FALSE),VLOOKUP(B86,M!$B$6:$I$733,7,FALSE)))</f>
        <v>14-163</v>
      </c>
    </row>
    <row r="87" spans="1:14" ht="39.950000000000003" customHeight="1" x14ac:dyDescent="0.25">
      <c r="A87" s="16" t="s">
        <v>695</v>
      </c>
      <c r="B87" s="17" t="s">
        <v>654</v>
      </c>
      <c r="C87" s="2" t="s">
        <v>672</v>
      </c>
      <c r="D87" s="2">
        <v>0.03</v>
      </c>
      <c r="E87" s="14">
        <f>D87*E82</f>
        <v>0.03</v>
      </c>
      <c r="F87" s="13"/>
      <c r="G87" s="13"/>
      <c r="H87" s="13"/>
      <c r="I87" s="13"/>
      <c r="J87" s="35">
        <f>ROUND(IF(ISNUMBER(MATCH(B87,E!$B$6:$B$197,0)),VLOOKUP(B87,E!$B$6:$E$197,2,FALSE),IF(#REF!="დიახ",IF(VLOOKUP(B87,M!$B$6:$I$733,8,FALSE)="ლ",VLOOKUP(B87,M!$B$6:$I$733,3,FALSE)*0.001*#REF!*#REF!,IF(VLOOKUP(B87,M!$B$6:$I$733,8,FALSE)="მბ",VLOOKUP(B87,M!$B$6:$I$733,3,FALSE)*0.001*#REF!*#REF!,IF(VLOOKUP(B87,M!$B$6:$I$733,8,FALSE)="აბ",VLOOKUP(B87,M!$B$6:$I$733,3,FALSE)*0.001*#REF!*#REF!,IF(VLOOKUP(B87,M!$B$6:$I$733,8,FALSE)="ინ",VLOOKUP(B87,M!$B$6:$I$733,3,FALSE)*0.001*#REF!*#REF!,IF(VLOOKUP(B87,M!$B$6:$I$733,8,FALSE)="ას",VLOOKUP(B87,M!$B$6:$I$733,3,FALSE)*0.001*#REF!*#REF!,IF(VLOOKUP(B87,M!$B$6:$I$733,8,FALSE)="სხ",VLOOKUP(B87,M!$B$6:$I$733,3,FALSE)*0.001*#REF!*#REF!,IF(VLOOKUP(B87,M!$B$6:$I$733,8,FALSE)="ხმ",VLOOKUP(B87,M!$B$6:$I$733,3,FALSE)*0.001*#REF!*#REF!))))))))),2)</f>
        <v>3.2</v>
      </c>
      <c r="K87" s="31">
        <f t="shared" si="7"/>
        <v>0.1</v>
      </c>
      <c r="L87" s="14">
        <f t="shared" si="6"/>
        <v>0.1</v>
      </c>
      <c r="M87" s="23" t="str">
        <f>(IF(ISNUMBER(MATCH(B87,E!$B$6:$B$197,0)),VLOOKUP(B87,E!$B$6:$E$197,4,FALSE),VLOOKUP(B87,M!$B$6:$I$733,7,FALSE)))</f>
        <v>ს.რ.ფ</v>
      </c>
    </row>
    <row r="88" spans="1:14" ht="39.950000000000003" customHeight="1" x14ac:dyDescent="0.25">
      <c r="A88" s="16" t="s">
        <v>696</v>
      </c>
      <c r="B88" s="2" t="s">
        <v>677</v>
      </c>
      <c r="C88" s="2" t="s">
        <v>393</v>
      </c>
      <c r="D88" s="2">
        <v>2.42</v>
      </c>
      <c r="E88" s="14">
        <f>D88*E82</f>
        <v>2.42</v>
      </c>
      <c r="F88" s="31" t="e">
        <f>ROUND(VLOOKUP(B88,M!$B$6:$H$733,IF(#REF!="დაბალი",4,IF(#REF!="საშუალო",6,IF(#REF!="მაღალი",5))),FALSE),2)</f>
        <v>#REF!</v>
      </c>
      <c r="G88" s="14" t="e">
        <f>ROUND(E88*F88,2)</f>
        <v>#REF!</v>
      </c>
      <c r="H88" s="13"/>
      <c r="I88" s="13"/>
      <c r="J88" s="31"/>
      <c r="K88" s="31"/>
      <c r="L88" s="14" t="e">
        <f t="shared" si="6"/>
        <v>#REF!</v>
      </c>
      <c r="M88" s="23" t="str">
        <f>(IF(ISNUMBER(MATCH(B88,E!$B$6:$B$197,0)),VLOOKUP(B88,E!$B$6:$E$197,4,FALSE),VLOOKUP(B88,M!$B$6:$I$733,7,FALSE)))</f>
        <v>ს.რ.ფ</v>
      </c>
    </row>
    <row r="89" spans="1:14" s="45" customFormat="1" ht="39.950000000000003" customHeight="1" x14ac:dyDescent="0.25">
      <c r="A89" s="39">
        <v>1.1000000000000001</v>
      </c>
      <c r="B89" s="40" t="s">
        <v>1031</v>
      </c>
      <c r="C89" s="41" t="s">
        <v>712</v>
      </c>
      <c r="D89" s="41"/>
      <c r="E89" s="52">
        <v>100</v>
      </c>
      <c r="F89" s="42"/>
      <c r="G89" s="42"/>
      <c r="H89" s="42"/>
      <c r="I89" s="42"/>
      <c r="J89" s="42"/>
      <c r="K89" s="42"/>
      <c r="L89" s="43">
        <f>SUM(L90:L92)</f>
        <v>268.51</v>
      </c>
      <c r="M89" s="44" t="s">
        <v>831</v>
      </c>
    </row>
    <row r="90" spans="1:14" ht="39.950000000000003" customHeight="1" x14ac:dyDescent="0.25">
      <c r="A90" s="16" t="s">
        <v>668</v>
      </c>
      <c r="B90" s="17" t="s">
        <v>669</v>
      </c>
      <c r="C90" s="2" t="s">
        <v>670</v>
      </c>
      <c r="D90" s="2">
        <v>13.4</v>
      </c>
      <c r="E90" s="14">
        <f>D90*E89/100</f>
        <v>13.4</v>
      </c>
      <c r="F90" s="13"/>
      <c r="G90" s="13"/>
      <c r="H90" s="27">
        <f>IF((ISNUMBER(--LEFT(M89,2))),VLOOKUP(--LEFT(M89,2),N!$A$5:$C$54,3,FALSE),VLOOKUP(--LEFT(M89,1),N!$A$5:$C$54,3,FALSE))</f>
        <v>6</v>
      </c>
      <c r="I90" s="14">
        <f>ROUND(E90*H90,2)</f>
        <v>80.400000000000006</v>
      </c>
      <c r="J90" s="13"/>
      <c r="K90" s="13"/>
      <c r="L90" s="14">
        <f>G90+I90+K90</f>
        <v>80.400000000000006</v>
      </c>
      <c r="M90" s="23" t="str">
        <f>(IF(ISNUMBER(MATCH(B90,E!$B$6:$B$197,0)),VLOOKUP(B90,E!$B$6:$E$197,4,FALSE),VLOOKUP(B90,M!$B$6:$I$733,7,FALSE)))</f>
        <v>მ.ც</v>
      </c>
    </row>
    <row r="91" spans="1:14" ht="39.950000000000003" customHeight="1" x14ac:dyDescent="0.25">
      <c r="A91" s="16" t="s">
        <v>671</v>
      </c>
      <c r="B91" s="2" t="s">
        <v>832</v>
      </c>
      <c r="C91" s="2" t="s">
        <v>672</v>
      </c>
      <c r="D91" s="2">
        <v>13</v>
      </c>
      <c r="E91" s="14">
        <f>D91*E89/100</f>
        <v>13</v>
      </c>
      <c r="F91" s="13"/>
      <c r="G91" s="13"/>
      <c r="H91" s="13"/>
      <c r="I91" s="13"/>
      <c r="J91" s="35">
        <f>ROUND(IF(ISNUMBER(MATCH(B91,E!$B$6:$B$197,0)),VLOOKUP(B91,E!$B$6:$E$197,2,FALSE),IF(#REF!="დიახ",IF(VLOOKUP(B91,M!$B$6:$I$733,8,FALSE)="ლ",VLOOKUP(B91,M!$B$6:$I$733,3,FALSE)*0.001*#REF!*#REF!,IF(VLOOKUP(B91,M!$B$6:$I$733,8,FALSE)="მბ",VLOOKUP(B91,M!$B$6:$I$733,3,FALSE)*0.001*#REF!*#REF!,IF(VLOOKUP(B91,M!$B$6:$I$733,8,FALSE)="აბ",VLOOKUP(B91,M!$B$6:$I$733,3,FALSE)*0.001*#REF!*#REF!,IF(VLOOKUP(B91,M!$B$6:$I$733,8,FALSE)="ინ",VLOOKUP(B91,M!$B$6:$I$733,3,FALSE)*0.001*#REF!*#REF!,IF(VLOOKUP(B91,M!$B$6:$I$733,8,FALSE)="ას",VLOOKUP(B91,M!$B$6:$I$733,3,FALSE)*0.001*#REF!*#REF!,IF(VLOOKUP(B91,M!$B$6:$I$733,8,FALSE)="სხ",VLOOKUP(B91,M!$B$6:$I$733,3,FALSE)*0.001*#REF!*#REF!,IF(VLOOKUP(B91,M!$B$6:$I$733,8,FALSE)="ხმ",VLOOKUP(B91,M!$B$6:$I$733,3,FALSE)*0.001*#REF!*#REF!))))))))),2)</f>
        <v>2.06</v>
      </c>
      <c r="K91" s="14">
        <f>ROUND(E91*J91,2)</f>
        <v>26.78</v>
      </c>
      <c r="L91" s="14">
        <f>G91+I91+K91</f>
        <v>26.78</v>
      </c>
      <c r="M91" s="23" t="str">
        <f>(IF(ISNUMBER(MATCH(B91,E!$B$6:$B$193,0)),VLOOKUP(B91,E!$B$6:$E$193,4,FALSE),VLOOKUP(B91,M!$B$6:$I$665,7,FALSE)))</f>
        <v>14-338</v>
      </c>
    </row>
    <row r="92" spans="1:14" ht="39.950000000000003" customHeight="1" x14ac:dyDescent="0.25">
      <c r="A92" s="16" t="s">
        <v>673</v>
      </c>
      <c r="B92" s="2" t="s">
        <v>202</v>
      </c>
      <c r="C92" s="2" t="s">
        <v>672</v>
      </c>
      <c r="D92" s="2">
        <v>6.5</v>
      </c>
      <c r="E92" s="14">
        <f>D92*E89/100</f>
        <v>6.5</v>
      </c>
      <c r="F92" s="13"/>
      <c r="G92" s="13"/>
      <c r="H92" s="2"/>
      <c r="I92" s="2"/>
      <c r="J92" s="35">
        <f>ROUND(IF(ISNUMBER(MATCH(B92,E!$B$6:$B$197,0)),VLOOKUP(B92,E!$B$6:$E$197,2,FALSE),IF(#REF!="დიახ",IF(VLOOKUP(B92,M!$B$6:$I$733,8,FALSE)="ლ",VLOOKUP(B92,M!$B$6:$I$733,3,FALSE)*0.001*#REF!*#REF!,IF(VLOOKUP(B92,M!$B$6:$I$733,8,FALSE)="მბ",VLOOKUP(B92,M!$B$6:$I$733,3,FALSE)*0.001*#REF!*#REF!,IF(VLOOKUP(B92,M!$B$6:$I$733,8,FALSE)="აბ",VLOOKUP(B92,M!$B$6:$I$733,3,FALSE)*0.001*#REF!*#REF!,IF(VLOOKUP(B92,M!$B$6:$I$733,8,FALSE)="ინ",VLOOKUP(B92,M!$B$6:$I$733,3,FALSE)*0.001*#REF!*#REF!,IF(VLOOKUP(B92,M!$B$6:$I$733,8,FALSE)="ას",VLOOKUP(B92,M!$B$6:$I$733,3,FALSE)*0.001*#REF!*#REF!,IF(VLOOKUP(B92,M!$B$6:$I$733,8,FALSE)="სხ",VLOOKUP(B92,M!$B$6:$I$733,3,FALSE)*0.001*#REF!*#REF!,IF(VLOOKUP(B92,M!$B$6:$I$733,8,FALSE)="ხმ",VLOOKUP(B92,M!$B$6:$I$733,3,FALSE)*0.001*#REF!*#REF!))))))))),2)</f>
        <v>24.82</v>
      </c>
      <c r="K92" s="14">
        <f>ROUND(E92*J92,2)</f>
        <v>161.33000000000001</v>
      </c>
      <c r="L92" s="14">
        <f>G92+I92+K92</f>
        <v>161.33000000000001</v>
      </c>
      <c r="M92" s="23" t="str">
        <f>(IF(ISNUMBER(MATCH(B92,E!$B$6:$B$193,0)),VLOOKUP(B92,E!$B$6:$E$193,4,FALSE),VLOOKUP(B92,M!$B$6:$I$665,7,FALSE)))</f>
        <v>14-113</v>
      </c>
    </row>
    <row r="93" spans="1:14" s="45" customFormat="1" ht="39.950000000000003" customHeight="1" x14ac:dyDescent="0.25">
      <c r="A93" s="39">
        <v>1.1000000000000001</v>
      </c>
      <c r="B93" s="40" t="s">
        <v>1180</v>
      </c>
      <c r="C93" s="41" t="s">
        <v>842</v>
      </c>
      <c r="D93" s="41"/>
      <c r="E93" s="52">
        <v>100</v>
      </c>
      <c r="F93" s="42"/>
      <c r="G93" s="42"/>
      <c r="H93" s="42"/>
      <c r="I93" s="42"/>
      <c r="J93" s="42"/>
      <c r="K93" s="42"/>
      <c r="L93" s="43">
        <f>SUM(L94:L100)</f>
        <v>408.21</v>
      </c>
      <c r="M93" s="57" t="s">
        <v>1181</v>
      </c>
      <c r="N93" s="137"/>
    </row>
    <row r="94" spans="1:14" ht="39.950000000000003" customHeight="1" x14ac:dyDescent="0.25">
      <c r="A94" s="16" t="s">
        <v>668</v>
      </c>
      <c r="B94" s="2" t="s">
        <v>208</v>
      </c>
      <c r="C94" s="2" t="s">
        <v>672</v>
      </c>
      <c r="D94" s="2">
        <v>1.7</v>
      </c>
      <c r="E94" s="14">
        <f>D94*E93/100</f>
        <v>1.7</v>
      </c>
      <c r="F94" s="13"/>
      <c r="G94" s="13"/>
      <c r="H94" s="13"/>
      <c r="I94" s="13"/>
      <c r="J94" s="35">
        <f>ROUND(IF(ISNUMBER(MATCH(B94,E!$B$6:$B$197,0)),VLOOKUP(B94,E!$B$6:$E$197,2,FALSE),IF(#REF!="დიახ",IF(VLOOKUP(B94,M!$B$6:$I$733,8,FALSE)="ლ",VLOOKUP(B94,M!$B$6:$I$733,3,FALSE)*0.001*#REF!*#REF!,IF(VLOOKUP(B94,M!$B$6:$I$733,8,FALSE)="მბ",VLOOKUP(B94,M!$B$6:$I$733,3,FALSE)*0.001*#REF!*#REF!,IF(VLOOKUP(B94,M!$B$6:$I$733,8,FALSE)="აბ",VLOOKUP(B94,M!$B$6:$I$733,3,FALSE)*0.001*#REF!*#REF!,IF(VLOOKUP(B94,M!$B$6:$I$733,8,FALSE)="ინ",VLOOKUP(B94,M!$B$6:$I$733,3,FALSE)*0.001*#REF!*#REF!,IF(VLOOKUP(B94,M!$B$6:$I$733,8,FALSE)="ას",VLOOKUP(B94,M!$B$6:$I$733,3,FALSE)*0.001*#REF!*#REF!,IF(VLOOKUP(B94,M!$B$6:$I$733,8,FALSE)="სხ",VLOOKUP(B94,M!$B$6:$I$733,3,FALSE)*0.001*#REF!*#REF!,IF(VLOOKUP(B94,M!$B$6:$I$733,8,FALSE)="ხმ",VLOOKUP(B94,M!$B$6:$I$733,3,FALSE)*0.001*#REF!*#REF!))))))))),2)</f>
        <v>47.43</v>
      </c>
      <c r="K94" s="14">
        <f>ROUND(E94*J94,2)</f>
        <v>80.63</v>
      </c>
      <c r="L94" s="14">
        <f t="shared" ref="L94:L100" si="8">G94+I94+K94</f>
        <v>80.63</v>
      </c>
      <c r="M94" s="23" t="str">
        <f>(IF(ISNUMBER(MATCH(B94,E!$B$6:$B$193,0)),VLOOKUP(B94,E!$B$6:$E$193,4,FALSE),VLOOKUP(B94,M!$B$6:$I$665,7,FALSE)))</f>
        <v>14-119</v>
      </c>
    </row>
    <row r="95" spans="1:14" ht="39.950000000000003" customHeight="1" x14ac:dyDescent="0.25">
      <c r="A95" s="16" t="s">
        <v>671</v>
      </c>
      <c r="B95" s="2" t="s">
        <v>229</v>
      </c>
      <c r="C95" s="2" t="s">
        <v>672</v>
      </c>
      <c r="D95" s="91">
        <v>0.06</v>
      </c>
      <c r="E95" s="14">
        <f>D95*E93/100</f>
        <v>0.06</v>
      </c>
      <c r="F95" s="89"/>
      <c r="G95" s="89"/>
      <c r="H95" s="89"/>
      <c r="I95" s="90"/>
      <c r="J95" s="35">
        <f>ROUND(IF(ISNUMBER(MATCH(B95,E!$B$6:$B$197,0)),VLOOKUP(B95,E!$B$6:$E$197,2,FALSE),IF(#REF!="დიახ",IF(VLOOKUP(B95,M!$B$6:$I$733,8,FALSE)="ლ",VLOOKUP(B95,M!$B$6:$I$733,3,FALSE)*0.001*#REF!*#REF!,IF(VLOOKUP(B95,M!$B$6:$I$733,8,FALSE)="მბ",VLOOKUP(B95,M!$B$6:$I$733,3,FALSE)*0.001*#REF!*#REF!,IF(VLOOKUP(B95,M!$B$6:$I$733,8,FALSE)="აბ",VLOOKUP(B95,M!$B$6:$I$733,3,FALSE)*0.001*#REF!*#REF!,IF(VLOOKUP(B95,M!$B$6:$I$733,8,FALSE)="ინ",VLOOKUP(B95,M!$B$6:$I$733,3,FALSE)*0.001*#REF!*#REF!,IF(VLOOKUP(B95,M!$B$6:$I$733,8,FALSE)="ას",VLOOKUP(B95,M!$B$6:$I$733,3,FALSE)*0.001*#REF!*#REF!,IF(VLOOKUP(B95,M!$B$6:$I$733,8,FALSE)="სხ",VLOOKUP(B95,M!$B$6:$I$733,3,FALSE)*0.001*#REF!*#REF!,IF(VLOOKUP(B95,M!$B$6:$I$733,8,FALSE)="ხმ",VLOOKUP(B95,M!$B$6:$I$733,3,FALSE)*0.001*#REF!*#REF!))))))))),2)</f>
        <v>26.08</v>
      </c>
      <c r="K95" s="14">
        <f>ROUND(E95*J95,2)</f>
        <v>1.56</v>
      </c>
      <c r="L95" s="14">
        <f t="shared" si="8"/>
        <v>1.56</v>
      </c>
      <c r="M95" s="23" t="str">
        <f>(IF(ISNUMBER(MATCH(B95,E!$B$6:$B$193,0)),VLOOKUP(B95,E!$B$6:$E$193,4,FALSE),VLOOKUP(B95,M!$B$6:$I$665,7,FALSE)))</f>
        <v>14-141</v>
      </c>
    </row>
    <row r="96" spans="1:14" ht="39.950000000000003" customHeight="1" x14ac:dyDescent="0.25">
      <c r="A96" s="16" t="s">
        <v>673</v>
      </c>
      <c r="B96" s="91" t="s">
        <v>1182</v>
      </c>
      <c r="C96" s="2" t="s">
        <v>672</v>
      </c>
      <c r="D96" s="91">
        <v>0.31</v>
      </c>
      <c r="E96" s="14">
        <f>D96*E93/100</f>
        <v>0.31</v>
      </c>
      <c r="F96" s="89"/>
      <c r="G96" s="89"/>
      <c r="H96" s="89"/>
      <c r="I96" s="90"/>
      <c r="J96" s="89">
        <v>2.58</v>
      </c>
      <c r="K96" s="14">
        <f>ROUND(E96*J96,2)</f>
        <v>0.8</v>
      </c>
      <c r="L96" s="14">
        <f t="shared" si="8"/>
        <v>0.8</v>
      </c>
      <c r="M96" s="23" t="s">
        <v>845</v>
      </c>
    </row>
    <row r="97" spans="1:13" ht="39.950000000000003" customHeight="1" x14ac:dyDescent="0.25">
      <c r="A97" s="16" t="s">
        <v>675</v>
      </c>
      <c r="B97" s="17" t="s">
        <v>654</v>
      </c>
      <c r="C97" s="2" t="s">
        <v>393</v>
      </c>
      <c r="D97" s="2">
        <v>7.0000000000000007E-2</v>
      </c>
      <c r="E97" s="14">
        <f>D97*E93/100</f>
        <v>7.0000000000000007E-2</v>
      </c>
      <c r="F97" s="13"/>
      <c r="G97" s="13"/>
      <c r="H97" s="13"/>
      <c r="I97" s="13"/>
      <c r="J97" s="35">
        <f>ROUND(IF(ISNUMBER(MATCH(B97,E!$B$6:$B$197,0)),VLOOKUP(B97,E!$B$6:$E$197,2,FALSE),IF(#REF!="დიახ",IF(VLOOKUP(B97,M!$B$6:$I$733,8,FALSE)="ლ",VLOOKUP(B97,M!$B$6:$I$733,3,FALSE)*0.001*#REF!*#REF!,IF(VLOOKUP(B97,M!$B$6:$I$733,8,FALSE)="მბ",VLOOKUP(B97,M!$B$6:$I$733,3,FALSE)*0.001*#REF!*#REF!,IF(VLOOKUP(B97,M!$B$6:$I$733,8,FALSE)="აბ",VLOOKUP(B97,M!$B$6:$I$733,3,FALSE)*0.001*#REF!*#REF!,IF(VLOOKUP(B97,M!$B$6:$I$733,8,FALSE)="ინ",VLOOKUP(B97,M!$B$6:$I$733,3,FALSE)*0.001*#REF!*#REF!,IF(VLOOKUP(B97,M!$B$6:$I$733,8,FALSE)="ას",VLOOKUP(B97,M!$B$6:$I$733,3,FALSE)*0.001*#REF!*#REF!,IF(VLOOKUP(B97,M!$B$6:$I$733,8,FALSE)="სხ",VLOOKUP(B97,M!$B$6:$I$733,3,FALSE)*0.001*#REF!*#REF!,IF(VLOOKUP(B97,M!$B$6:$I$733,8,FALSE)="ხმ",VLOOKUP(B97,M!$B$6:$I$733,3,FALSE)*0.001*#REF!*#REF!))))))))),2)</f>
        <v>3.2</v>
      </c>
      <c r="K97" s="14">
        <f t="shared" ref="K97" si="9">ROUND(E97*J97,2)</f>
        <v>0.22</v>
      </c>
      <c r="L97" s="14">
        <f t="shared" si="8"/>
        <v>0.22</v>
      </c>
      <c r="M97" s="23" t="str">
        <f>(IF(ISNUMBER(MATCH(B97,E!$B$6:$B$193,0)),VLOOKUP(B97,E!$B$6:$E$193,4,FALSE),VLOOKUP(B97,M!$B$6:$I$665,7,FALSE)))</f>
        <v>ს.რ.ფ</v>
      </c>
    </row>
    <row r="98" spans="1:13" ht="39.950000000000003" customHeight="1" x14ac:dyDescent="0.25">
      <c r="A98" s="16" t="s">
        <v>695</v>
      </c>
      <c r="B98" s="17" t="s">
        <v>1183</v>
      </c>
      <c r="C98" s="2" t="s">
        <v>674</v>
      </c>
      <c r="D98" s="2">
        <v>15.8</v>
      </c>
      <c r="E98" s="14">
        <f>D98*E93/100</f>
        <v>15.8</v>
      </c>
      <c r="F98" s="13">
        <v>15</v>
      </c>
      <c r="G98" s="14">
        <f>ROUND(E98*F98,2)</f>
        <v>237</v>
      </c>
      <c r="H98" s="2"/>
      <c r="I98" s="2"/>
      <c r="J98" s="2"/>
      <c r="K98" s="2"/>
      <c r="L98" s="14">
        <f t="shared" si="8"/>
        <v>237</v>
      </c>
      <c r="M98" s="23" t="s">
        <v>845</v>
      </c>
    </row>
    <row r="99" spans="1:13" ht="39.950000000000003" customHeight="1" x14ac:dyDescent="0.25">
      <c r="A99" s="16" t="s">
        <v>696</v>
      </c>
      <c r="B99" s="17" t="s">
        <v>1184</v>
      </c>
      <c r="C99" s="2" t="s">
        <v>28</v>
      </c>
      <c r="D99" s="2">
        <v>2.7</v>
      </c>
      <c r="E99" s="14">
        <f>D99*E93/100</f>
        <v>2.7</v>
      </c>
      <c r="F99" s="13">
        <v>20</v>
      </c>
      <c r="G99" s="14">
        <f>ROUND(E99*F99,2)</f>
        <v>54</v>
      </c>
      <c r="H99" s="2"/>
      <c r="I99" s="2"/>
      <c r="J99" s="2"/>
      <c r="K99" s="2"/>
      <c r="L99" s="14">
        <f t="shared" si="8"/>
        <v>54</v>
      </c>
      <c r="M99" s="23" t="s">
        <v>845</v>
      </c>
    </row>
    <row r="100" spans="1:13" ht="39.950000000000003" customHeight="1" x14ac:dyDescent="0.25">
      <c r="A100" s="16" t="s">
        <v>733</v>
      </c>
      <c r="B100" s="17" t="s">
        <v>1185</v>
      </c>
      <c r="C100" s="2" t="s">
        <v>28</v>
      </c>
      <c r="D100" s="2">
        <v>3.4</v>
      </c>
      <c r="E100" s="14">
        <f>D100*E93/100</f>
        <v>3.4</v>
      </c>
      <c r="F100" s="13">
        <v>10</v>
      </c>
      <c r="G100" s="14">
        <f>ROUND(E100*F100,2)</f>
        <v>34</v>
      </c>
      <c r="H100" s="2"/>
      <c r="I100" s="2"/>
      <c r="J100" s="2"/>
      <c r="K100" s="2"/>
      <c r="L100" s="14">
        <f t="shared" si="8"/>
        <v>34</v>
      </c>
      <c r="M100" s="23" t="s">
        <v>845</v>
      </c>
    </row>
    <row r="101" spans="1:13" s="45" customFormat="1" ht="39.950000000000003" customHeight="1" x14ac:dyDescent="0.25">
      <c r="A101" s="39">
        <v>1.1000000000000001</v>
      </c>
      <c r="B101" s="40" t="s">
        <v>1096</v>
      </c>
      <c r="C101" s="41" t="s">
        <v>712</v>
      </c>
      <c r="D101" s="41"/>
      <c r="E101" s="52">
        <v>100</v>
      </c>
      <c r="F101" s="42"/>
      <c r="G101" s="42"/>
      <c r="H101" s="42"/>
      <c r="I101" s="42"/>
      <c r="J101" s="42"/>
      <c r="K101" s="42"/>
      <c r="L101" s="43" t="e">
        <f>SUM(L102:L104)</f>
        <v>#REF!</v>
      </c>
      <c r="M101" s="57" t="s">
        <v>1097</v>
      </c>
    </row>
    <row r="102" spans="1:13" ht="39.950000000000003" customHeight="1" x14ac:dyDescent="0.25">
      <c r="A102" s="16" t="s">
        <v>668</v>
      </c>
      <c r="B102" s="17" t="s">
        <v>669</v>
      </c>
      <c r="C102" s="2" t="s">
        <v>670</v>
      </c>
      <c r="D102" s="2">
        <v>278</v>
      </c>
      <c r="E102" s="14">
        <f>D102*E101/100</f>
        <v>278</v>
      </c>
      <c r="F102" s="13"/>
      <c r="G102" s="13"/>
      <c r="H102" s="27">
        <f>IF((ISNUMBER(--LEFT(M101,2))),VLOOKUP(--LEFT(M101,2),N!$A$5:$C$54,3,FALSE),VLOOKUP(--LEFT(M101,1),N!$A$5:$C$54,3,FALSE))</f>
        <v>6</v>
      </c>
      <c r="I102" s="13">
        <f>ROUND(E102*H102,1)</f>
        <v>1668</v>
      </c>
      <c r="J102" s="2"/>
      <c r="K102" s="2"/>
      <c r="L102" s="13">
        <f>G102+I102+K102</f>
        <v>1668</v>
      </c>
      <c r="M102" s="23" t="str">
        <f>(IF(ISNUMBER(MATCH(B102,E!$B$6:$B$197,0)),VLOOKUP(B102,E!$B$6:$E$197,4,FALSE),VLOOKUP(B102,M!$B$6:$I$733,7,FALSE)))</f>
        <v>მ.ც</v>
      </c>
    </row>
    <row r="103" spans="1:13" ht="39.950000000000003" customHeight="1" x14ac:dyDescent="0.25">
      <c r="A103" s="16" t="s">
        <v>671</v>
      </c>
      <c r="B103" s="17" t="s">
        <v>654</v>
      </c>
      <c r="C103" s="2" t="s">
        <v>393</v>
      </c>
      <c r="D103" s="2">
        <v>0.26</v>
      </c>
      <c r="E103" s="14">
        <f>D103*E101/100</f>
        <v>0.26</v>
      </c>
      <c r="F103" s="13"/>
      <c r="G103" s="13"/>
      <c r="H103" s="13"/>
      <c r="I103" s="13"/>
      <c r="J103" s="14">
        <v>3.2</v>
      </c>
      <c r="K103" s="13">
        <f>ROUND(E103*J103,1)</f>
        <v>0.8</v>
      </c>
      <c r="L103" s="13">
        <f>G103+I103+K103</f>
        <v>0.8</v>
      </c>
      <c r="M103" s="23" t="str">
        <f>(IF(ISNUMBER(MATCH(B103,E!$B$6:$B$197,0)),VLOOKUP(B103,E!$B$6:$E$197,4,FALSE),VLOOKUP(B103,M!$B$6:$I$733,7,FALSE)))</f>
        <v>ს.რ.ფ</v>
      </c>
    </row>
    <row r="104" spans="1:13" ht="39.950000000000003" customHeight="1" x14ac:dyDescent="0.25">
      <c r="A104" s="16" t="s">
        <v>673</v>
      </c>
      <c r="B104" s="2" t="s">
        <v>335</v>
      </c>
      <c r="C104" s="2" t="s">
        <v>674</v>
      </c>
      <c r="D104" s="2">
        <v>101</v>
      </c>
      <c r="E104" s="14">
        <f>D104*E101/100</f>
        <v>101</v>
      </c>
      <c r="F104" s="31" t="e">
        <f>ROUND(VLOOKUP(B104,M!$B$6:$H$733,IF(#REF!="დაბალი",4,IF(#REF!="საშუალო",6,IF(#REF!="მაღალი",5))),FALSE),2)</f>
        <v>#REF!</v>
      </c>
      <c r="G104" s="13" t="e">
        <f>ROUND(E104*F104,1)</f>
        <v>#REF!</v>
      </c>
      <c r="H104" s="2"/>
      <c r="I104" s="2"/>
      <c r="J104" s="35" t="e">
        <f>ROUND(IF(ISNUMBER(MATCH(B104,E!$B$6:$B$197,0)),VLOOKUP(B104,E!$B$6:$E$197,2,FALSE),IF(#REF!="დიახ",IF(VLOOKUP(B104,M!$B$6:$I$733,8,FALSE)="ლ",VLOOKUP(B104,M!$B$6:$I$733,3,FALSE)*0.001*#REF!*#REF!,IF(VLOOKUP(B104,M!$B$6:$I$733,8,FALSE)="მბ",VLOOKUP(B104,M!$B$6:$I$733,3,FALSE)*0.001*#REF!*#REF!,IF(VLOOKUP(B104,M!$B$6:$I$733,8,FALSE)="აბ",VLOOKUP(B104,M!$B$6:$I$733,3,FALSE)*0.001*#REF!*#REF!,IF(VLOOKUP(B104,M!$B$6:$I$733,8,FALSE)="ინ",VLOOKUP(B104,M!$B$6:$I$733,3,FALSE)*0.001*#REF!*#REF!,IF(VLOOKUP(B104,M!$B$6:$I$733,8,FALSE)="ას",VLOOKUP(B104,M!$B$6:$I$733,3,FALSE)*0.001*#REF!*#REF!,IF(VLOOKUP(B104,M!$B$6:$I$733,8,FALSE)="სხ",VLOOKUP(B104,M!$B$6:$I$733,3,FALSE)*0.001*#REF!*#REF!,IF(VLOOKUP(B104,M!$B$6:$I$733,8,FALSE)="ხმ",VLOOKUP(B104,M!$B$6:$I$733,3,FALSE)*0.001*#REF!*#REF!))))))))),2)</f>
        <v>#REF!</v>
      </c>
      <c r="K104" s="14" t="e">
        <f>ROUND(E104*J104,2)</f>
        <v>#REF!</v>
      </c>
      <c r="L104" s="13" t="e">
        <f>G104+I104+K104</f>
        <v>#REF!</v>
      </c>
      <c r="M104" s="23" t="str">
        <f>(IF(ISNUMBER(MATCH(B104,E!$B$6:$B$197,0)),VLOOKUP(B104,E!$B$6:$E$197,4,FALSE),VLOOKUP(B104,M!$B$6:$I$733,7,FALSE)))</f>
        <v>4.1-232</v>
      </c>
    </row>
    <row r="105" spans="1:13" ht="39.950000000000003" customHeight="1" x14ac:dyDescent="0.25">
      <c r="A105" s="16"/>
      <c r="B105" s="17"/>
      <c r="C105" s="2"/>
      <c r="D105" s="2"/>
      <c r="E105" s="14"/>
      <c r="F105" s="13"/>
      <c r="G105" s="13"/>
      <c r="H105" s="27"/>
      <c r="I105" s="14"/>
      <c r="J105" s="31"/>
      <c r="K105" s="31"/>
      <c r="L105" s="14"/>
      <c r="M105" s="23"/>
    </row>
    <row r="106" spans="1:13" ht="80.099999999999994" customHeight="1" x14ac:dyDescent="0.25">
      <c r="A106" s="85">
        <v>3</v>
      </c>
      <c r="B106" s="86" t="s">
        <v>991</v>
      </c>
      <c r="C106" s="10"/>
      <c r="D106" s="10"/>
      <c r="E106" s="10"/>
      <c r="F106" s="30"/>
      <c r="G106" s="10"/>
      <c r="H106" s="26"/>
      <c r="I106" s="10"/>
      <c r="J106" s="30"/>
      <c r="K106" s="30"/>
      <c r="L106" s="11"/>
      <c r="M106" s="22"/>
    </row>
    <row r="107" spans="1:13" s="45" customFormat="1" ht="39.950000000000003" customHeight="1" x14ac:dyDescent="0.25">
      <c r="A107" s="70">
        <v>1.1000000000000001</v>
      </c>
      <c r="B107" s="40" t="s">
        <v>988</v>
      </c>
      <c r="C107" s="41" t="s">
        <v>712</v>
      </c>
      <c r="D107" s="41"/>
      <c r="E107" s="52">
        <v>100</v>
      </c>
      <c r="F107" s="42"/>
      <c r="G107" s="42"/>
      <c r="H107" s="42"/>
      <c r="I107" s="42"/>
      <c r="J107" s="46"/>
      <c r="K107" s="46"/>
      <c r="L107" s="43" t="e">
        <f>SUM(L108:L115)</f>
        <v>#REF!</v>
      </c>
      <c r="M107" s="44" t="s">
        <v>989</v>
      </c>
    </row>
    <row r="108" spans="1:13" ht="39.950000000000003" customHeight="1" x14ac:dyDescent="0.25">
      <c r="A108" s="16" t="s">
        <v>668</v>
      </c>
      <c r="B108" s="17" t="s">
        <v>669</v>
      </c>
      <c r="C108" s="2" t="s">
        <v>670</v>
      </c>
      <c r="D108" s="2">
        <v>29.2</v>
      </c>
      <c r="E108" s="14">
        <f>D108*E107/100</f>
        <v>29.2</v>
      </c>
      <c r="F108" s="13"/>
      <c r="G108" s="13"/>
      <c r="H108" s="27">
        <f>IF((ISNUMBER(--LEFT(M107,2))),VLOOKUP(--LEFT(M107,2),N!$A$5:$C$54,3,FALSE),VLOOKUP(--LEFT(M107,1),N!$A$5:$C$54,3,FALSE))</f>
        <v>6</v>
      </c>
      <c r="I108" s="14">
        <f>ROUND(E108*H108,2)</f>
        <v>175.2</v>
      </c>
      <c r="J108" s="31"/>
      <c r="K108" s="31"/>
      <c r="L108" s="14">
        <f t="shared" ref="L108:L115" si="10">G108+I108+K108</f>
        <v>175.2</v>
      </c>
      <c r="M108" s="23" t="str">
        <f>(IF(ISNUMBER(MATCH(B108,E!$B$6:$B$197,0)),VLOOKUP(B108,E!$B$6:$E$197,4,FALSE),VLOOKUP(B108,M!$B$6:$I$733,7,FALSE)))</f>
        <v>მ.ც</v>
      </c>
    </row>
    <row r="109" spans="1:13" ht="39.950000000000003" customHeight="1" x14ac:dyDescent="0.25">
      <c r="A109" s="16" t="s">
        <v>671</v>
      </c>
      <c r="B109" s="2" t="s">
        <v>275</v>
      </c>
      <c r="C109" s="2" t="s">
        <v>672</v>
      </c>
      <c r="D109" s="2">
        <v>21.3</v>
      </c>
      <c r="E109" s="14">
        <f>D109*E107/100</f>
        <v>21.3</v>
      </c>
      <c r="F109" s="13"/>
      <c r="G109" s="13"/>
      <c r="H109" s="13"/>
      <c r="I109" s="13"/>
      <c r="J109" s="35">
        <f>ROUND(IF(ISNUMBER(MATCH(B109,E!$B$6:$B$197,0)),VLOOKUP(B109,E!$B$6:$E$197,2,FALSE),IF(#REF!="დიახ",IF(VLOOKUP(B109,M!$B$6:$I$733,8,FALSE)="ლ",VLOOKUP(B109,M!$B$6:$I$733,3,FALSE)*0.001*#REF!*#REF!,IF(VLOOKUP(B109,M!$B$6:$I$733,8,FALSE)="მბ",VLOOKUP(B109,M!$B$6:$I$733,3,FALSE)*0.001*#REF!*#REF!,IF(VLOOKUP(B109,M!$B$6:$I$733,8,FALSE)="აბ",VLOOKUP(B109,M!$B$6:$I$733,3,FALSE)*0.001*#REF!*#REF!,IF(VLOOKUP(B109,M!$B$6:$I$733,8,FALSE)="ინ",VLOOKUP(B109,M!$B$6:$I$733,3,FALSE)*0.001*#REF!*#REF!,IF(VLOOKUP(B109,M!$B$6:$I$733,8,FALSE)="ას",VLOOKUP(B109,M!$B$6:$I$733,3,FALSE)*0.001*#REF!*#REF!,IF(VLOOKUP(B109,M!$B$6:$I$733,8,FALSE)="სხ",VLOOKUP(B109,M!$B$6:$I$733,3,FALSE)*0.001*#REF!*#REF!,IF(VLOOKUP(B109,M!$B$6:$I$733,8,FALSE)="ხმ",VLOOKUP(B109,M!$B$6:$I$733,3,FALSE)*0.001*#REF!*#REF!))))))))),2)</f>
        <v>19.29</v>
      </c>
      <c r="K109" s="31">
        <f>ROUND(E109*J109,2)</f>
        <v>410.88</v>
      </c>
      <c r="L109" s="14">
        <f t="shared" si="10"/>
        <v>410.88</v>
      </c>
      <c r="M109" s="23" t="str">
        <f>(IF(ISNUMBER(MATCH(B109,E!$B$6:$B$197,0)),VLOOKUP(B109,E!$B$6:$E$197,4,FALSE),VLOOKUP(B109,M!$B$6:$I$733,7,FALSE)))</f>
        <v>14-331</v>
      </c>
    </row>
    <row r="110" spans="1:13" ht="39.950000000000003" customHeight="1" x14ac:dyDescent="0.25">
      <c r="A110" s="16" t="s">
        <v>673</v>
      </c>
      <c r="B110" s="17" t="s">
        <v>654</v>
      </c>
      <c r="C110" s="2" t="s">
        <v>393</v>
      </c>
      <c r="D110" s="2">
        <v>0.12</v>
      </c>
      <c r="E110" s="14">
        <f>D110*E107/100</f>
        <v>0.12</v>
      </c>
      <c r="F110" s="13"/>
      <c r="G110" s="13"/>
      <c r="H110" s="13"/>
      <c r="I110" s="13"/>
      <c r="J110" s="35">
        <f>ROUND(IF(ISNUMBER(MATCH(B110,E!$B$6:$B$197,0)),VLOOKUP(B110,E!$B$6:$E$197,2,FALSE),IF(#REF!="დიახ",IF(VLOOKUP(B110,M!$B$6:$I$733,8,FALSE)="ლ",VLOOKUP(B110,M!$B$6:$I$733,3,FALSE)*0.001*#REF!*#REF!,IF(VLOOKUP(B110,M!$B$6:$I$733,8,FALSE)="მბ",VLOOKUP(B110,M!$B$6:$I$733,3,FALSE)*0.001*#REF!*#REF!,IF(VLOOKUP(B110,M!$B$6:$I$733,8,FALSE)="აბ",VLOOKUP(B110,M!$B$6:$I$733,3,FALSE)*0.001*#REF!*#REF!,IF(VLOOKUP(B110,M!$B$6:$I$733,8,FALSE)="ინ",VLOOKUP(B110,M!$B$6:$I$733,3,FALSE)*0.001*#REF!*#REF!,IF(VLOOKUP(B110,M!$B$6:$I$733,8,FALSE)="ას",VLOOKUP(B110,M!$B$6:$I$733,3,FALSE)*0.001*#REF!*#REF!,IF(VLOOKUP(B110,M!$B$6:$I$733,8,FALSE)="სხ",VLOOKUP(B110,M!$B$6:$I$733,3,FALSE)*0.001*#REF!*#REF!,IF(VLOOKUP(B110,M!$B$6:$I$733,8,FALSE)="ხმ",VLOOKUP(B110,M!$B$6:$I$733,3,FALSE)*0.001*#REF!*#REF!))))))))),2)</f>
        <v>3.2</v>
      </c>
      <c r="K110" s="31">
        <f>ROUND(E110*J110,2)</f>
        <v>0.38</v>
      </c>
      <c r="L110" s="14">
        <f t="shared" si="10"/>
        <v>0.38</v>
      </c>
      <c r="M110" s="23" t="str">
        <f>(IF(ISNUMBER(MATCH(B110,E!$B$6:$B$197,0)),VLOOKUP(B110,E!$B$6:$E$197,4,FALSE),VLOOKUP(B110,M!$B$6:$I$733,7,FALSE)))</f>
        <v>ს.რ.ფ</v>
      </c>
    </row>
    <row r="111" spans="1:13" ht="39.950000000000003" customHeight="1" x14ac:dyDescent="0.25">
      <c r="A111" s="16" t="s">
        <v>675</v>
      </c>
      <c r="B111" s="2" t="s">
        <v>509</v>
      </c>
      <c r="C111" s="2" t="s">
        <v>28</v>
      </c>
      <c r="D111" s="2">
        <v>49</v>
      </c>
      <c r="E111" s="14">
        <f>D111*E107/100</f>
        <v>49</v>
      </c>
      <c r="F111" s="31" t="e">
        <f>ROUND(VLOOKUP(B111,M!$B$6:$H$733,IF(#REF!="დაბალი",4,IF(#REF!="საშუალო",6,IF(#REF!="მაღალი",5))),FALSE),2)</f>
        <v>#REF!</v>
      </c>
      <c r="G111" s="14" t="e">
        <f>ROUND(E111*F111,2)</f>
        <v>#REF!</v>
      </c>
      <c r="H111" s="13"/>
      <c r="I111" s="13"/>
      <c r="J111" s="31"/>
      <c r="K111" s="31"/>
      <c r="L111" s="14" t="e">
        <f t="shared" si="10"/>
        <v>#REF!</v>
      </c>
      <c r="M111" s="23" t="str">
        <f>(IF(ISNUMBER(MATCH(B111,E!$B$6:$B$197,0)),VLOOKUP(B111,E!$B$6:$E$197,4,FALSE),VLOOKUP(B111,M!$B$6:$I$733,7,FALSE)))</f>
        <v>4.6-1</v>
      </c>
    </row>
    <row r="112" spans="1:13" ht="39.950000000000003" customHeight="1" x14ac:dyDescent="0.25">
      <c r="A112" s="16" t="s">
        <v>695</v>
      </c>
      <c r="B112" s="17" t="s">
        <v>532</v>
      </c>
      <c r="C112" s="2" t="s">
        <v>595</v>
      </c>
      <c r="D112" s="2">
        <v>21.8</v>
      </c>
      <c r="E112" s="14">
        <f>D112*E107/100</f>
        <v>21.8</v>
      </c>
      <c r="F112" s="31" t="e">
        <f>ROUND(VLOOKUP(B112,M!$B$6:$H$733,IF(#REF!="დაბალი",4,IF(#REF!="საშუალო",6,IF(#REF!="მაღალი",5))),FALSE),2)</f>
        <v>#REF!</v>
      </c>
      <c r="G112" s="14" t="e">
        <f>ROUND(E112*F112,2)</f>
        <v>#REF!</v>
      </c>
      <c r="H112" s="13"/>
      <c r="I112" s="13"/>
      <c r="J112" s="31"/>
      <c r="K112" s="31"/>
      <c r="L112" s="14" t="e">
        <f t="shared" si="10"/>
        <v>#REF!</v>
      </c>
      <c r="M112" s="23" t="str">
        <f>(IF(ISNUMBER(MATCH(B112,E!$B$6:$B$197,0)),VLOOKUP(B112,E!$B$6:$E$197,4,FALSE),VLOOKUP(B112,M!$B$6:$I$733,7,FALSE)))</f>
        <v>4.6-24</v>
      </c>
    </row>
    <row r="113" spans="1:13" ht="39.950000000000003" customHeight="1" x14ac:dyDescent="0.25">
      <c r="A113" s="16" t="s">
        <v>696</v>
      </c>
      <c r="B113" s="17" t="s">
        <v>510</v>
      </c>
      <c r="C113" s="2" t="s">
        <v>66</v>
      </c>
      <c r="D113" s="2">
        <v>80</v>
      </c>
      <c r="E113" s="14">
        <f>D113*E107/100</f>
        <v>80</v>
      </c>
      <c r="F113" s="31" t="e">
        <f>ROUND(VLOOKUP(B113,M!$B$6:$H$733,IF(#REF!="დაბალი",4,IF(#REF!="საშუალო",6,IF(#REF!="მაღალი",5))),FALSE),2)</f>
        <v>#REF!</v>
      </c>
      <c r="G113" s="14" t="e">
        <f>ROUND(E113*F113,2)</f>
        <v>#REF!</v>
      </c>
      <c r="H113" s="13"/>
      <c r="I113" s="13"/>
      <c r="J113" s="31"/>
      <c r="K113" s="31"/>
      <c r="L113" s="14" t="e">
        <f t="shared" si="10"/>
        <v>#REF!</v>
      </c>
      <c r="M113" s="23" t="str">
        <f>(IF(ISNUMBER(MATCH(B113,E!$B$6:$B$197,0)),VLOOKUP(B113,E!$B$6:$E$197,4,FALSE),VLOOKUP(B113,M!$B$6:$I$733,7,FALSE)))</f>
        <v>4.6-2</v>
      </c>
    </row>
    <row r="114" spans="1:13" ht="39.950000000000003" customHeight="1" x14ac:dyDescent="0.25">
      <c r="A114" s="16" t="s">
        <v>733</v>
      </c>
      <c r="B114" s="17" t="s">
        <v>990</v>
      </c>
      <c r="C114" s="2" t="s">
        <v>66</v>
      </c>
      <c r="D114" s="2">
        <v>2.87</v>
      </c>
      <c r="E114" s="14">
        <f>D114*E107/100</f>
        <v>2.87</v>
      </c>
      <c r="F114" s="31" t="e">
        <f>ROUND(VLOOKUP(B114,M!$B$6:$H$733,IF(#REF!="დაბალი",4,IF(#REF!="საშუალო",6,IF(#REF!="მაღალი",5))),FALSE),2)</f>
        <v>#REF!</v>
      </c>
      <c r="G114" s="14" t="e">
        <f>ROUND(E114*F114,2)</f>
        <v>#REF!</v>
      </c>
      <c r="H114" s="13"/>
      <c r="I114" s="13"/>
      <c r="J114" s="31"/>
      <c r="K114" s="31"/>
      <c r="L114" s="14" t="e">
        <f t="shared" si="10"/>
        <v>#REF!</v>
      </c>
      <c r="M114" s="23" t="str">
        <f>(IF(ISNUMBER(MATCH(B114,E!$B$6:$B$197,0)),VLOOKUP(B114,E!$B$6:$E$197,4,FALSE),VLOOKUP(B114,M!$B$6:$I$733,7,FALSE)))</f>
        <v>ს.რ.ფ</v>
      </c>
    </row>
    <row r="115" spans="1:13" ht="39.950000000000003" customHeight="1" x14ac:dyDescent="0.25">
      <c r="A115" s="16" t="s">
        <v>734</v>
      </c>
      <c r="B115" s="17" t="s">
        <v>677</v>
      </c>
      <c r="C115" s="2" t="s">
        <v>393</v>
      </c>
      <c r="D115" s="2">
        <v>1.22</v>
      </c>
      <c r="E115" s="14">
        <f>D115*E107/100</f>
        <v>1.22</v>
      </c>
      <c r="F115" s="31" t="e">
        <f>ROUND(VLOOKUP(B115,M!$B$6:$H$733,IF(#REF!="დაბალი",4,IF(#REF!="საშუალო",6,IF(#REF!="მაღალი",5))),FALSE),2)</f>
        <v>#REF!</v>
      </c>
      <c r="G115" s="14" t="e">
        <f>ROUND(E115*F115,2)</f>
        <v>#REF!</v>
      </c>
      <c r="H115" s="13"/>
      <c r="I115" s="13"/>
      <c r="J115" s="31"/>
      <c r="K115" s="31"/>
      <c r="L115" s="14" t="e">
        <f t="shared" si="10"/>
        <v>#REF!</v>
      </c>
      <c r="M115" s="23" t="str">
        <f>(IF(ISNUMBER(MATCH(B115,E!$B$6:$B$197,0)),VLOOKUP(B115,E!$B$6:$E$197,4,FALSE),VLOOKUP(B115,M!$B$6:$I$733,7,FALSE)))</f>
        <v>ს.რ.ფ</v>
      </c>
    </row>
    <row r="116" spans="1:13" ht="39.950000000000003" customHeight="1" x14ac:dyDescent="0.25">
      <c r="A116" s="16"/>
      <c r="B116" s="17"/>
      <c r="C116" s="2"/>
      <c r="D116" s="2"/>
      <c r="E116" s="14"/>
      <c r="F116" s="13"/>
      <c r="G116" s="13"/>
      <c r="H116" s="27"/>
      <c r="I116" s="14"/>
      <c r="J116" s="31"/>
      <c r="K116" s="31"/>
      <c r="L116" s="14"/>
      <c r="M116" s="23"/>
    </row>
    <row r="117" spans="1:13" ht="80.099999999999994" customHeight="1" x14ac:dyDescent="0.25">
      <c r="A117" s="108">
        <v>5</v>
      </c>
      <c r="B117" s="109" t="s">
        <v>607</v>
      </c>
      <c r="C117" s="10"/>
      <c r="D117" s="10"/>
      <c r="E117" s="10"/>
      <c r="F117" s="30"/>
      <c r="G117" s="10"/>
      <c r="H117" s="26"/>
      <c r="I117" s="10"/>
      <c r="J117" s="30"/>
      <c r="K117" s="30"/>
      <c r="L117" s="11"/>
      <c r="M117" s="22"/>
    </row>
    <row r="118" spans="1:13" s="45" customFormat="1" ht="39.950000000000003" customHeight="1" x14ac:dyDescent="0.25">
      <c r="A118" s="39">
        <v>1.1000000000000001</v>
      </c>
      <c r="B118" s="126" t="s">
        <v>1115</v>
      </c>
      <c r="C118" s="41" t="s">
        <v>792</v>
      </c>
      <c r="D118" s="127"/>
      <c r="E118" s="128">
        <v>1</v>
      </c>
      <c r="F118" s="127"/>
      <c r="G118" s="127"/>
      <c r="H118" s="127"/>
      <c r="I118" s="127"/>
      <c r="J118" s="127"/>
      <c r="K118" s="127"/>
      <c r="L118" s="43" t="e">
        <f>SUM(L119:L134)</f>
        <v>#REF!</v>
      </c>
      <c r="M118" s="57" t="s">
        <v>1116</v>
      </c>
    </row>
    <row r="119" spans="1:13" ht="39.950000000000003" customHeight="1" x14ac:dyDescent="0.25">
      <c r="A119" s="16" t="s">
        <v>668</v>
      </c>
      <c r="B119" s="17" t="s">
        <v>669</v>
      </c>
      <c r="C119" s="2" t="s">
        <v>670</v>
      </c>
      <c r="D119" s="2">
        <v>4.57</v>
      </c>
      <c r="E119" s="14">
        <f>D119*E118</f>
        <v>4.57</v>
      </c>
      <c r="F119" s="13"/>
      <c r="G119" s="13"/>
      <c r="H119" s="27">
        <f>IF((ISNUMBER(--LEFT(M118,2))),VLOOKUP(--LEFT(M118,2),N!$A$5:$C$54,3,FALSE),VLOOKUP(--LEFT(M118,1),N!$A$5:$C$54,3,FALSE))</f>
        <v>6</v>
      </c>
      <c r="I119" s="14">
        <f>ROUND(E119*H119,2)</f>
        <v>27.42</v>
      </c>
      <c r="J119" s="13"/>
      <c r="K119" s="13"/>
      <c r="L119" s="14">
        <f>G119+I119+K119</f>
        <v>27.42</v>
      </c>
      <c r="M119" s="23" t="str">
        <f>(IF(ISNUMBER(MATCH(B119,E!$B$6:$B$197,0)),VLOOKUP(B119,E!$B$6:$E$197,4,FALSE),VLOOKUP(B119,M!$B$6:$I$733,7,FALSE)))</f>
        <v>მ.ც</v>
      </c>
    </row>
    <row r="120" spans="1:13" ht="39.950000000000003" customHeight="1" x14ac:dyDescent="0.25">
      <c r="A120" s="16" t="s">
        <v>671</v>
      </c>
      <c r="B120" s="2" t="s">
        <v>174</v>
      </c>
      <c r="C120" s="2" t="s">
        <v>672</v>
      </c>
      <c r="D120" s="112">
        <v>2.39</v>
      </c>
      <c r="E120" s="14">
        <f>D120*E118</f>
        <v>2.39</v>
      </c>
      <c r="F120" s="112"/>
      <c r="G120" s="112"/>
      <c r="H120" s="112"/>
      <c r="I120" s="112"/>
      <c r="J120" s="35">
        <f>ROUND(IF(ISNUMBER(MATCH(B120,E!$B$6:$B$197,0)),VLOOKUP(B120,E!$B$6:$E$197,2,FALSE),IF(#REF!="დიახ",IF(VLOOKUP(B120,M!$B$6:$I$733,8,FALSE)="ლ",VLOOKUP(B120,M!$B$6:$I$733,3,FALSE)*0.001*#REF!*#REF!,IF(VLOOKUP(B120,M!$B$6:$I$733,8,FALSE)="მბ",VLOOKUP(B120,M!$B$6:$I$733,3,FALSE)*0.001*#REF!*#REF!,IF(VLOOKUP(B120,M!$B$6:$I$733,8,FALSE)="აბ",VLOOKUP(B120,M!$B$6:$I$733,3,FALSE)*0.001*#REF!*#REF!,IF(VLOOKUP(B120,M!$B$6:$I$733,8,FALSE)="ინ",VLOOKUP(B120,M!$B$6:$I$733,3,FALSE)*0.001*#REF!*#REF!,IF(VLOOKUP(B120,M!$B$6:$I$733,8,FALSE)="ას",VLOOKUP(B120,M!$B$6:$I$733,3,FALSE)*0.001*#REF!*#REF!,IF(VLOOKUP(B120,M!$B$6:$I$733,8,FALSE)="სხ",VLOOKUP(B120,M!$B$6:$I$733,3,FALSE)*0.001*#REF!*#REF!,IF(VLOOKUP(B120,M!$B$6:$I$733,8,FALSE)="ხმ",VLOOKUP(B120,M!$B$6:$I$733,3,FALSE)*0.001*#REF!*#REF!))))))))),2)</f>
        <v>36.869999999999997</v>
      </c>
      <c r="K120" s="14">
        <f t="shared" ref="K120:K134" si="11">ROUND(E120*J120,2)</f>
        <v>88.12</v>
      </c>
      <c r="L120" s="14">
        <f>G120+I120+K120</f>
        <v>88.12</v>
      </c>
      <c r="M120" s="23" t="str">
        <f>(IF(ISNUMBER(MATCH(B120,E!$B$6:$B$197,0)),VLOOKUP(B120,E!$B$6:$E$197,4,FALSE),VLOOKUP(B120,M!$B$6:$I$733,7,FALSE)))</f>
        <v>14-48</v>
      </c>
    </row>
    <row r="121" spans="1:13" ht="39.950000000000003" customHeight="1" x14ac:dyDescent="0.25">
      <c r="A121" s="16" t="s">
        <v>673</v>
      </c>
      <c r="B121" s="2" t="s">
        <v>176</v>
      </c>
      <c r="C121" s="2" t="s">
        <v>672</v>
      </c>
      <c r="D121" s="112">
        <v>0.05</v>
      </c>
      <c r="E121" s="14">
        <f>D121*E118</f>
        <v>0.05</v>
      </c>
      <c r="F121" s="112"/>
      <c r="G121" s="112"/>
      <c r="H121" s="112"/>
      <c r="I121" s="112"/>
      <c r="J121" s="35">
        <f>ROUND(IF(ISNUMBER(MATCH(B121,E!$B$6:$B$197,0)),VLOOKUP(B121,E!$B$6:$E$197,2,FALSE),IF(#REF!="დიახ",IF(VLOOKUP(B121,M!$B$6:$I$733,8,FALSE)="ლ",VLOOKUP(B121,M!$B$6:$I$733,3,FALSE)*0.001*#REF!*#REF!,IF(VLOOKUP(B121,M!$B$6:$I$733,8,FALSE)="მბ",VLOOKUP(B121,M!$B$6:$I$733,3,FALSE)*0.001*#REF!*#REF!,IF(VLOOKUP(B121,M!$B$6:$I$733,8,FALSE)="აბ",VLOOKUP(B121,M!$B$6:$I$733,3,FALSE)*0.001*#REF!*#REF!,IF(VLOOKUP(B121,M!$B$6:$I$733,8,FALSE)="ინ",VLOOKUP(B121,M!$B$6:$I$733,3,FALSE)*0.001*#REF!*#REF!,IF(VLOOKUP(B121,M!$B$6:$I$733,8,FALSE)="ას",VLOOKUP(B121,M!$B$6:$I$733,3,FALSE)*0.001*#REF!*#REF!,IF(VLOOKUP(B121,M!$B$6:$I$733,8,FALSE)="სხ",VLOOKUP(B121,M!$B$6:$I$733,3,FALSE)*0.001*#REF!*#REF!,IF(VLOOKUP(B121,M!$B$6:$I$733,8,FALSE)="ხმ",VLOOKUP(B121,M!$B$6:$I$733,3,FALSE)*0.001*#REF!*#REF!))))))))),2)</f>
        <v>52.5</v>
      </c>
      <c r="K121" s="14">
        <f t="shared" si="11"/>
        <v>2.63</v>
      </c>
      <c r="L121" s="14">
        <f t="shared" ref="L121:L134" si="12">G121+I121+K121</f>
        <v>2.63</v>
      </c>
      <c r="M121" s="23" t="str">
        <f>(IF(ISNUMBER(MATCH(B121,E!$B$6:$B$197,0)),VLOOKUP(B121,E!$B$6:$E$197,4,FALSE),VLOOKUP(B121,M!$B$6:$I$733,7,FALSE)))</f>
        <v>14-50</v>
      </c>
    </row>
    <row r="122" spans="1:13" ht="39.950000000000003" customHeight="1" x14ac:dyDescent="0.25">
      <c r="A122" s="16" t="s">
        <v>675</v>
      </c>
      <c r="B122" s="2" t="s">
        <v>1118</v>
      </c>
      <c r="C122" s="2" t="s">
        <v>672</v>
      </c>
      <c r="D122" s="112">
        <v>0.14000000000000001</v>
      </c>
      <c r="E122" s="14">
        <f>D122*E118</f>
        <v>0.14000000000000001</v>
      </c>
      <c r="F122" s="112"/>
      <c r="G122" s="112"/>
      <c r="H122" s="112"/>
      <c r="I122" s="112"/>
      <c r="J122" s="35">
        <f>ROUND(IF(ISNUMBER(MATCH(B122,E!$B$6:$B$197,0)),VLOOKUP(B122,E!$B$6:$E$197,2,FALSE),IF(#REF!="დიახ",IF(VLOOKUP(B122,M!$B$6:$I$733,8,FALSE)="ლ",VLOOKUP(B122,M!$B$6:$I$733,3,FALSE)*0.001*#REF!*#REF!,IF(VLOOKUP(B122,M!$B$6:$I$733,8,FALSE)="მბ",VLOOKUP(B122,M!$B$6:$I$733,3,FALSE)*0.001*#REF!*#REF!,IF(VLOOKUP(B122,M!$B$6:$I$733,8,FALSE)="აბ",VLOOKUP(B122,M!$B$6:$I$733,3,FALSE)*0.001*#REF!*#REF!,IF(VLOOKUP(B122,M!$B$6:$I$733,8,FALSE)="ინ",VLOOKUP(B122,M!$B$6:$I$733,3,FALSE)*0.001*#REF!*#REF!,IF(VLOOKUP(B122,M!$B$6:$I$733,8,FALSE)="ას",VLOOKUP(B122,M!$B$6:$I$733,3,FALSE)*0.001*#REF!*#REF!,IF(VLOOKUP(B122,M!$B$6:$I$733,8,FALSE)="სხ",VLOOKUP(B122,M!$B$6:$I$733,3,FALSE)*0.001*#REF!*#REF!,IF(VLOOKUP(B122,M!$B$6:$I$733,8,FALSE)="ხმ",VLOOKUP(B122,M!$B$6:$I$733,3,FALSE)*0.001*#REF!*#REF!))))))))),2)</f>
        <v>26.9</v>
      </c>
      <c r="K122" s="112">
        <f t="shared" si="11"/>
        <v>3.77</v>
      </c>
      <c r="L122" s="14">
        <f t="shared" si="12"/>
        <v>3.77</v>
      </c>
      <c r="M122" s="23" t="str">
        <f>(IF(ISNUMBER(MATCH(B122,E!$B$6:$B$197,0)),VLOOKUP(B122,E!$B$6:$E$197,4,FALSE),VLOOKUP(B122,M!$B$6:$I$733,7,FALSE)))</f>
        <v>14-105</v>
      </c>
    </row>
    <row r="123" spans="1:13" ht="39.950000000000003" customHeight="1" x14ac:dyDescent="0.25">
      <c r="A123" s="16" t="s">
        <v>695</v>
      </c>
      <c r="B123" s="2" t="s">
        <v>207</v>
      </c>
      <c r="C123" s="2" t="s">
        <v>672</v>
      </c>
      <c r="D123" s="112">
        <v>0.03</v>
      </c>
      <c r="E123" s="14">
        <f>D123*E118</f>
        <v>0.03</v>
      </c>
      <c r="F123" s="112"/>
      <c r="G123" s="112"/>
      <c r="H123" s="112"/>
      <c r="I123" s="112"/>
      <c r="J123" s="35">
        <f>ROUND(IF(ISNUMBER(MATCH(B123,E!$B$6:$B$197,0)),VLOOKUP(B123,E!$B$6:$E$197,2,FALSE),IF(#REF!="დიახ",IF(VLOOKUP(B123,M!$B$6:$I$733,8,FALSE)="ლ",VLOOKUP(B123,M!$B$6:$I$733,3,FALSE)*0.001*#REF!*#REF!,IF(VLOOKUP(B123,M!$B$6:$I$733,8,FALSE)="მბ",VLOOKUP(B123,M!$B$6:$I$733,3,FALSE)*0.001*#REF!*#REF!,IF(VLOOKUP(B123,M!$B$6:$I$733,8,FALSE)="აბ",VLOOKUP(B123,M!$B$6:$I$733,3,FALSE)*0.001*#REF!*#REF!,IF(VLOOKUP(B123,M!$B$6:$I$733,8,FALSE)="ინ",VLOOKUP(B123,M!$B$6:$I$733,3,FALSE)*0.001*#REF!*#REF!,IF(VLOOKUP(B123,M!$B$6:$I$733,8,FALSE)="ას",VLOOKUP(B123,M!$B$6:$I$733,3,FALSE)*0.001*#REF!*#REF!,IF(VLOOKUP(B123,M!$B$6:$I$733,8,FALSE)="სხ",VLOOKUP(B123,M!$B$6:$I$733,3,FALSE)*0.001*#REF!*#REF!,IF(VLOOKUP(B123,M!$B$6:$I$733,8,FALSE)="ხმ",VLOOKUP(B123,M!$B$6:$I$733,3,FALSE)*0.001*#REF!*#REF!))))))))),2)</f>
        <v>31.61</v>
      </c>
      <c r="K123" s="112">
        <f t="shared" si="11"/>
        <v>0.95</v>
      </c>
      <c r="L123" s="14">
        <f t="shared" si="12"/>
        <v>0.95</v>
      </c>
      <c r="M123" s="23" t="str">
        <f>(IF(ISNUMBER(MATCH(B123,E!$B$6:$B$197,0)),VLOOKUP(B123,E!$B$6:$E$197,4,FALSE),VLOOKUP(B123,M!$B$6:$I$733,7,FALSE)))</f>
        <v>14-117</v>
      </c>
    </row>
    <row r="124" spans="1:13" ht="39.950000000000003" customHeight="1" x14ac:dyDescent="0.25">
      <c r="A124" s="16" t="s">
        <v>696</v>
      </c>
      <c r="B124" s="2" t="s">
        <v>1119</v>
      </c>
      <c r="C124" s="2" t="s">
        <v>672</v>
      </c>
      <c r="D124" s="112">
        <v>0.4</v>
      </c>
      <c r="E124" s="14">
        <f>D124*E118</f>
        <v>0.4</v>
      </c>
      <c r="F124" s="112"/>
      <c r="G124" s="112"/>
      <c r="H124" s="112"/>
      <c r="I124" s="112"/>
      <c r="J124" s="35">
        <f>ROUND(IF(ISNUMBER(MATCH(B124,E!$B$6:$B$197,0)),VLOOKUP(B124,E!$B$6:$E$197,2,FALSE),IF(#REF!="დიახ",IF(VLOOKUP(B124,M!$B$6:$I$733,8,FALSE)="ლ",VLOOKUP(B124,M!$B$6:$I$733,3,FALSE)*0.001*#REF!*#REF!,IF(VLOOKUP(B124,M!$B$6:$I$733,8,FALSE)="მბ",VLOOKUP(B124,M!$B$6:$I$733,3,FALSE)*0.001*#REF!*#REF!,IF(VLOOKUP(B124,M!$B$6:$I$733,8,FALSE)="აბ",VLOOKUP(B124,M!$B$6:$I$733,3,FALSE)*0.001*#REF!*#REF!,IF(VLOOKUP(B124,M!$B$6:$I$733,8,FALSE)="ინ",VLOOKUP(B124,M!$B$6:$I$733,3,FALSE)*0.001*#REF!*#REF!,IF(VLOOKUP(B124,M!$B$6:$I$733,8,FALSE)="ას",VLOOKUP(B124,M!$B$6:$I$733,3,FALSE)*0.001*#REF!*#REF!,IF(VLOOKUP(B124,M!$B$6:$I$733,8,FALSE)="სხ",VLOOKUP(B124,M!$B$6:$I$733,3,FALSE)*0.001*#REF!*#REF!,IF(VLOOKUP(B124,M!$B$6:$I$733,8,FALSE)="ხმ",VLOOKUP(B124,M!$B$6:$I$733,3,FALSE)*0.001*#REF!*#REF!))))))))),2)</f>
        <v>50.17</v>
      </c>
      <c r="K124" s="112">
        <f t="shared" si="11"/>
        <v>20.07</v>
      </c>
      <c r="L124" s="14">
        <f t="shared" si="12"/>
        <v>20.07</v>
      </c>
      <c r="M124" s="23" t="str">
        <f>(IF(ISNUMBER(MATCH(B124,E!$B$6:$B$197,0)),VLOOKUP(B124,E!$B$6:$E$197,4,FALSE),VLOOKUP(B124,M!$B$6:$I$733,7,FALSE)))</f>
        <v>14-293</v>
      </c>
    </row>
    <row r="125" spans="1:13" ht="39.950000000000003" customHeight="1" x14ac:dyDescent="0.25">
      <c r="A125" s="16" t="s">
        <v>733</v>
      </c>
      <c r="B125" s="2" t="s">
        <v>1121</v>
      </c>
      <c r="C125" s="2" t="s">
        <v>672</v>
      </c>
      <c r="D125" s="112">
        <v>0.22</v>
      </c>
      <c r="E125" s="14">
        <f>D125*E118</f>
        <v>0.22</v>
      </c>
      <c r="F125" s="112"/>
      <c r="G125" s="112"/>
      <c r="H125" s="112"/>
      <c r="I125" s="112"/>
      <c r="J125" s="35">
        <f>ROUND(IF(ISNUMBER(MATCH(B125,E!$B$6:$B$197,0)),VLOOKUP(B125,E!$B$6:$E$197,2,FALSE),IF(#REF!="დიახ",IF(VLOOKUP(B125,M!$B$6:$I$733,8,FALSE)="ლ",VLOOKUP(B125,M!$B$6:$I$733,3,FALSE)*0.001*#REF!*#REF!,IF(VLOOKUP(B125,M!$B$6:$I$733,8,FALSE)="მბ",VLOOKUP(B125,M!$B$6:$I$733,3,FALSE)*0.001*#REF!*#REF!,IF(VLOOKUP(B125,M!$B$6:$I$733,8,FALSE)="აბ",VLOOKUP(B125,M!$B$6:$I$733,3,FALSE)*0.001*#REF!*#REF!,IF(VLOOKUP(B125,M!$B$6:$I$733,8,FALSE)="ინ",VLOOKUP(B125,M!$B$6:$I$733,3,FALSE)*0.001*#REF!*#REF!,IF(VLOOKUP(B125,M!$B$6:$I$733,8,FALSE)="ას",VLOOKUP(B125,M!$B$6:$I$733,3,FALSE)*0.001*#REF!*#REF!,IF(VLOOKUP(B125,M!$B$6:$I$733,8,FALSE)="სხ",VLOOKUP(B125,M!$B$6:$I$733,3,FALSE)*0.001*#REF!*#REF!,IF(VLOOKUP(B125,M!$B$6:$I$733,8,FALSE)="ხმ",VLOOKUP(B125,M!$B$6:$I$733,3,FALSE)*0.001*#REF!*#REF!))))))))),2)</f>
        <v>41.13</v>
      </c>
      <c r="K125" s="112">
        <f t="shared" si="11"/>
        <v>9.0500000000000007</v>
      </c>
      <c r="L125" s="14">
        <f t="shared" si="12"/>
        <v>9.0500000000000007</v>
      </c>
      <c r="M125" s="23" t="str">
        <f>(IF(ISNUMBER(MATCH(B125,E!$B$6:$B$197,0)),VLOOKUP(B125,E!$B$6:$E$197,4,FALSE),VLOOKUP(B125,M!$B$6:$I$733,7,FALSE)))</f>
        <v>14-187</v>
      </c>
    </row>
    <row r="126" spans="1:13" ht="39.950000000000003" customHeight="1" x14ac:dyDescent="0.25">
      <c r="A126" s="16" t="s">
        <v>734</v>
      </c>
      <c r="B126" s="17" t="s">
        <v>266</v>
      </c>
      <c r="C126" s="2" t="s">
        <v>672</v>
      </c>
      <c r="D126" s="2">
        <v>0.04</v>
      </c>
      <c r="E126" s="14">
        <f>D126*E118</f>
        <v>0.04</v>
      </c>
      <c r="F126" s="13"/>
      <c r="G126" s="13"/>
      <c r="H126" s="13"/>
      <c r="I126" s="13"/>
      <c r="J126" s="35">
        <f>ROUND(IF(ISNUMBER(MATCH(B126,E!$B$6:$B$197,0)),VLOOKUP(B126,E!$B$6:$E$197,2,FALSE),IF(#REF!="დიახ",IF(VLOOKUP(B126,M!$B$6:$I$733,8,FALSE)="ლ",VLOOKUP(B126,M!$B$6:$I$733,3,FALSE)*0.001*#REF!*#REF!,IF(VLOOKUP(B126,M!$B$6:$I$733,8,FALSE)="მბ",VLOOKUP(B126,M!$B$6:$I$733,3,FALSE)*0.001*#REF!*#REF!,IF(VLOOKUP(B126,M!$B$6:$I$733,8,FALSE)="აბ",VLOOKUP(B126,M!$B$6:$I$733,3,FALSE)*0.001*#REF!*#REF!,IF(VLOOKUP(B126,M!$B$6:$I$733,8,FALSE)="ინ",VLOOKUP(B126,M!$B$6:$I$733,3,FALSE)*0.001*#REF!*#REF!,IF(VLOOKUP(B126,M!$B$6:$I$733,8,FALSE)="ას",VLOOKUP(B126,M!$B$6:$I$733,3,FALSE)*0.001*#REF!*#REF!,IF(VLOOKUP(B126,M!$B$6:$I$733,8,FALSE)="სხ",VLOOKUP(B126,M!$B$6:$I$733,3,FALSE)*0.001*#REF!*#REF!,IF(VLOOKUP(B126,M!$B$6:$I$733,8,FALSE)="ხმ",VLOOKUP(B126,M!$B$6:$I$733,3,FALSE)*0.001*#REF!*#REF!))))))))),2)</f>
        <v>52.87</v>
      </c>
      <c r="K126" s="14">
        <f t="shared" si="11"/>
        <v>2.11</v>
      </c>
      <c r="L126" s="14">
        <f t="shared" si="12"/>
        <v>2.11</v>
      </c>
      <c r="M126" s="23" t="str">
        <f>(IF(ISNUMBER(MATCH(B126,E!$B$6:$B$197,0)),VLOOKUP(B126,E!$B$6:$E$197,4,FALSE),VLOOKUP(B126,M!$B$6:$I$733,7,FALSE)))</f>
        <v>14-228</v>
      </c>
    </row>
    <row r="127" spans="1:13" ht="39.950000000000003" customHeight="1" x14ac:dyDescent="0.25">
      <c r="A127" s="16" t="s">
        <v>735</v>
      </c>
      <c r="B127" s="2" t="s">
        <v>1122</v>
      </c>
      <c r="C127" s="2" t="s">
        <v>672</v>
      </c>
      <c r="D127" s="112">
        <v>2.44</v>
      </c>
      <c r="E127" s="14">
        <f>D127*E118</f>
        <v>2.44</v>
      </c>
      <c r="F127" s="112"/>
      <c r="G127" s="112"/>
      <c r="H127" s="112"/>
      <c r="I127" s="112"/>
      <c r="J127" s="35">
        <f>ROUND(IF(ISNUMBER(MATCH(B127,E!$B$6:$B$197,0)),VLOOKUP(B127,E!$B$6:$E$197,2,FALSE),IF(#REF!="დიახ",IF(VLOOKUP(B127,M!$B$6:$I$733,8,FALSE)="ლ",VLOOKUP(B127,M!$B$6:$I$733,3,FALSE)*0.001*#REF!*#REF!,IF(VLOOKUP(B127,M!$B$6:$I$733,8,FALSE)="მბ",VLOOKUP(B127,M!$B$6:$I$733,3,FALSE)*0.001*#REF!*#REF!,IF(VLOOKUP(B127,M!$B$6:$I$733,8,FALSE)="აბ",VLOOKUP(B127,M!$B$6:$I$733,3,FALSE)*0.001*#REF!*#REF!,IF(VLOOKUP(B127,M!$B$6:$I$733,8,FALSE)="ინ",VLOOKUP(B127,M!$B$6:$I$733,3,FALSE)*0.001*#REF!*#REF!,IF(VLOOKUP(B127,M!$B$6:$I$733,8,FALSE)="ას",VLOOKUP(B127,M!$B$6:$I$733,3,FALSE)*0.001*#REF!*#REF!,IF(VLOOKUP(B127,M!$B$6:$I$733,8,FALSE)="სხ",VLOOKUP(B127,M!$B$6:$I$733,3,FALSE)*0.001*#REF!*#REF!,IF(VLOOKUP(B127,M!$B$6:$I$733,8,FALSE)="ხმ",VLOOKUP(B127,M!$B$6:$I$733,3,FALSE)*0.001*#REF!*#REF!))))))))),2)</f>
        <v>97.82</v>
      </c>
      <c r="K127" s="112">
        <f t="shared" si="11"/>
        <v>238.68</v>
      </c>
      <c r="L127" s="14">
        <f t="shared" si="12"/>
        <v>238.68</v>
      </c>
      <c r="M127" s="23" t="str">
        <f>(IF(ISNUMBER(MATCH(B127,E!$B$6:$B$197,0)),VLOOKUP(B127,E!$B$6:$E$197,4,FALSE),VLOOKUP(B127,M!$B$6:$I$733,7,FALSE)))</f>
        <v>14-176</v>
      </c>
    </row>
    <row r="128" spans="1:13" ht="39.950000000000003" customHeight="1" x14ac:dyDescent="0.25">
      <c r="A128" s="16" t="s">
        <v>736</v>
      </c>
      <c r="B128" s="2" t="s">
        <v>138</v>
      </c>
      <c r="C128" s="111" t="s">
        <v>28</v>
      </c>
      <c r="D128" s="112">
        <v>0.42080000000000001</v>
      </c>
      <c r="E128" s="14">
        <f>D128*E118</f>
        <v>0.42080000000000001</v>
      </c>
      <c r="F128" s="31" t="e">
        <f>ROUND(VLOOKUP(B128,M!$B$6:$H$733,IF(#REF!="დაბალი",4,IF(#REF!="საშუალო",6,IF(#REF!="მაღალი",5))),FALSE),2)</f>
        <v>#REF!</v>
      </c>
      <c r="G128" s="14" t="e">
        <f t="shared" ref="G128:G134" si="13">ROUND(E128*F128,2)</f>
        <v>#REF!</v>
      </c>
      <c r="H128" s="112"/>
      <c r="I128" s="112"/>
      <c r="J128" s="35" t="e">
        <f>ROUND(IF(ISNUMBER(MATCH(B128,E!$B$6:$B$197,0)),VLOOKUP(B128,E!$B$6:$E$197,2,FALSE),IF(#REF!="დიახ",IF(VLOOKUP(B128,M!$B$6:$I$733,8,FALSE)="ლ",VLOOKUP(B128,M!$B$6:$I$733,3,FALSE)*0.001*#REF!*#REF!,IF(VLOOKUP(B128,M!$B$6:$I$733,8,FALSE)="მბ",VLOOKUP(B128,M!$B$6:$I$733,3,FALSE)*0.001*#REF!*#REF!,IF(VLOOKUP(B128,M!$B$6:$I$733,8,FALSE)="აბ",VLOOKUP(B128,M!$B$6:$I$733,3,FALSE)*0.001*#REF!*#REF!,IF(VLOOKUP(B128,M!$B$6:$I$733,8,FALSE)="ინ",VLOOKUP(B128,M!$B$6:$I$733,3,FALSE)*0.001*#REF!*#REF!,IF(VLOOKUP(B128,M!$B$6:$I$733,8,FALSE)="ას",VLOOKUP(B128,M!$B$6:$I$733,3,FALSE)*0.001*#REF!*#REF!,IF(VLOOKUP(B128,M!$B$6:$I$733,8,FALSE)="სხ",VLOOKUP(B128,M!$B$6:$I$733,3,FALSE)*0.001*#REF!*#REF!,IF(VLOOKUP(B128,M!$B$6:$I$733,8,FALSE)="ხმ",VLOOKUP(B128,M!$B$6:$I$733,3,FALSE)*0.001*#REF!*#REF!))))))))),2)</f>
        <v>#REF!</v>
      </c>
      <c r="K128" s="112" t="e">
        <f t="shared" si="11"/>
        <v>#REF!</v>
      </c>
      <c r="L128" s="14" t="e">
        <f t="shared" si="12"/>
        <v>#REF!</v>
      </c>
      <c r="M128" s="23" t="str">
        <f>(IF(ISNUMBER(MATCH(B128,E!$B$6:$B$197,0)),VLOOKUP(B128,E!$B$6:$E$197,4,FALSE),VLOOKUP(B128,M!$B$6:$I$733,7,FALSE)))</f>
        <v>1.10-15</v>
      </c>
    </row>
    <row r="129" spans="1:14" ht="39.950000000000003" customHeight="1" x14ac:dyDescent="0.25">
      <c r="A129" s="16" t="s">
        <v>737</v>
      </c>
      <c r="B129" s="2" t="s">
        <v>147</v>
      </c>
      <c r="C129" s="111" t="s">
        <v>595</v>
      </c>
      <c r="D129" s="112">
        <v>1.1999999999999999E-3</v>
      </c>
      <c r="E129" s="14">
        <f>D129*E118</f>
        <v>1.1999999999999999E-3</v>
      </c>
      <c r="F129" s="31" t="e">
        <f>ROUND(VLOOKUP(B129,M!$B$6:$H$733,IF(#REF!="დაბალი",4,IF(#REF!="საშუალო",6,IF(#REF!="მაღალი",5))),FALSE),2)</f>
        <v>#REF!</v>
      </c>
      <c r="G129" s="14" t="e">
        <f t="shared" si="13"/>
        <v>#REF!</v>
      </c>
      <c r="H129" s="112"/>
      <c r="I129" s="112"/>
      <c r="J129" s="35" t="e">
        <f>ROUND(IF(ISNUMBER(MATCH(B129,E!$B$6:$B$197,0)),VLOOKUP(B129,E!$B$6:$E$197,2,FALSE),IF(#REF!="დიახ",IF(VLOOKUP(B129,M!$B$6:$I$733,8,FALSE)="ლ",VLOOKUP(B129,M!$B$6:$I$733,3,FALSE)*0.001*#REF!*#REF!,IF(VLOOKUP(B129,M!$B$6:$I$733,8,FALSE)="მბ",VLOOKUP(B129,M!$B$6:$I$733,3,FALSE)*0.001*#REF!*#REF!,IF(VLOOKUP(B129,M!$B$6:$I$733,8,FALSE)="აბ",VLOOKUP(B129,M!$B$6:$I$733,3,FALSE)*0.001*#REF!*#REF!,IF(VLOOKUP(B129,M!$B$6:$I$733,8,FALSE)="ინ",VLOOKUP(B129,M!$B$6:$I$733,3,FALSE)*0.001*#REF!*#REF!,IF(VLOOKUP(B129,M!$B$6:$I$733,8,FALSE)="ას",VLOOKUP(B129,M!$B$6:$I$733,3,FALSE)*0.001*#REF!*#REF!,IF(VLOOKUP(B129,M!$B$6:$I$733,8,FALSE)="სხ",VLOOKUP(B129,M!$B$6:$I$733,3,FALSE)*0.001*#REF!*#REF!,IF(VLOOKUP(B129,M!$B$6:$I$733,8,FALSE)="ხმ",VLOOKUP(B129,M!$B$6:$I$733,3,FALSE)*0.001*#REF!*#REF!))))))))),2)</f>
        <v>#REF!</v>
      </c>
      <c r="K129" s="112" t="e">
        <f t="shared" si="11"/>
        <v>#REF!</v>
      </c>
      <c r="L129" s="14" t="e">
        <f t="shared" si="12"/>
        <v>#REF!</v>
      </c>
      <c r="M129" s="23" t="str">
        <f>(IF(ISNUMBER(MATCH(B129,E!$B$6:$B$197,0)),VLOOKUP(B129,E!$B$6:$E$197,4,FALSE),VLOOKUP(B129,M!$B$6:$I$733,7,FALSE)))</f>
        <v>2.1-128</v>
      </c>
    </row>
    <row r="130" spans="1:14" ht="39.950000000000003" customHeight="1" x14ac:dyDescent="0.25">
      <c r="A130" s="16" t="s">
        <v>861</v>
      </c>
      <c r="B130" s="2" t="s">
        <v>151</v>
      </c>
      <c r="C130" s="111" t="s">
        <v>9</v>
      </c>
      <c r="D130" s="112" t="s">
        <v>827</v>
      </c>
      <c r="E130" s="14">
        <v>0</v>
      </c>
      <c r="F130" s="31" t="e">
        <f>ROUND(VLOOKUP(B130,M!$B$6:$H$733,IF(#REF!="დაბალი",4,IF(#REF!="საშუალო",6,IF(#REF!="მაღალი",5))),FALSE),2)</f>
        <v>#REF!</v>
      </c>
      <c r="G130" s="14" t="e">
        <f t="shared" si="13"/>
        <v>#REF!</v>
      </c>
      <c r="H130" s="112"/>
      <c r="I130" s="112"/>
      <c r="J130" s="35" t="e">
        <f>ROUND(IF(ISNUMBER(MATCH(B130,E!$B$6:$B$197,0)),VLOOKUP(B130,E!$B$6:$E$197,2,FALSE),IF(#REF!="დიახ",IF(VLOOKUP(B130,M!$B$6:$I$733,8,FALSE)="ლ",VLOOKUP(B130,M!$B$6:$I$733,3,FALSE)*0.001*#REF!*#REF!,IF(VLOOKUP(B130,M!$B$6:$I$733,8,FALSE)="მბ",VLOOKUP(B130,M!$B$6:$I$733,3,FALSE)*0.001*#REF!*#REF!,IF(VLOOKUP(B130,M!$B$6:$I$733,8,FALSE)="აბ",VLOOKUP(B130,M!$B$6:$I$733,3,FALSE)*0.001*#REF!*#REF!,IF(VLOOKUP(B130,M!$B$6:$I$733,8,FALSE)="ინ",VLOOKUP(B130,M!$B$6:$I$733,3,FALSE)*0.001*#REF!*#REF!,IF(VLOOKUP(B130,M!$B$6:$I$733,8,FALSE)="ას",VLOOKUP(B130,M!$B$6:$I$733,3,FALSE)*0.001*#REF!*#REF!,IF(VLOOKUP(B130,M!$B$6:$I$733,8,FALSE)="სხ",VLOOKUP(B130,M!$B$6:$I$733,3,FALSE)*0.001*#REF!*#REF!,IF(VLOOKUP(B130,M!$B$6:$I$733,8,FALSE)="ხმ",VLOOKUP(B130,M!$B$6:$I$733,3,FALSE)*0.001*#REF!*#REF!))))))))),2)</f>
        <v>#REF!</v>
      </c>
      <c r="K130" s="112" t="e">
        <f t="shared" si="11"/>
        <v>#REF!</v>
      </c>
      <c r="L130" s="14" t="e">
        <f t="shared" si="12"/>
        <v>#REF!</v>
      </c>
      <c r="M130" s="23" t="str">
        <f>(IF(ISNUMBER(MATCH(B130,E!$B$6:$B$197,0)),VLOOKUP(B130,E!$B$6:$E$197,4,FALSE),VLOOKUP(B130,M!$B$6:$I$733,7,FALSE)))</f>
        <v>2.1-132</v>
      </c>
    </row>
    <row r="131" spans="1:14" ht="39.950000000000003" customHeight="1" x14ac:dyDescent="0.25">
      <c r="A131" s="16" t="s">
        <v>863</v>
      </c>
      <c r="B131" s="2" t="s">
        <v>128</v>
      </c>
      <c r="C131" s="111" t="s">
        <v>28</v>
      </c>
      <c r="D131" s="112">
        <v>0.84930000000000005</v>
      </c>
      <c r="E131" s="14">
        <f>D131*E118</f>
        <v>0.84930000000000005</v>
      </c>
      <c r="F131" s="31" t="e">
        <f>ROUND(VLOOKUP(B131,M!$B$6:$H$733,IF(#REF!="დაბალი",4,IF(#REF!="საშუალო",6,IF(#REF!="მაღალი",5))),FALSE),2)</f>
        <v>#REF!</v>
      </c>
      <c r="G131" s="14" t="e">
        <f t="shared" si="13"/>
        <v>#REF!</v>
      </c>
      <c r="H131" s="112"/>
      <c r="I131" s="112"/>
      <c r="J131" s="35" t="e">
        <f>ROUND(IF(ISNUMBER(MATCH(B131,E!$B$6:$B$197,0)),VLOOKUP(B131,E!$B$6:$E$197,2,FALSE),IF(#REF!="დიახ",IF(VLOOKUP(B131,M!$B$6:$I$733,8,FALSE)="ლ",VLOOKUP(B131,M!$B$6:$I$733,3,FALSE)*0.001*#REF!*#REF!,IF(VLOOKUP(B131,M!$B$6:$I$733,8,FALSE)="მბ",VLOOKUP(B131,M!$B$6:$I$733,3,FALSE)*0.001*#REF!*#REF!,IF(VLOOKUP(B131,M!$B$6:$I$733,8,FALSE)="აბ",VLOOKUP(B131,M!$B$6:$I$733,3,FALSE)*0.001*#REF!*#REF!,IF(VLOOKUP(B131,M!$B$6:$I$733,8,FALSE)="ინ",VLOOKUP(B131,M!$B$6:$I$733,3,FALSE)*0.001*#REF!*#REF!,IF(VLOOKUP(B131,M!$B$6:$I$733,8,FALSE)="ას",VLOOKUP(B131,M!$B$6:$I$733,3,FALSE)*0.001*#REF!*#REF!,IF(VLOOKUP(B131,M!$B$6:$I$733,8,FALSE)="სხ",VLOOKUP(B131,M!$B$6:$I$733,3,FALSE)*0.001*#REF!*#REF!,IF(VLOOKUP(B131,M!$B$6:$I$733,8,FALSE)="ხმ",VLOOKUP(B131,M!$B$6:$I$733,3,FALSE)*0.001*#REF!*#REF!))))))))),2)</f>
        <v>#REF!</v>
      </c>
      <c r="K131" s="112" t="e">
        <f t="shared" si="11"/>
        <v>#REF!</v>
      </c>
      <c r="L131" s="14" t="e">
        <f t="shared" si="12"/>
        <v>#REF!</v>
      </c>
      <c r="M131" s="23" t="str">
        <f>(IF(ISNUMBER(MATCH(B131,E!$B$6:$B$197,0)),VLOOKUP(B131,E!$B$6:$E$197,4,FALSE),VLOOKUP(B131,M!$B$6:$I$733,7,FALSE)))</f>
        <v>1.9-68</v>
      </c>
    </row>
    <row r="132" spans="1:14" ht="39.950000000000003" customHeight="1" x14ac:dyDescent="0.25">
      <c r="A132" s="16" t="s">
        <v>865</v>
      </c>
      <c r="B132" s="111" t="s">
        <v>693</v>
      </c>
      <c r="C132" s="2" t="s">
        <v>674</v>
      </c>
      <c r="D132" s="112">
        <v>0.53080000000000005</v>
      </c>
      <c r="E132" s="14">
        <f>D132*E118</f>
        <v>0.53080000000000005</v>
      </c>
      <c r="F132" s="31" t="e">
        <f>ROUND(VLOOKUP(B132,M!$B$6:$H$733,IF(#REF!="დაბალი",4,IF(#REF!="საშუალო",6,IF(#REF!="მაღალი",5))),FALSE),2)</f>
        <v>#REF!</v>
      </c>
      <c r="G132" s="112" t="e">
        <f t="shared" si="13"/>
        <v>#REF!</v>
      </c>
      <c r="H132" s="112"/>
      <c r="I132" s="112"/>
      <c r="J132" s="35" t="e">
        <f>ROUND(IF(ISNUMBER(MATCH(B132,E!$B$6:$B$197,0)),VLOOKUP(B132,E!$B$6:$E$197,2,FALSE),IF(#REF!="დიახ",IF(VLOOKUP(B132,M!$B$6:$I$733,8,FALSE)="ლ",VLOOKUP(B132,M!$B$6:$I$733,3,FALSE)*0.001*#REF!*#REF!,IF(VLOOKUP(B132,M!$B$6:$I$733,8,FALSE)="მბ",VLOOKUP(B132,M!$B$6:$I$733,3,FALSE)*0.001*#REF!*#REF!,IF(VLOOKUP(B132,M!$B$6:$I$733,8,FALSE)="აბ",VLOOKUP(B132,M!$B$6:$I$733,3,FALSE)*0.001*#REF!*#REF!,IF(VLOOKUP(B132,M!$B$6:$I$733,8,FALSE)="ინ",VLOOKUP(B132,M!$B$6:$I$733,3,FALSE)*0.001*#REF!*#REF!,IF(VLOOKUP(B132,M!$B$6:$I$733,8,FALSE)="ას",VLOOKUP(B132,M!$B$6:$I$733,3,FALSE)*0.001*#REF!*#REF!,IF(VLOOKUP(B132,M!$B$6:$I$733,8,FALSE)="სხ",VLOOKUP(B132,M!$B$6:$I$733,3,FALSE)*0.001*#REF!*#REF!,IF(VLOOKUP(B132,M!$B$6:$I$733,8,FALSE)="ხმ",VLOOKUP(B132,M!$B$6:$I$733,3,FALSE)*0.001*#REF!*#REF!))))))))),2)</f>
        <v>#REF!</v>
      </c>
      <c r="K132" s="112"/>
      <c r="L132" s="14" t="e">
        <f t="shared" si="12"/>
        <v>#REF!</v>
      </c>
      <c r="M132" s="23" t="str">
        <f>(IF(ISNUMBER(MATCH(B132,E!$B$6:$B$197,0)),VLOOKUP(B132,E!$B$6:$E$197,4,FALSE),VLOOKUP(B132,M!$B$6:$I$733,7,FALSE)))</f>
        <v>საბ.</v>
      </c>
    </row>
    <row r="133" spans="1:14" ht="39.950000000000003" customHeight="1" x14ac:dyDescent="0.25">
      <c r="A133" s="16" t="s">
        <v>866</v>
      </c>
      <c r="B133" s="2" t="s">
        <v>801</v>
      </c>
      <c r="C133" s="2" t="s">
        <v>674</v>
      </c>
      <c r="D133" s="112">
        <v>1.02</v>
      </c>
      <c r="E133" s="14">
        <f>D133*E118</f>
        <v>1.02</v>
      </c>
      <c r="F133" s="31" t="e">
        <f>ROUND(VLOOKUP(B133,M!$B$6:$H$733,IF(#REF!="დაბალი",4,IF(#REF!="საშუალო",6,IF(#REF!="მაღალი",5))),FALSE),2)</f>
        <v>#REF!</v>
      </c>
      <c r="G133" s="112" t="e">
        <f t="shared" si="13"/>
        <v>#REF!</v>
      </c>
      <c r="H133" s="112"/>
      <c r="I133" s="112"/>
      <c r="J133" s="35" t="e">
        <f>ROUND(IF(ISNUMBER(MATCH(B133,E!$B$6:$B$197,0)),VLOOKUP(B133,E!$B$6:$E$197,2,FALSE),IF(#REF!="დიახ",IF(VLOOKUP(B133,M!$B$6:$I$733,8,FALSE)="ლ",VLOOKUP(B133,M!$B$6:$I$733,3,FALSE)*0.001*#REF!*#REF!,IF(VLOOKUP(B133,M!$B$6:$I$733,8,FALSE)="მბ",VLOOKUP(B133,M!$B$6:$I$733,3,FALSE)*0.001*#REF!*#REF!,IF(VLOOKUP(B133,M!$B$6:$I$733,8,FALSE)="აბ",VLOOKUP(B133,M!$B$6:$I$733,3,FALSE)*0.001*#REF!*#REF!,IF(VLOOKUP(B133,M!$B$6:$I$733,8,FALSE)="ინ",VLOOKUP(B133,M!$B$6:$I$733,3,FALSE)*0.001*#REF!*#REF!,IF(VLOOKUP(B133,M!$B$6:$I$733,8,FALSE)="ას",VLOOKUP(B133,M!$B$6:$I$733,3,FALSE)*0.001*#REF!*#REF!,IF(VLOOKUP(B133,M!$B$6:$I$733,8,FALSE)="სხ",VLOOKUP(B133,M!$B$6:$I$733,3,FALSE)*0.001*#REF!*#REF!,IF(VLOOKUP(B133,M!$B$6:$I$733,8,FALSE)="ხმ",VLOOKUP(B133,M!$B$6:$I$733,3,FALSE)*0.001*#REF!*#REF!))))))))),2)</f>
        <v>#REF!</v>
      </c>
      <c r="K133" s="112" t="e">
        <f t="shared" si="11"/>
        <v>#REF!</v>
      </c>
      <c r="L133" s="14" t="e">
        <f t="shared" si="12"/>
        <v>#REF!</v>
      </c>
      <c r="M133" s="23" t="str">
        <f>(IF(ISNUMBER(MATCH(B133,E!$B$6:$B$197,0)),VLOOKUP(B133,E!$B$6:$E$197,4,FALSE),VLOOKUP(B133,M!$B$6:$I$733,7,FALSE)))</f>
        <v>4.1-345</v>
      </c>
    </row>
    <row r="134" spans="1:14" ht="39.950000000000003" customHeight="1" x14ac:dyDescent="0.25">
      <c r="A134" s="16" t="s">
        <v>869</v>
      </c>
      <c r="B134" s="2" t="s">
        <v>21</v>
      </c>
      <c r="C134" s="111" t="s">
        <v>9</v>
      </c>
      <c r="D134" s="112" t="s">
        <v>827</v>
      </c>
      <c r="E134" s="125">
        <v>0</v>
      </c>
      <c r="F134" s="31" t="e">
        <f>ROUND(VLOOKUP(B134,M!$B$6:$H$733,IF(#REF!="დაბალი",4,IF(#REF!="საშუალო",6,IF(#REF!="მაღალი",5))),FALSE),2)</f>
        <v>#REF!</v>
      </c>
      <c r="G134" s="112" t="e">
        <f t="shared" si="13"/>
        <v>#REF!</v>
      </c>
      <c r="H134" s="112"/>
      <c r="I134" s="112"/>
      <c r="J134" s="35" t="e">
        <f>ROUND(IF(ISNUMBER(MATCH(B134,E!$B$6:$B$197,0)),VLOOKUP(B134,E!$B$6:$E$197,2,FALSE),IF(#REF!="დიახ",IF(VLOOKUP(B134,M!$B$6:$I$733,8,FALSE)="ლ",VLOOKUP(B134,M!$B$6:$I$733,3,FALSE)*0.001*#REF!*#REF!,IF(VLOOKUP(B134,M!$B$6:$I$733,8,FALSE)="მბ",VLOOKUP(B134,M!$B$6:$I$733,3,FALSE)*0.001*#REF!*#REF!,IF(VLOOKUP(B134,M!$B$6:$I$733,8,FALSE)="აბ",VLOOKUP(B134,M!$B$6:$I$733,3,FALSE)*0.001*#REF!*#REF!,IF(VLOOKUP(B134,M!$B$6:$I$733,8,FALSE)="ინ",VLOOKUP(B134,M!$B$6:$I$733,3,FALSE)*0.001*#REF!*#REF!,IF(VLOOKUP(B134,M!$B$6:$I$733,8,FALSE)="ას",VLOOKUP(B134,M!$B$6:$I$733,3,FALSE)*0.001*#REF!*#REF!,IF(VLOOKUP(B134,M!$B$6:$I$733,8,FALSE)="სხ",VLOOKUP(B134,M!$B$6:$I$733,3,FALSE)*0.001*#REF!*#REF!,IF(VLOOKUP(B134,M!$B$6:$I$733,8,FALSE)="ხმ",VLOOKUP(B134,M!$B$6:$I$733,3,FALSE)*0.001*#REF!*#REF!))))))))),2)</f>
        <v>#REF!</v>
      </c>
      <c r="K134" s="112" t="e">
        <f t="shared" si="11"/>
        <v>#REF!</v>
      </c>
      <c r="L134" s="14" t="e">
        <f t="shared" si="12"/>
        <v>#REF!</v>
      </c>
      <c r="M134" s="23" t="str">
        <f>(IF(ISNUMBER(MATCH(B134,E!$B$6:$B$197,0)),VLOOKUP(B134,E!$B$6:$E$197,4,FALSE),VLOOKUP(B134,M!$B$6:$I$733,7,FALSE)))</f>
        <v>1.1-12</v>
      </c>
    </row>
    <row r="135" spans="1:14" ht="39.950000000000003" customHeight="1" x14ac:dyDescent="0.25">
      <c r="A135" s="16"/>
      <c r="B135" s="17"/>
      <c r="C135" s="2"/>
      <c r="D135" s="2"/>
      <c r="E135" s="14"/>
      <c r="F135" s="13"/>
      <c r="G135" s="13"/>
      <c r="H135" s="27"/>
      <c r="I135" s="14"/>
      <c r="J135" s="31"/>
      <c r="K135" s="31"/>
      <c r="L135" s="14"/>
      <c r="M135" s="23"/>
    </row>
    <row r="136" spans="1:14" ht="39.950000000000003" customHeight="1" x14ac:dyDescent="0.25">
      <c r="A136" s="16"/>
      <c r="B136" s="2"/>
      <c r="C136" s="2"/>
      <c r="D136" s="2"/>
      <c r="E136" s="14"/>
      <c r="F136" s="13"/>
      <c r="G136" s="13"/>
      <c r="H136" s="13"/>
      <c r="I136" s="13"/>
      <c r="J136" s="35"/>
      <c r="K136" s="31"/>
      <c r="L136" s="14"/>
      <c r="M136" s="23"/>
    </row>
    <row r="137" spans="1:14" ht="39.950000000000003" customHeight="1" x14ac:dyDescent="0.25">
      <c r="A137" s="16"/>
      <c r="B137" s="17"/>
      <c r="C137" s="2"/>
      <c r="D137" s="2"/>
      <c r="E137" s="14"/>
      <c r="F137" s="13"/>
      <c r="G137" s="13"/>
      <c r="H137" s="13"/>
      <c r="I137" s="13"/>
      <c r="J137" s="35"/>
      <c r="K137" s="31"/>
      <c r="L137" s="14"/>
      <c r="M137" s="23"/>
    </row>
    <row r="138" spans="1:14" ht="80.099999999999994" customHeight="1" x14ac:dyDescent="0.25">
      <c r="A138" s="34">
        <v>6</v>
      </c>
      <c r="B138" s="33" t="s">
        <v>608</v>
      </c>
      <c r="C138" s="10"/>
      <c r="D138" s="10"/>
      <c r="E138" s="10"/>
      <c r="F138" s="30"/>
      <c r="G138" s="10"/>
      <c r="H138" s="26"/>
      <c r="I138" s="10"/>
      <c r="J138" s="30"/>
      <c r="K138" s="30"/>
      <c r="L138" s="11"/>
      <c r="M138" s="22"/>
    </row>
    <row r="139" spans="1:14" s="45" customFormat="1" ht="39.950000000000003" customHeight="1" x14ac:dyDescent="0.25">
      <c r="A139" s="39">
        <v>1.1000000000000001</v>
      </c>
      <c r="B139" s="40" t="s">
        <v>805</v>
      </c>
      <c r="C139" s="41" t="s">
        <v>712</v>
      </c>
      <c r="D139" s="41"/>
      <c r="E139" s="52">
        <v>100</v>
      </c>
      <c r="F139" s="42"/>
      <c r="G139" s="42"/>
      <c r="H139" s="41"/>
      <c r="I139" s="41"/>
      <c r="J139" s="35"/>
      <c r="K139" s="46"/>
      <c r="L139" s="43" t="e">
        <f>SUM(L140:L143)</f>
        <v>#REF!</v>
      </c>
      <c r="M139" s="57" t="s">
        <v>804</v>
      </c>
    </row>
    <row r="140" spans="1:14" ht="39.950000000000003" customHeight="1" x14ac:dyDescent="0.25">
      <c r="A140" s="16" t="s">
        <v>668</v>
      </c>
      <c r="B140" s="17" t="s">
        <v>669</v>
      </c>
      <c r="C140" s="2" t="s">
        <v>670</v>
      </c>
      <c r="D140" s="2">
        <v>137</v>
      </c>
      <c r="E140" s="14">
        <f>D140*E139/100</f>
        <v>137</v>
      </c>
      <c r="F140" s="13"/>
      <c r="G140" s="13"/>
      <c r="H140" s="27">
        <f>IF((ISNUMBER(--LEFT(M139,2))),VLOOKUP(--LEFT(M139,2),N!$A$5:$C$54,3,FALSE),VLOOKUP(--LEFT(M139,1),N!$A$5:$C$54,3,FALSE))</f>
        <v>6</v>
      </c>
      <c r="I140" s="14">
        <f>ROUND(E140*H140,2)</f>
        <v>822</v>
      </c>
      <c r="J140" s="35">
        <f>ROUND(IF(ISNUMBER(MATCH(B140,E!$B$6:$B$197,0)),VLOOKUP(B140,E!$B$6:$E$197,2,FALSE),IF(#REF!="დიახ",IF(VLOOKUP(B140,M!$B$6:$I$733,8,FALSE)="ლ",VLOOKUP(B140,M!$B$6:$I$733,3,FALSE)*0.001*#REF!*#REF!,IF(VLOOKUP(B140,M!$B$6:$I$733,8,FALSE)="მბ",VLOOKUP(B140,M!$B$6:$I$733,3,FALSE)*0.001*#REF!*#REF!,IF(VLOOKUP(B140,M!$B$6:$I$733,8,FALSE)="აბ",VLOOKUP(B140,M!$B$6:$I$733,3,FALSE)*0.001*#REF!*#REF!,IF(VLOOKUP(B140,M!$B$6:$I$733,8,FALSE)="ინ",VLOOKUP(B140,M!$B$6:$I$733,3,FALSE)*0.001*#REF!*#REF!,IF(VLOOKUP(B140,M!$B$6:$I$733,8,FALSE)="ას",VLOOKUP(B140,M!$B$6:$I$733,3,FALSE)*0.001*#REF!*#REF!,IF(VLOOKUP(B140,M!$B$6:$I$733,8,FALSE)="სხ",VLOOKUP(B140,M!$B$6:$I$733,3,FALSE)*0.001*#REF!*#REF!,IF(VLOOKUP(B140,M!$B$6:$I$733,8,FALSE)="ხმ",VLOOKUP(B140,M!$B$6:$I$733,3,FALSE)*0.001*#REF!*#REF!))))))))),2)</f>
        <v>0</v>
      </c>
      <c r="K140" s="31"/>
      <c r="L140" s="14">
        <f>G140+I140+K140</f>
        <v>822</v>
      </c>
      <c r="M140" s="23" t="str">
        <f>(IF(ISNUMBER(MATCH(B140,E!$B$6:$B$197,0)),VLOOKUP(B140,E!$B$6:$E$197,4,FALSE),VLOOKUP(B140,M!$B$6:$I$733,7,FALSE)))</f>
        <v>მ.ც</v>
      </c>
    </row>
    <row r="141" spans="1:14" ht="39.950000000000003" customHeight="1" x14ac:dyDescent="0.25">
      <c r="A141" s="16" t="s">
        <v>671</v>
      </c>
      <c r="B141" s="17" t="s">
        <v>654</v>
      </c>
      <c r="C141" s="2" t="s">
        <v>393</v>
      </c>
      <c r="D141" s="2">
        <v>28.3</v>
      </c>
      <c r="E141" s="14">
        <f>D141*E139/100</f>
        <v>28.3</v>
      </c>
      <c r="F141" s="13"/>
      <c r="G141" s="13"/>
      <c r="H141" s="13"/>
      <c r="I141" s="13"/>
      <c r="J141" s="35">
        <f>ROUND(IF(ISNUMBER(MATCH(B141,E!$B$6:$B$197,0)),VLOOKUP(B141,E!$B$6:$E$197,2,FALSE),IF(#REF!="დიახ",IF(VLOOKUP(B141,M!$B$6:$I$733,8,FALSE)="ლ",VLOOKUP(B141,M!$B$6:$I$733,3,FALSE)*0.001*#REF!*#REF!,IF(VLOOKUP(B141,M!$B$6:$I$733,8,FALSE)="მბ",VLOOKUP(B141,M!$B$6:$I$733,3,FALSE)*0.001*#REF!*#REF!,IF(VLOOKUP(B141,M!$B$6:$I$733,8,FALSE)="აბ",VLOOKUP(B141,M!$B$6:$I$733,3,FALSE)*0.001*#REF!*#REF!,IF(VLOOKUP(B141,M!$B$6:$I$733,8,FALSE)="ინ",VLOOKUP(B141,M!$B$6:$I$733,3,FALSE)*0.001*#REF!*#REF!,IF(VLOOKUP(B141,M!$B$6:$I$733,8,FALSE)="ას",VLOOKUP(B141,M!$B$6:$I$733,3,FALSE)*0.001*#REF!*#REF!,IF(VLOOKUP(B141,M!$B$6:$I$733,8,FALSE)="სხ",VLOOKUP(B141,M!$B$6:$I$733,3,FALSE)*0.001*#REF!*#REF!,IF(VLOOKUP(B141,M!$B$6:$I$733,8,FALSE)="ხმ",VLOOKUP(B141,M!$B$6:$I$733,3,FALSE)*0.001*#REF!*#REF!))))))))),2)</f>
        <v>3.2</v>
      </c>
      <c r="K141" s="31">
        <f t="shared" ref="K141:K142" si="14">ROUND(E141*J141,2)</f>
        <v>90.56</v>
      </c>
      <c r="L141" s="14">
        <f>G141+I141+K141</f>
        <v>90.56</v>
      </c>
      <c r="M141" s="23" t="str">
        <f>(IF(ISNUMBER(MATCH(B141,E!$B$6:$B$197,0)),VLOOKUP(B141,E!$B$6:$E$197,4,FALSE),VLOOKUP(B141,M!$B$6:$I$733,7,FALSE)))</f>
        <v>ს.რ.ფ</v>
      </c>
    </row>
    <row r="142" spans="1:14" ht="39.950000000000003" customHeight="1" x14ac:dyDescent="0.25">
      <c r="A142" s="16" t="s">
        <v>673</v>
      </c>
      <c r="B142" s="2" t="s">
        <v>795</v>
      </c>
      <c r="C142" s="2" t="s">
        <v>674</v>
      </c>
      <c r="D142" s="2">
        <v>101</v>
      </c>
      <c r="E142" s="14">
        <f>D142*E139/100</f>
        <v>101</v>
      </c>
      <c r="F142" s="31" t="e">
        <f>ROUND(VLOOKUP(B142,M!$B$6:$H$733,IF(#REF!="დაბალი",4,IF(#REF!="საშუალო",6,IF(#REF!="მაღალი",5))),FALSE),2)</f>
        <v>#REF!</v>
      </c>
      <c r="G142" s="14" t="e">
        <f>ROUND(E142*F142,2)</f>
        <v>#REF!</v>
      </c>
      <c r="H142" s="2"/>
      <c r="I142" s="2"/>
      <c r="J142" s="35" t="e">
        <f>ROUND(IF(ISNUMBER(MATCH(B142,E!$B$6:$B$197,0)),VLOOKUP(B142,E!$B$6:$E$197,2,FALSE),IF(#REF!="დიახ",IF(VLOOKUP(B142,M!$B$6:$I$733,8,FALSE)="ლ",VLOOKUP(B142,M!$B$6:$I$733,3,FALSE)*0.001*#REF!*#REF!,IF(VLOOKUP(B142,M!$B$6:$I$733,8,FALSE)="მბ",VLOOKUP(B142,M!$B$6:$I$733,3,FALSE)*0.001*#REF!*#REF!,IF(VLOOKUP(B142,M!$B$6:$I$733,8,FALSE)="აბ",VLOOKUP(B142,M!$B$6:$I$733,3,FALSE)*0.001*#REF!*#REF!,IF(VLOOKUP(B142,M!$B$6:$I$733,8,FALSE)="ინ",VLOOKUP(B142,M!$B$6:$I$733,3,FALSE)*0.001*#REF!*#REF!,IF(VLOOKUP(B142,M!$B$6:$I$733,8,FALSE)="ას",VLOOKUP(B142,M!$B$6:$I$733,3,FALSE)*0.001*#REF!*#REF!,IF(VLOOKUP(B142,M!$B$6:$I$733,8,FALSE)="სხ",VLOOKUP(B142,M!$B$6:$I$733,3,FALSE)*0.001*#REF!*#REF!,IF(VLOOKUP(B142,M!$B$6:$I$733,8,FALSE)="ხმ",VLOOKUP(B142,M!$B$6:$I$733,3,FALSE)*0.001*#REF!*#REF!))))))))),2)</f>
        <v>#REF!</v>
      </c>
      <c r="K142" s="31" t="e">
        <f t="shared" si="14"/>
        <v>#REF!</v>
      </c>
      <c r="L142" s="14" t="e">
        <f>G142+I142+K142</f>
        <v>#REF!</v>
      </c>
      <c r="M142" s="23" t="str">
        <f>(IF(ISNUMBER(MATCH(B142,E!$B$6:$B$197,0)),VLOOKUP(B142,E!$B$6:$E$197,4,FALSE),VLOOKUP(B142,M!$B$6:$I$733,7,FALSE)))</f>
        <v>4.1-339</v>
      </c>
    </row>
    <row r="143" spans="1:14" ht="39.950000000000003" customHeight="1" x14ac:dyDescent="0.25">
      <c r="A143" s="16" t="s">
        <v>675</v>
      </c>
      <c r="B143" s="17" t="s">
        <v>677</v>
      </c>
      <c r="C143" s="2" t="s">
        <v>393</v>
      </c>
      <c r="D143" s="2">
        <v>62</v>
      </c>
      <c r="E143" s="14">
        <f>D143*E139/100</f>
        <v>62</v>
      </c>
      <c r="F143" s="31" t="e">
        <f>ROUND(VLOOKUP(B143,M!$B$6:$H$733,IF(#REF!="დაბალი",4,IF(#REF!="საშუალო",6,IF(#REF!="მაღალი",5))),FALSE),2)</f>
        <v>#REF!</v>
      </c>
      <c r="G143" s="14" t="e">
        <f>ROUND(E143*F143,2)</f>
        <v>#REF!</v>
      </c>
      <c r="H143" s="13"/>
      <c r="I143" s="13"/>
      <c r="J143" s="35" t="e">
        <f>ROUND(IF(ISNUMBER(MATCH(B143,E!$B$6:$B$197,0)),VLOOKUP(B143,E!$B$6:$E$197,2,FALSE),IF(#REF!="დიახ",IF(VLOOKUP(B143,M!$B$6:$I$733,8,FALSE)="ლ",VLOOKUP(B143,M!$B$6:$I$733,3,FALSE)*0.001*#REF!*#REF!,IF(VLOOKUP(B143,M!$B$6:$I$733,8,FALSE)="მბ",VLOOKUP(B143,M!$B$6:$I$733,3,FALSE)*0.001*#REF!*#REF!,IF(VLOOKUP(B143,M!$B$6:$I$733,8,FALSE)="აბ",VLOOKUP(B143,M!$B$6:$I$733,3,FALSE)*0.001*#REF!*#REF!,IF(VLOOKUP(B143,M!$B$6:$I$733,8,FALSE)="ინ",VLOOKUP(B143,M!$B$6:$I$733,3,FALSE)*0.001*#REF!*#REF!,IF(VLOOKUP(B143,M!$B$6:$I$733,8,FALSE)="ას",VLOOKUP(B143,M!$B$6:$I$733,3,FALSE)*0.001*#REF!*#REF!,IF(VLOOKUP(B143,M!$B$6:$I$733,8,FALSE)="სხ",VLOOKUP(B143,M!$B$6:$I$733,3,FALSE)*0.001*#REF!*#REF!,IF(VLOOKUP(B143,M!$B$6:$I$733,8,FALSE)="ხმ",VLOOKUP(B143,M!$B$6:$I$733,3,FALSE)*0.001*#REF!*#REF!))))))))),2)</f>
        <v>#REF!</v>
      </c>
      <c r="K143" s="31"/>
      <c r="L143" s="14" t="e">
        <f>G143+I143+K143</f>
        <v>#REF!</v>
      </c>
      <c r="M143" s="23" t="str">
        <f>(IF(ISNUMBER(MATCH(B143,E!$B$6:$B$197,0)),VLOOKUP(B143,E!$B$6:$E$197,4,FALSE),VLOOKUP(B143,M!$B$6:$I$733,7,FALSE)))</f>
        <v>ს.რ.ფ</v>
      </c>
    </row>
    <row r="144" spans="1:14" s="45" customFormat="1" ht="39.950000000000003" customHeight="1" x14ac:dyDescent="0.25">
      <c r="A144" s="39">
        <v>1.1000000000000001</v>
      </c>
      <c r="B144" s="40" t="s">
        <v>1062</v>
      </c>
      <c r="C144" s="41" t="s">
        <v>712</v>
      </c>
      <c r="D144" s="41"/>
      <c r="E144" s="52">
        <v>100</v>
      </c>
      <c r="F144" s="42"/>
      <c r="G144" s="42"/>
      <c r="H144" s="41"/>
      <c r="I144" s="41"/>
      <c r="J144" s="41"/>
      <c r="K144" s="41"/>
      <c r="L144" s="43" t="e">
        <f>SUM(L145:L150)</f>
        <v>#REF!</v>
      </c>
      <c r="M144" s="57" t="s">
        <v>1063</v>
      </c>
      <c r="N144" s="68"/>
    </row>
    <row r="145" spans="1:14" ht="39.950000000000003" customHeight="1" x14ac:dyDescent="0.25">
      <c r="A145" s="16" t="s">
        <v>668</v>
      </c>
      <c r="B145" s="17" t="s">
        <v>669</v>
      </c>
      <c r="C145" s="2" t="s">
        <v>670</v>
      </c>
      <c r="D145" s="2">
        <v>286</v>
      </c>
      <c r="E145" s="14">
        <f>D145*E144/100</f>
        <v>286</v>
      </c>
      <c r="F145" s="13"/>
      <c r="G145" s="13"/>
      <c r="H145" s="27">
        <f>IF((ISNUMBER(--LEFT(M144,2))),VLOOKUP(--LEFT(M144,2),N!$A$5:$C$54,3,FALSE),VLOOKUP(--LEFT(M144,1),N!$A$5:$C$54,3,FALSE))</f>
        <v>6</v>
      </c>
      <c r="I145" s="14">
        <f>ROUND(E145*H145,2)</f>
        <v>1716</v>
      </c>
      <c r="J145" s="2"/>
      <c r="K145" s="2"/>
      <c r="L145" s="14">
        <f t="shared" ref="L145:L150" si="15">G145+I145+K145</f>
        <v>1716</v>
      </c>
      <c r="M145" s="23" t="str">
        <f>(IF(ISNUMBER(MATCH(B145,E!$B$6:$B$197,0)),VLOOKUP(B145,E!$B$6:$E$197,4,FALSE),VLOOKUP(B145,M!$B$6:$I$733,7,FALSE)))</f>
        <v>მ.ც</v>
      </c>
    </row>
    <row r="146" spans="1:14" ht="39.950000000000003" customHeight="1" x14ac:dyDescent="0.25">
      <c r="A146" s="16" t="s">
        <v>671</v>
      </c>
      <c r="B146" s="17" t="s">
        <v>654</v>
      </c>
      <c r="C146" s="2" t="s">
        <v>393</v>
      </c>
      <c r="D146" s="2">
        <v>76</v>
      </c>
      <c r="E146" s="14">
        <f>D146*E144/100</f>
        <v>76</v>
      </c>
      <c r="F146" s="13"/>
      <c r="G146" s="13"/>
      <c r="H146" s="13"/>
      <c r="I146" s="13"/>
      <c r="J146" s="35">
        <f>ROUND(IF(ISNUMBER(MATCH(B146,E!$B$6:$B$197,0)),VLOOKUP(B146,E!$B$6:$E$197,2,FALSE),IF(#REF!="დიახ",IF(VLOOKUP(B146,M!$B$6:$I$733,8,FALSE)="ლ",VLOOKUP(B146,M!$B$6:$I$733,3,FALSE)*0.001*#REF!*#REF!,IF(VLOOKUP(B146,M!$B$6:$I$733,8,FALSE)="მბ",VLOOKUP(B146,M!$B$6:$I$733,3,FALSE)*0.001*#REF!*#REF!,IF(VLOOKUP(B146,M!$B$6:$I$733,8,FALSE)="აბ",VLOOKUP(B146,M!$B$6:$I$733,3,FALSE)*0.001*#REF!*#REF!,IF(VLOOKUP(B146,M!$B$6:$I$733,8,FALSE)="ინ",VLOOKUP(B146,M!$B$6:$I$733,3,FALSE)*0.001*#REF!*#REF!,IF(VLOOKUP(B146,M!$B$6:$I$733,8,FALSE)="ას",VLOOKUP(B146,M!$B$6:$I$733,3,FALSE)*0.001*#REF!*#REF!,IF(VLOOKUP(B146,M!$B$6:$I$733,8,FALSE)="სხ",VLOOKUP(B146,M!$B$6:$I$733,3,FALSE)*0.001*#REF!*#REF!,IF(VLOOKUP(B146,M!$B$6:$I$733,8,FALSE)="ხმ",VLOOKUP(B146,M!$B$6:$I$733,3,FALSE)*0.001*#REF!*#REF!))))))))),2)</f>
        <v>3.2</v>
      </c>
      <c r="K146" s="14">
        <f t="shared" ref="K146:K149" si="16">ROUND(E146*J146,2)</f>
        <v>243.2</v>
      </c>
      <c r="L146" s="14">
        <f t="shared" si="15"/>
        <v>243.2</v>
      </c>
      <c r="M146" s="23" t="str">
        <f>(IF(ISNUMBER(MATCH(B146,E!$B$6:$B$197,0)),VLOOKUP(B146,E!$B$6:$E$197,4,FALSE),VLOOKUP(B146,M!$B$6:$I$733,7,FALSE)))</f>
        <v>ს.რ.ფ</v>
      </c>
    </row>
    <row r="147" spans="1:14" ht="39.950000000000003" customHeight="1" x14ac:dyDescent="0.25">
      <c r="A147" s="16" t="s">
        <v>673</v>
      </c>
      <c r="B147" s="2" t="s">
        <v>799</v>
      </c>
      <c r="C147" s="2" t="s">
        <v>674</v>
      </c>
      <c r="D147" s="2">
        <v>102</v>
      </c>
      <c r="E147" s="14">
        <f>D147*E144/100</f>
        <v>102</v>
      </c>
      <c r="F147" s="31" t="e">
        <f>ROUND(VLOOKUP(B147,M!$B$6:$H$733,IF(#REF!="დაბალი",4,IF(#REF!="საშუალო",6,IF(#REF!="მაღალი",5))),FALSE),2)</f>
        <v>#REF!</v>
      </c>
      <c r="G147" s="14" t="e">
        <f>ROUND(E147*F147,2)</f>
        <v>#REF!</v>
      </c>
      <c r="H147" s="2"/>
      <c r="I147" s="2"/>
      <c r="J147" s="35" t="e">
        <f>ROUND(IF(ISNUMBER(MATCH(B147,E!$B$6:$B$197,0)),VLOOKUP(B147,E!$B$6:$E$197,2,FALSE),IF(#REF!="დიახ",IF(VLOOKUP(B147,M!$B$6:$I$733,8,FALSE)="ლ",VLOOKUP(B147,M!$B$6:$I$733,3,FALSE)*0.001*#REF!*#REF!,IF(VLOOKUP(B147,M!$B$6:$I$733,8,FALSE)="მბ",VLOOKUP(B147,M!$B$6:$I$733,3,FALSE)*0.001*#REF!*#REF!,IF(VLOOKUP(B147,M!$B$6:$I$733,8,FALSE)="აბ",VLOOKUP(B147,M!$B$6:$I$733,3,FALSE)*0.001*#REF!*#REF!,IF(VLOOKUP(B147,M!$B$6:$I$733,8,FALSE)="ინ",VLOOKUP(B147,M!$B$6:$I$733,3,FALSE)*0.001*#REF!*#REF!,IF(VLOOKUP(B147,M!$B$6:$I$733,8,FALSE)="ას",VLOOKUP(B147,M!$B$6:$I$733,3,FALSE)*0.001*#REF!*#REF!,IF(VLOOKUP(B147,M!$B$6:$I$733,8,FALSE)="სხ",VLOOKUP(B147,M!$B$6:$I$733,3,FALSE)*0.001*#REF!*#REF!,IF(VLOOKUP(B147,M!$B$6:$I$733,8,FALSE)="ხმ",VLOOKUP(B147,M!$B$6:$I$733,3,FALSE)*0.001*#REF!*#REF!))))))))),2)</f>
        <v>#REF!</v>
      </c>
      <c r="K147" s="14" t="e">
        <f t="shared" si="16"/>
        <v>#REF!</v>
      </c>
      <c r="L147" s="14" t="e">
        <f t="shared" si="15"/>
        <v>#REF!</v>
      </c>
      <c r="M147" s="23" t="str">
        <f>(IF(ISNUMBER(MATCH(B147,E!$B$6:$B$197,0)),VLOOKUP(B147,E!$B$6:$E$197,4,FALSE),VLOOKUP(B147,M!$B$6:$I$733,7,FALSE)))</f>
        <v>4.1-343</v>
      </c>
    </row>
    <row r="148" spans="1:14" ht="39.950000000000003" customHeight="1" x14ac:dyDescent="0.25">
      <c r="A148" s="16" t="s">
        <v>675</v>
      </c>
      <c r="B148" s="2" t="s">
        <v>582</v>
      </c>
      <c r="C148" s="2" t="s">
        <v>814</v>
      </c>
      <c r="D148" s="2">
        <v>80.3</v>
      </c>
      <c r="E148" s="14">
        <f>D148*E144/100</f>
        <v>80.3</v>
      </c>
      <c r="F148" s="31" t="e">
        <f>ROUND(VLOOKUP(B148,M!$B$6:$H$733,IF(#REF!="დაბალი",4,IF(#REF!="საშუალო",6,IF(#REF!="მაღალი",5))),FALSE),2)</f>
        <v>#REF!</v>
      </c>
      <c r="G148" s="14" t="e">
        <f t="shared" ref="G148:G150" si="17">ROUND(E148*F148,2)</f>
        <v>#REF!</v>
      </c>
      <c r="H148" s="13"/>
      <c r="I148" s="13"/>
      <c r="J148" s="35" t="e">
        <f>ROUND(IF(ISNUMBER(MATCH(B148,E!$B$6:$B$197,0)),VLOOKUP(B148,E!$B$6:$E$197,2,FALSE),IF(#REF!="დიახ",IF(VLOOKUP(B148,M!$B$6:$I$733,8,FALSE)="ლ",VLOOKUP(B148,M!$B$6:$I$733,3,FALSE)*0.001*#REF!*#REF!,IF(VLOOKUP(B148,M!$B$6:$I$733,8,FALSE)="მბ",VLOOKUP(B148,M!$B$6:$I$733,3,FALSE)*0.001*#REF!*#REF!,IF(VLOOKUP(B148,M!$B$6:$I$733,8,FALSE)="აბ",VLOOKUP(B148,M!$B$6:$I$733,3,FALSE)*0.001*#REF!*#REF!,IF(VLOOKUP(B148,M!$B$6:$I$733,8,FALSE)="ინ",VLOOKUP(B148,M!$B$6:$I$733,3,FALSE)*0.001*#REF!*#REF!,IF(VLOOKUP(B148,M!$B$6:$I$733,8,FALSE)="ას",VLOOKUP(B148,M!$B$6:$I$733,3,FALSE)*0.001*#REF!*#REF!,IF(VLOOKUP(B148,M!$B$6:$I$733,8,FALSE)="სხ",VLOOKUP(B148,M!$B$6:$I$733,3,FALSE)*0.001*#REF!*#REF!,IF(VLOOKUP(B148,M!$B$6:$I$733,8,FALSE)="ხმ",VLOOKUP(B148,M!$B$6:$I$733,3,FALSE)*0.001*#REF!*#REF!))))))))),2)</f>
        <v>#REF!</v>
      </c>
      <c r="K148" s="14" t="e">
        <f t="shared" si="16"/>
        <v>#REF!</v>
      </c>
      <c r="L148" s="14" t="e">
        <f t="shared" si="15"/>
        <v>#REF!</v>
      </c>
      <c r="M148" s="23" t="str">
        <f>(IF(ISNUMBER(MATCH(B148,E!$B$6:$B$197,0)),VLOOKUP(B148,E!$B$6:$E$197,4,FALSE),VLOOKUP(B148,M!$B$6:$I$733,7,FALSE)))</f>
        <v>5.1-138</v>
      </c>
    </row>
    <row r="149" spans="1:14" ht="39.950000000000003" customHeight="1" x14ac:dyDescent="0.25">
      <c r="A149" s="16" t="s">
        <v>695</v>
      </c>
      <c r="B149" s="2" t="s">
        <v>551</v>
      </c>
      <c r="C149" s="2" t="s">
        <v>674</v>
      </c>
      <c r="D149" s="2">
        <v>0.39</v>
      </c>
      <c r="E149" s="14">
        <f>D149*E144/100</f>
        <v>0.39</v>
      </c>
      <c r="F149" s="31" t="e">
        <f>ROUND(VLOOKUP(B149,M!$B$6:$H$733,IF(#REF!="დაბალი",4,IF(#REF!="საშუალო",6,IF(#REF!="მაღალი",5))),FALSE),2)</f>
        <v>#REF!</v>
      </c>
      <c r="G149" s="14" t="e">
        <f t="shared" si="17"/>
        <v>#REF!</v>
      </c>
      <c r="H149" s="2"/>
      <c r="I149" s="2"/>
      <c r="J149" s="35" t="e">
        <f>ROUND(IF(ISNUMBER(MATCH(B149,E!$B$6:$B$197,0)),VLOOKUP(B149,E!$B$6:$E$197,2,FALSE),IF(#REF!="დიახ",IF(VLOOKUP(B149,M!$B$6:$I$733,8,FALSE)="ლ",VLOOKUP(B149,M!$B$6:$I$733,3,FALSE)*0.001*#REF!*#REF!,IF(VLOOKUP(B149,M!$B$6:$I$733,8,FALSE)="მბ",VLOOKUP(B149,M!$B$6:$I$733,3,FALSE)*0.001*#REF!*#REF!,IF(VLOOKUP(B149,M!$B$6:$I$733,8,FALSE)="აბ",VLOOKUP(B149,M!$B$6:$I$733,3,FALSE)*0.001*#REF!*#REF!,IF(VLOOKUP(B149,M!$B$6:$I$733,8,FALSE)="ინ",VLOOKUP(B149,M!$B$6:$I$733,3,FALSE)*0.001*#REF!*#REF!,IF(VLOOKUP(B149,M!$B$6:$I$733,8,FALSE)="ას",VLOOKUP(B149,M!$B$6:$I$733,3,FALSE)*0.001*#REF!*#REF!,IF(VLOOKUP(B149,M!$B$6:$I$733,8,FALSE)="სხ",VLOOKUP(B149,M!$B$6:$I$733,3,FALSE)*0.001*#REF!*#REF!,IF(VLOOKUP(B149,M!$B$6:$I$733,8,FALSE)="ხმ",VLOOKUP(B149,M!$B$6:$I$733,3,FALSE)*0.001*#REF!*#REF!))))))))),2)</f>
        <v>#REF!</v>
      </c>
      <c r="K149" s="14" t="e">
        <f t="shared" si="16"/>
        <v>#REF!</v>
      </c>
      <c r="L149" s="14" t="e">
        <f t="shared" si="15"/>
        <v>#REF!</v>
      </c>
      <c r="M149" s="23" t="str">
        <f>(IF(ISNUMBER(MATCH(B149,E!$B$6:$B$197,0)),VLOOKUP(B149,E!$B$6:$E$197,4,FALSE),VLOOKUP(B149,M!$B$6:$I$733,7,FALSE)))</f>
        <v>5.1-22</v>
      </c>
    </row>
    <row r="150" spans="1:14" ht="39.950000000000003" customHeight="1" x14ac:dyDescent="0.25">
      <c r="A150" s="16" t="s">
        <v>696</v>
      </c>
      <c r="B150" s="17" t="s">
        <v>677</v>
      </c>
      <c r="C150" s="2" t="s">
        <v>393</v>
      </c>
      <c r="D150" s="2">
        <v>13</v>
      </c>
      <c r="E150" s="14">
        <f>D150*E144/100</f>
        <v>13</v>
      </c>
      <c r="F150" s="31" t="e">
        <f>ROUND(VLOOKUP(B150,M!$B$6:$H$733,IF(#REF!="დაბალი",4,IF(#REF!="საშუალო",6,IF(#REF!="მაღალი",5))),FALSE),2)</f>
        <v>#REF!</v>
      </c>
      <c r="G150" s="14" t="e">
        <f t="shared" si="17"/>
        <v>#REF!</v>
      </c>
      <c r="H150" s="13"/>
      <c r="I150" s="13"/>
      <c r="J150" s="13"/>
      <c r="K150" s="13"/>
      <c r="L150" s="14" t="e">
        <f t="shared" si="15"/>
        <v>#REF!</v>
      </c>
      <c r="M150" s="23" t="str">
        <f>(IF(ISNUMBER(MATCH(B150,E!$B$6:$B$197,0)),VLOOKUP(B150,E!$B$6:$E$197,4,FALSE),VLOOKUP(B150,M!$B$6:$I$733,7,FALSE)))</f>
        <v>ს.რ.ფ</v>
      </c>
    </row>
    <row r="151" spans="1:14" s="45" customFormat="1" ht="39.950000000000003" customHeight="1" x14ac:dyDescent="0.25">
      <c r="A151" s="39">
        <v>1.1000000000000001</v>
      </c>
      <c r="B151" s="40" t="s">
        <v>1047</v>
      </c>
      <c r="C151" s="41" t="s">
        <v>712</v>
      </c>
      <c r="D151" s="41"/>
      <c r="E151" s="52">
        <v>100</v>
      </c>
      <c r="F151" s="42"/>
      <c r="G151" s="42"/>
      <c r="H151" s="41"/>
      <c r="I151" s="41"/>
      <c r="J151" s="41"/>
      <c r="K151" s="41"/>
      <c r="L151" s="43" t="e">
        <f>SUM(L152:L157)</f>
        <v>#REF!</v>
      </c>
      <c r="M151" s="57" t="s">
        <v>1048</v>
      </c>
      <c r="N151" s="68"/>
    </row>
    <row r="152" spans="1:14" ht="39.950000000000003" customHeight="1" x14ac:dyDescent="0.25">
      <c r="A152" s="16" t="s">
        <v>668</v>
      </c>
      <c r="B152" s="17" t="s">
        <v>669</v>
      </c>
      <c r="C152" s="2" t="s">
        <v>670</v>
      </c>
      <c r="D152" s="2">
        <v>378</v>
      </c>
      <c r="E152" s="14">
        <f>D152*E151/100</f>
        <v>378</v>
      </c>
      <c r="F152" s="13"/>
      <c r="G152" s="13"/>
      <c r="H152" s="27">
        <f>IF((ISNUMBER(--LEFT(M151,2))),VLOOKUP(--LEFT(M151,2),N!$A$5:$C$54,3,FALSE),VLOOKUP(--LEFT(M151,1),N!$A$5:$C$54,3,FALSE))</f>
        <v>6</v>
      </c>
      <c r="I152" s="14">
        <f>ROUND(E152*H152,2)</f>
        <v>2268</v>
      </c>
      <c r="J152" s="2"/>
      <c r="K152" s="2"/>
      <c r="L152" s="14">
        <f t="shared" ref="L152:L157" si="18">G152+I152+K152</f>
        <v>2268</v>
      </c>
      <c r="M152" s="23" t="str">
        <f>(IF(ISNUMBER(MATCH(B152,E!$B$6:$B$197,0)),VLOOKUP(B152,E!$B$6:$E$197,4,FALSE),VLOOKUP(B152,M!$B$6:$I$733,7,FALSE)))</f>
        <v>მ.ც</v>
      </c>
    </row>
    <row r="153" spans="1:14" ht="39.950000000000003" customHeight="1" x14ac:dyDescent="0.25">
      <c r="A153" s="16" t="s">
        <v>671</v>
      </c>
      <c r="B153" s="17" t="s">
        <v>654</v>
      </c>
      <c r="C153" s="2" t="s">
        <v>393</v>
      </c>
      <c r="D153" s="2">
        <v>92</v>
      </c>
      <c r="E153" s="14">
        <f>D153*E151/100</f>
        <v>92</v>
      </c>
      <c r="F153" s="13"/>
      <c r="G153" s="13"/>
      <c r="H153" s="13"/>
      <c r="I153" s="13"/>
      <c r="J153" s="35">
        <f>ROUND(IF(ISNUMBER(MATCH(B153,E!$B$6:$B$197,0)),VLOOKUP(B153,E!$B$6:$E$197,2,FALSE),IF(#REF!="დიახ",IF(VLOOKUP(B153,M!$B$6:$I$733,8,FALSE)="ლ",VLOOKUP(B153,M!$B$6:$I$733,3,FALSE)*0.001*#REF!*#REF!,IF(VLOOKUP(B153,M!$B$6:$I$733,8,FALSE)="მბ",VLOOKUP(B153,M!$B$6:$I$733,3,FALSE)*0.001*#REF!*#REF!,IF(VLOOKUP(B153,M!$B$6:$I$733,8,FALSE)="აბ",VLOOKUP(B153,M!$B$6:$I$733,3,FALSE)*0.001*#REF!*#REF!,IF(VLOOKUP(B153,M!$B$6:$I$733,8,FALSE)="ინ",VLOOKUP(B153,M!$B$6:$I$733,3,FALSE)*0.001*#REF!*#REF!,IF(VLOOKUP(B153,M!$B$6:$I$733,8,FALSE)="ას",VLOOKUP(B153,M!$B$6:$I$733,3,FALSE)*0.001*#REF!*#REF!,IF(VLOOKUP(B153,M!$B$6:$I$733,8,FALSE)="სხ",VLOOKUP(B153,M!$B$6:$I$733,3,FALSE)*0.001*#REF!*#REF!,IF(VLOOKUP(B153,M!$B$6:$I$733,8,FALSE)="ხმ",VLOOKUP(B153,M!$B$6:$I$733,3,FALSE)*0.001*#REF!*#REF!))))))))),2)</f>
        <v>3.2</v>
      </c>
      <c r="K153" s="14">
        <f t="shared" ref="K153:K156" si="19">ROUND(E153*J153,2)</f>
        <v>294.39999999999998</v>
      </c>
      <c r="L153" s="14">
        <f t="shared" si="18"/>
        <v>294.39999999999998</v>
      </c>
      <c r="M153" s="23" t="str">
        <f>(IF(ISNUMBER(MATCH(B153,E!$B$6:$B$197,0)),VLOOKUP(B153,E!$B$6:$E$197,4,FALSE),VLOOKUP(B153,M!$B$6:$I$733,7,FALSE)))</f>
        <v>ს.რ.ფ</v>
      </c>
    </row>
    <row r="154" spans="1:14" ht="39.950000000000003" customHeight="1" x14ac:dyDescent="0.25">
      <c r="A154" s="16" t="s">
        <v>673</v>
      </c>
      <c r="B154" s="2" t="s">
        <v>799</v>
      </c>
      <c r="C154" s="2" t="s">
        <v>674</v>
      </c>
      <c r="D154" s="2">
        <v>101.5</v>
      </c>
      <c r="E154" s="14">
        <f>D154*E151/100</f>
        <v>101.5</v>
      </c>
      <c r="F154" s="31" t="e">
        <f>ROUND(VLOOKUP(B154,M!$B$6:$H$733,IF(#REF!="დაბალი",4,IF(#REF!="საშუალო",6,IF(#REF!="მაღალი",5))),FALSE),2)</f>
        <v>#REF!</v>
      </c>
      <c r="G154" s="14" t="e">
        <f>ROUND(E154*F154,2)</f>
        <v>#REF!</v>
      </c>
      <c r="H154" s="2"/>
      <c r="I154" s="2"/>
      <c r="J154" s="35" t="e">
        <f>ROUND(IF(ISNUMBER(MATCH(B154,E!$B$6:$B$197,0)),VLOOKUP(B154,E!$B$6:$E$197,2,FALSE),IF(#REF!="დიახ",IF(VLOOKUP(B154,M!$B$6:$I$733,8,FALSE)="ლ",VLOOKUP(B154,M!$B$6:$I$733,3,FALSE)*0.001*#REF!*#REF!,IF(VLOOKUP(B154,M!$B$6:$I$733,8,FALSE)="მბ",VLOOKUP(B154,M!$B$6:$I$733,3,FALSE)*0.001*#REF!*#REF!,IF(VLOOKUP(B154,M!$B$6:$I$733,8,FALSE)="აბ",VLOOKUP(B154,M!$B$6:$I$733,3,FALSE)*0.001*#REF!*#REF!,IF(VLOOKUP(B154,M!$B$6:$I$733,8,FALSE)="ინ",VLOOKUP(B154,M!$B$6:$I$733,3,FALSE)*0.001*#REF!*#REF!,IF(VLOOKUP(B154,M!$B$6:$I$733,8,FALSE)="ას",VLOOKUP(B154,M!$B$6:$I$733,3,FALSE)*0.001*#REF!*#REF!,IF(VLOOKUP(B154,M!$B$6:$I$733,8,FALSE)="სხ",VLOOKUP(B154,M!$B$6:$I$733,3,FALSE)*0.001*#REF!*#REF!,IF(VLOOKUP(B154,M!$B$6:$I$733,8,FALSE)="ხმ",VLOOKUP(B154,M!$B$6:$I$733,3,FALSE)*0.001*#REF!*#REF!))))))))),2)</f>
        <v>#REF!</v>
      </c>
      <c r="K154" s="14" t="e">
        <f t="shared" si="19"/>
        <v>#REF!</v>
      </c>
      <c r="L154" s="14" t="e">
        <f t="shared" si="18"/>
        <v>#REF!</v>
      </c>
      <c r="M154" s="23" t="str">
        <f>(IF(ISNUMBER(MATCH(B154,E!$B$6:$B$197,0)),VLOOKUP(B154,E!$B$6:$E$197,4,FALSE),VLOOKUP(B154,M!$B$6:$I$733,7,FALSE)))</f>
        <v>4.1-343</v>
      </c>
    </row>
    <row r="155" spans="1:14" ht="39.950000000000003" customHeight="1" x14ac:dyDescent="0.25">
      <c r="A155" s="16" t="s">
        <v>675</v>
      </c>
      <c r="B155" s="2" t="s">
        <v>582</v>
      </c>
      <c r="C155" s="2" t="s">
        <v>814</v>
      </c>
      <c r="D155" s="2">
        <v>70.3</v>
      </c>
      <c r="E155" s="14">
        <f>D155*E151/100</f>
        <v>70.3</v>
      </c>
      <c r="F155" s="31" t="e">
        <f>ROUND(VLOOKUP(B155,M!$B$6:$H$733,IF(#REF!="დაბალი",4,IF(#REF!="საშუალო",6,IF(#REF!="მაღალი",5))),FALSE),2)</f>
        <v>#REF!</v>
      </c>
      <c r="G155" s="14" t="e">
        <f>ROUND(E155*F155,2)</f>
        <v>#REF!</v>
      </c>
      <c r="H155" s="13"/>
      <c r="I155" s="13"/>
      <c r="J155" s="35" t="e">
        <f>ROUND(IF(ISNUMBER(MATCH(B155,E!$B$6:$B$197,0)),VLOOKUP(B155,E!$B$6:$E$197,2,FALSE),IF(#REF!="დიახ",IF(VLOOKUP(B155,M!$B$6:$I$733,8,FALSE)="ლ",VLOOKUP(B155,M!$B$6:$I$733,3,FALSE)*0.001*#REF!*#REF!,IF(VLOOKUP(B155,M!$B$6:$I$733,8,FALSE)="მბ",VLOOKUP(B155,M!$B$6:$I$733,3,FALSE)*0.001*#REF!*#REF!,IF(VLOOKUP(B155,M!$B$6:$I$733,8,FALSE)="აბ",VLOOKUP(B155,M!$B$6:$I$733,3,FALSE)*0.001*#REF!*#REF!,IF(VLOOKUP(B155,M!$B$6:$I$733,8,FALSE)="ინ",VLOOKUP(B155,M!$B$6:$I$733,3,FALSE)*0.001*#REF!*#REF!,IF(VLOOKUP(B155,M!$B$6:$I$733,8,FALSE)="ას",VLOOKUP(B155,M!$B$6:$I$733,3,FALSE)*0.001*#REF!*#REF!,IF(VLOOKUP(B155,M!$B$6:$I$733,8,FALSE)="სხ",VLOOKUP(B155,M!$B$6:$I$733,3,FALSE)*0.001*#REF!*#REF!,IF(VLOOKUP(B155,M!$B$6:$I$733,8,FALSE)="ხმ",VLOOKUP(B155,M!$B$6:$I$733,3,FALSE)*0.001*#REF!*#REF!))))))))),2)</f>
        <v>#REF!</v>
      </c>
      <c r="K155" s="14" t="e">
        <f t="shared" si="19"/>
        <v>#REF!</v>
      </c>
      <c r="L155" s="14" t="e">
        <f t="shared" si="18"/>
        <v>#REF!</v>
      </c>
      <c r="M155" s="23" t="str">
        <f>(IF(ISNUMBER(MATCH(B155,E!$B$6:$B$197,0)),VLOOKUP(B155,E!$B$6:$E$197,4,FALSE),VLOOKUP(B155,M!$B$6:$I$733,7,FALSE)))</f>
        <v>5.1-138</v>
      </c>
    </row>
    <row r="156" spans="1:14" ht="39.950000000000003" customHeight="1" x14ac:dyDescent="0.25">
      <c r="A156" s="16" t="s">
        <v>695</v>
      </c>
      <c r="B156" s="2" t="s">
        <v>551</v>
      </c>
      <c r="C156" s="2" t="s">
        <v>674</v>
      </c>
      <c r="D156" s="2">
        <v>1.1399999999999999</v>
      </c>
      <c r="E156" s="14">
        <f>D156*E151/100</f>
        <v>1.1399999999999999</v>
      </c>
      <c r="F156" s="31" t="e">
        <f>ROUND(VLOOKUP(B156,M!$B$6:$H$733,IF(#REF!="დაბალი",4,IF(#REF!="საშუალო",6,IF(#REF!="მაღალი",5))),FALSE),2)</f>
        <v>#REF!</v>
      </c>
      <c r="G156" s="14" t="e">
        <f t="shared" ref="G156" si="20">ROUND(E156*F156,2)</f>
        <v>#REF!</v>
      </c>
      <c r="H156" s="2"/>
      <c r="I156" s="2"/>
      <c r="J156" s="35" t="e">
        <f>ROUND(IF(ISNUMBER(MATCH(B156,E!$B$6:$B$197,0)),VLOOKUP(B156,E!$B$6:$E$197,2,FALSE),IF(#REF!="დიახ",IF(VLOOKUP(B156,M!$B$6:$I$733,8,FALSE)="ლ",VLOOKUP(B156,M!$B$6:$I$733,3,FALSE)*0.001*#REF!*#REF!,IF(VLOOKUP(B156,M!$B$6:$I$733,8,FALSE)="მბ",VLOOKUP(B156,M!$B$6:$I$733,3,FALSE)*0.001*#REF!*#REF!,IF(VLOOKUP(B156,M!$B$6:$I$733,8,FALSE)="აბ",VLOOKUP(B156,M!$B$6:$I$733,3,FALSE)*0.001*#REF!*#REF!,IF(VLOOKUP(B156,M!$B$6:$I$733,8,FALSE)="ინ",VLOOKUP(B156,M!$B$6:$I$733,3,FALSE)*0.001*#REF!*#REF!,IF(VLOOKUP(B156,M!$B$6:$I$733,8,FALSE)="ას",VLOOKUP(B156,M!$B$6:$I$733,3,FALSE)*0.001*#REF!*#REF!,IF(VLOOKUP(B156,M!$B$6:$I$733,8,FALSE)="სხ",VLOOKUP(B156,M!$B$6:$I$733,3,FALSE)*0.001*#REF!*#REF!,IF(VLOOKUP(B156,M!$B$6:$I$733,8,FALSE)="ხმ",VLOOKUP(B156,M!$B$6:$I$733,3,FALSE)*0.001*#REF!*#REF!))))))))),2)</f>
        <v>#REF!</v>
      </c>
      <c r="K156" s="14" t="e">
        <f t="shared" si="19"/>
        <v>#REF!</v>
      </c>
      <c r="L156" s="14" t="e">
        <f>G156+I156+K156</f>
        <v>#REF!</v>
      </c>
      <c r="M156" s="23" t="str">
        <f>(IF(ISNUMBER(MATCH(B156,E!$B$6:$B$197,0)),VLOOKUP(B156,E!$B$6:$E$197,4,FALSE),VLOOKUP(B156,M!$B$6:$I$733,7,FALSE)))</f>
        <v>5.1-22</v>
      </c>
    </row>
    <row r="157" spans="1:14" ht="39.950000000000003" customHeight="1" x14ac:dyDescent="0.25">
      <c r="A157" s="16" t="s">
        <v>696</v>
      </c>
      <c r="B157" s="17" t="s">
        <v>677</v>
      </c>
      <c r="C157" s="2" t="s">
        <v>393</v>
      </c>
      <c r="D157" s="2">
        <v>60</v>
      </c>
      <c r="E157" s="14">
        <f>D157*E151/100</f>
        <v>60</v>
      </c>
      <c r="F157" s="31" t="e">
        <f>ROUND(VLOOKUP(B157,M!$B$6:$H$733,IF(#REF!="დაბალი",4,IF(#REF!="საშუალო",6,IF(#REF!="მაღალი",5))),FALSE),2)</f>
        <v>#REF!</v>
      </c>
      <c r="G157" s="14" t="e">
        <f>ROUND(E157*F157,2)</f>
        <v>#REF!</v>
      </c>
      <c r="H157" s="13"/>
      <c r="I157" s="13"/>
      <c r="J157" s="13"/>
      <c r="K157" s="13"/>
      <c r="L157" s="14" t="e">
        <f t="shared" si="18"/>
        <v>#REF!</v>
      </c>
      <c r="M157" s="23" t="str">
        <f>(IF(ISNUMBER(MATCH(B157,E!$B$6:$B$197,0)),VLOOKUP(B157,E!$B$6:$E$197,4,FALSE),VLOOKUP(B157,M!$B$6:$I$733,7,FALSE)))</f>
        <v>ს.რ.ფ</v>
      </c>
    </row>
    <row r="158" spans="1:14" s="45" customFormat="1" ht="39.950000000000003" customHeight="1" x14ac:dyDescent="0.25">
      <c r="A158" s="70">
        <v>1.1000000000000001</v>
      </c>
      <c r="B158" s="40" t="s">
        <v>1034</v>
      </c>
      <c r="C158" s="41" t="s">
        <v>712</v>
      </c>
      <c r="D158" s="41"/>
      <c r="E158" s="52">
        <v>100</v>
      </c>
      <c r="F158" s="41"/>
      <c r="G158" s="41"/>
      <c r="H158" s="42"/>
      <c r="I158" s="42"/>
      <c r="J158" s="41"/>
      <c r="K158" s="41"/>
      <c r="L158" s="43" t="e">
        <f>SUM(L159:L168)</f>
        <v>#REF!</v>
      </c>
      <c r="M158" s="57" t="s">
        <v>1035</v>
      </c>
    </row>
    <row r="159" spans="1:14" ht="39.950000000000003" customHeight="1" x14ac:dyDescent="0.25">
      <c r="A159" s="16" t="s">
        <v>668</v>
      </c>
      <c r="B159" s="17" t="s">
        <v>669</v>
      </c>
      <c r="C159" s="2" t="s">
        <v>670</v>
      </c>
      <c r="D159" s="14">
        <v>844</v>
      </c>
      <c r="E159" s="14">
        <f>D159*E158/100</f>
        <v>844</v>
      </c>
      <c r="F159" s="13"/>
      <c r="G159" s="13"/>
      <c r="H159" s="27">
        <f>IF((ISNUMBER(--LEFT(M158,2))),VLOOKUP(--LEFT(M158,2),N!$A$5:$C$54,3,FALSE),VLOOKUP(--LEFT(M158,1),N!$A$5:$C$54,3,FALSE))</f>
        <v>6</v>
      </c>
      <c r="I159" s="14">
        <f>ROUND(E159*H159,2)</f>
        <v>5064</v>
      </c>
      <c r="J159" s="2"/>
      <c r="K159" s="2"/>
      <c r="L159" s="14">
        <f t="shared" ref="L159" si="21">G159+I159+K159</f>
        <v>5064</v>
      </c>
      <c r="M159" s="23" t="str">
        <f>(IF(ISNUMBER(MATCH(B159,E!$B$6:$B$197,0)),VLOOKUP(B159,E!$B$6:$E$197,4,FALSE),VLOOKUP(B159,M!$B$6:$I$733,7,FALSE)))</f>
        <v>მ.ც</v>
      </c>
    </row>
    <row r="160" spans="1:14" ht="39.950000000000003" customHeight="1" x14ac:dyDescent="0.25">
      <c r="A160" s="16" t="s">
        <v>671</v>
      </c>
      <c r="B160" s="2" t="s">
        <v>182</v>
      </c>
      <c r="C160" s="2" t="s">
        <v>672</v>
      </c>
      <c r="D160" s="2">
        <v>2.99</v>
      </c>
      <c r="E160" s="14">
        <f>D160*E158/100</f>
        <v>2.99</v>
      </c>
      <c r="F160" s="13"/>
      <c r="G160" s="13"/>
      <c r="H160" s="2"/>
      <c r="I160" s="2"/>
      <c r="J160" s="35">
        <f>ROUND(IF(ISNUMBER(MATCH(B160,E!$B$6:$B$197,0)),VLOOKUP(B160,E!$B$6:$E$197,2,FALSE),IF(#REF!="დიახ",IF(VLOOKUP(B160,M!$B$6:$I$733,8,FALSE)="ლ",VLOOKUP(B160,M!$B$6:$I$733,3,FALSE)*0.001*#REF!*#REF!,IF(VLOOKUP(B160,M!$B$6:$I$733,8,FALSE)="მბ",VLOOKUP(B160,M!$B$6:$I$733,3,FALSE)*0.001*#REF!*#REF!,IF(VLOOKUP(B160,M!$B$6:$I$733,8,FALSE)="აბ",VLOOKUP(B160,M!$B$6:$I$733,3,FALSE)*0.001*#REF!*#REF!,IF(VLOOKUP(B160,M!$B$6:$I$733,8,FALSE)="ინ",VLOOKUP(B160,M!$B$6:$I$733,3,FALSE)*0.001*#REF!*#REF!,IF(VLOOKUP(B160,M!$B$6:$I$733,8,FALSE)="ას",VLOOKUP(B160,M!$B$6:$I$733,3,FALSE)*0.001*#REF!*#REF!,IF(VLOOKUP(B160,M!$B$6:$I$733,8,FALSE)="სხ",VLOOKUP(B160,M!$B$6:$I$733,3,FALSE)*0.001*#REF!*#REF!,IF(VLOOKUP(B160,M!$B$6:$I$733,8,FALSE)="ხმ",VLOOKUP(B160,M!$B$6:$I$733,3,FALSE)*0.001*#REF!*#REF!))))))))),2)</f>
        <v>35.03</v>
      </c>
      <c r="K160" s="14">
        <f>ROUND(E160*J160,2)</f>
        <v>104.74</v>
      </c>
      <c r="L160" s="14">
        <f>G160+I160+K160</f>
        <v>104.74</v>
      </c>
      <c r="M160" s="23" t="str">
        <f>(IF(ISNUMBER(MATCH(B160,E!$B$6:$B$197,0)),VLOOKUP(B160,E!$B$6:$E$197,4,FALSE),VLOOKUP(B160,M!$B$6:$I$733,7,FALSE)))</f>
        <v>14-56</v>
      </c>
    </row>
    <row r="161" spans="1:14" ht="39.950000000000003" customHeight="1" x14ac:dyDescent="0.25">
      <c r="A161" s="16" t="s">
        <v>673</v>
      </c>
      <c r="B161" s="17" t="s">
        <v>654</v>
      </c>
      <c r="C161" s="2" t="s">
        <v>393</v>
      </c>
      <c r="D161" s="14">
        <v>110</v>
      </c>
      <c r="E161" s="14">
        <f>D161*E158/100</f>
        <v>110</v>
      </c>
      <c r="F161" s="13"/>
      <c r="G161" s="14"/>
      <c r="H161" s="2"/>
      <c r="I161" s="2"/>
      <c r="J161" s="35">
        <f>ROUND(IF(ISNUMBER(MATCH(B161,E!$B$6:$B$197,0)),VLOOKUP(B161,E!$B$6:$E$197,2,FALSE),IF(#REF!="დიახ",IF(VLOOKUP(B161,M!$B$6:$I$733,8,FALSE)="ლ",VLOOKUP(B161,M!$B$6:$I$733,3,FALSE)*0.001*#REF!*#REF!,IF(VLOOKUP(B161,M!$B$6:$I$733,8,FALSE)="მბ",VLOOKUP(B161,M!$B$6:$I$733,3,FALSE)*0.001*#REF!*#REF!,IF(VLOOKUP(B161,M!$B$6:$I$733,8,FALSE)="აბ",VLOOKUP(B161,M!$B$6:$I$733,3,FALSE)*0.001*#REF!*#REF!,IF(VLOOKUP(B161,M!$B$6:$I$733,8,FALSE)="ინ",VLOOKUP(B161,M!$B$6:$I$733,3,FALSE)*0.001*#REF!*#REF!,IF(VLOOKUP(B161,M!$B$6:$I$733,8,FALSE)="ას",VLOOKUP(B161,M!$B$6:$I$733,3,FALSE)*0.001*#REF!*#REF!,IF(VLOOKUP(B161,M!$B$6:$I$733,8,FALSE)="სხ",VLOOKUP(B161,M!$B$6:$I$733,3,FALSE)*0.001*#REF!*#REF!,IF(VLOOKUP(B161,M!$B$6:$I$733,8,FALSE)="ხმ",VLOOKUP(B161,M!$B$6:$I$733,3,FALSE)*0.001*#REF!*#REF!))))))))),2)</f>
        <v>3.2</v>
      </c>
      <c r="K161" s="14">
        <f>ROUND(E161*J161,2)</f>
        <v>352</v>
      </c>
      <c r="L161" s="14">
        <f t="shared" ref="L161:L162" si="22">G161+I161+K161</f>
        <v>352</v>
      </c>
      <c r="M161" s="23" t="str">
        <f>(IF(ISNUMBER(MATCH(B161,E!$B$6:$B$197,0)),VLOOKUP(B161,E!$B$6:$E$197,4,FALSE),VLOOKUP(B161,M!$B$6:$I$733,7,FALSE)))</f>
        <v>ს.რ.ფ</v>
      </c>
    </row>
    <row r="162" spans="1:14" ht="39.950000000000003" customHeight="1" x14ac:dyDescent="0.25">
      <c r="A162" s="16" t="s">
        <v>675</v>
      </c>
      <c r="B162" s="2" t="s">
        <v>799</v>
      </c>
      <c r="C162" s="2" t="s">
        <v>674</v>
      </c>
      <c r="D162" s="2">
        <v>101.5</v>
      </c>
      <c r="E162" s="14">
        <f>D162*E158/100</f>
        <v>101.5</v>
      </c>
      <c r="F162" s="31" t="e">
        <f>ROUND(VLOOKUP(B162,M!$B$6:$H$733,IF(#REF!="დაბალი",4,IF(#REF!="საშუალო",6,IF(#REF!="მაღალი",5))),FALSE),2)</f>
        <v>#REF!</v>
      </c>
      <c r="G162" s="14" t="e">
        <f>ROUND(E162*F162,2)</f>
        <v>#REF!</v>
      </c>
      <c r="H162" s="2"/>
      <c r="I162" s="2"/>
      <c r="J162" s="35" t="e">
        <f>ROUND(IF(ISNUMBER(MATCH(B162,E!$B$6:$B$197,0)),VLOOKUP(B162,E!$B$6:$E$197,2,FALSE),IF(#REF!="დიახ",IF(VLOOKUP(B162,M!$B$6:$I$733,8,FALSE)="ლ",VLOOKUP(B162,M!$B$6:$I$733,3,FALSE)*0.001*#REF!*#REF!,IF(VLOOKUP(B162,M!$B$6:$I$733,8,FALSE)="მბ",VLOOKUP(B162,M!$B$6:$I$733,3,FALSE)*0.001*#REF!*#REF!,IF(VLOOKUP(B162,M!$B$6:$I$733,8,FALSE)="აბ",VLOOKUP(B162,M!$B$6:$I$733,3,FALSE)*0.001*#REF!*#REF!,IF(VLOOKUP(B162,M!$B$6:$I$733,8,FALSE)="ინ",VLOOKUP(B162,M!$B$6:$I$733,3,FALSE)*0.001*#REF!*#REF!,IF(VLOOKUP(B162,M!$B$6:$I$733,8,FALSE)="ას",VLOOKUP(B162,M!$B$6:$I$733,3,FALSE)*0.001*#REF!*#REF!,IF(VLOOKUP(B162,M!$B$6:$I$733,8,FALSE)="სხ",VLOOKUP(B162,M!$B$6:$I$733,3,FALSE)*0.001*#REF!*#REF!,IF(VLOOKUP(B162,M!$B$6:$I$733,8,FALSE)="ხმ",VLOOKUP(B162,M!$B$6:$I$733,3,FALSE)*0.001*#REF!*#REF!))))))))),2)</f>
        <v>#REF!</v>
      </c>
      <c r="K162" s="14" t="e">
        <f t="shared" ref="K162" si="23">ROUND(E162*J162,2)</f>
        <v>#REF!</v>
      </c>
      <c r="L162" s="14" t="e">
        <f t="shared" si="22"/>
        <v>#REF!</v>
      </c>
      <c r="M162" s="23" t="str">
        <f>(IF(ISNUMBER(MATCH(B162,E!$B$6:$B$197,0)),VLOOKUP(B162,E!$B$6:$E$197,4,FALSE),VLOOKUP(B162,M!$B$6:$I$733,7,FALSE)))</f>
        <v>4.1-343</v>
      </c>
    </row>
    <row r="163" spans="1:14" ht="39.950000000000003" customHeight="1" x14ac:dyDescent="0.25">
      <c r="A163" s="16" t="s">
        <v>695</v>
      </c>
      <c r="B163" s="2" t="s">
        <v>21</v>
      </c>
      <c r="C163" s="2" t="s">
        <v>9</v>
      </c>
      <c r="D163" s="105" t="s">
        <v>1036</v>
      </c>
      <c r="E163" s="90">
        <v>0</v>
      </c>
      <c r="F163" s="31" t="e">
        <f>ROUND(VLOOKUP(B163,M!$B$6:$H$733,IF(#REF!="დაბალი",4,IF(#REF!="საშუალო",6,IF(#REF!="მაღალი",5))),FALSE),2)</f>
        <v>#REF!</v>
      </c>
      <c r="G163" s="14" t="e">
        <f t="shared" ref="G163:G167" si="24">ROUND(E163*F163,2)</f>
        <v>#REF!</v>
      </c>
      <c r="H163" s="2"/>
      <c r="I163" s="2"/>
      <c r="J163" s="35" t="e">
        <f>ROUND(IF(ISNUMBER(MATCH(B163,E!$B$6:$B$197,0)),VLOOKUP(B163,E!$B$6:$E$197,2,FALSE),IF(#REF!="დიახ",IF(VLOOKUP(B163,M!$B$6:$I$733,8,FALSE)="ლ",VLOOKUP(B163,M!$B$6:$I$733,3,FALSE)*0.001*#REF!*#REF!,IF(VLOOKUP(B163,M!$B$6:$I$733,8,FALSE)="მბ",VLOOKUP(B163,M!$B$6:$I$733,3,FALSE)*0.001*#REF!*#REF!,IF(VLOOKUP(B163,M!$B$6:$I$733,8,FALSE)="აბ",VLOOKUP(B163,M!$B$6:$I$733,3,FALSE)*0.001*#REF!*#REF!,IF(VLOOKUP(B163,M!$B$6:$I$733,8,FALSE)="ინ",VLOOKUP(B163,M!$B$6:$I$733,3,FALSE)*0.001*#REF!*#REF!,IF(VLOOKUP(B163,M!$B$6:$I$733,8,FALSE)="ას",VLOOKUP(B163,M!$B$6:$I$733,3,FALSE)*0.001*#REF!*#REF!,IF(VLOOKUP(B163,M!$B$6:$I$733,8,FALSE)="სხ",VLOOKUP(B163,M!$B$6:$I$733,3,FALSE)*0.001*#REF!*#REF!,IF(VLOOKUP(B163,M!$B$6:$I$733,8,FALSE)="ხმ",VLOOKUP(B163,M!$B$6:$I$733,3,FALSE)*0.001*#REF!*#REF!))))))))),2)</f>
        <v>#REF!</v>
      </c>
      <c r="K163" s="14" t="e">
        <f>ROUND(E163*J163,2)</f>
        <v>#REF!</v>
      </c>
      <c r="L163" s="14" t="e">
        <f>G163+I163+K163</f>
        <v>#REF!</v>
      </c>
      <c r="M163" s="23" t="str">
        <f>(IF(ISNUMBER(MATCH(B163,E!$B$6:$B$197,0)),VLOOKUP(B163,E!$B$6:$E$197,4,FALSE),VLOOKUP(B163,M!$B$6:$I$733,7,FALSE)))</f>
        <v>1.1-12</v>
      </c>
    </row>
    <row r="164" spans="1:14" ht="39.950000000000003" customHeight="1" x14ac:dyDescent="0.25">
      <c r="A164" s="16" t="s">
        <v>696</v>
      </c>
      <c r="B164" s="2" t="s">
        <v>582</v>
      </c>
      <c r="C164" s="2" t="s">
        <v>814</v>
      </c>
      <c r="D164" s="2">
        <v>184</v>
      </c>
      <c r="E164" s="14">
        <f>D164*E158/100</f>
        <v>184</v>
      </c>
      <c r="F164" s="31" t="e">
        <f>ROUND(VLOOKUP(B164,M!$B$6:$H$733,IF(#REF!="დაბალი",4,IF(#REF!="საშუალო",6,IF(#REF!="მაღალი",5))),FALSE),2)</f>
        <v>#REF!</v>
      </c>
      <c r="G164" s="14" t="e">
        <f t="shared" si="24"/>
        <v>#REF!</v>
      </c>
      <c r="H164" s="13"/>
      <c r="I164" s="13"/>
      <c r="J164" s="35" t="e">
        <f>ROUND(IF(ISNUMBER(MATCH(B164,E!$B$6:$B$197,0)),VLOOKUP(B164,E!$B$6:$E$197,2,FALSE),IF(#REF!="დიახ",IF(VLOOKUP(B164,M!$B$6:$I$733,8,FALSE)="ლ",VLOOKUP(B164,M!$B$6:$I$733,3,FALSE)*0.001*#REF!*#REF!,IF(VLOOKUP(B164,M!$B$6:$I$733,8,FALSE)="მბ",VLOOKUP(B164,M!$B$6:$I$733,3,FALSE)*0.001*#REF!*#REF!,IF(VLOOKUP(B164,M!$B$6:$I$733,8,FALSE)="აბ",VLOOKUP(B164,M!$B$6:$I$733,3,FALSE)*0.001*#REF!*#REF!,IF(VLOOKUP(B164,M!$B$6:$I$733,8,FALSE)="ინ",VLOOKUP(B164,M!$B$6:$I$733,3,FALSE)*0.001*#REF!*#REF!,IF(VLOOKUP(B164,M!$B$6:$I$733,8,FALSE)="ას",VLOOKUP(B164,M!$B$6:$I$733,3,FALSE)*0.001*#REF!*#REF!,IF(VLOOKUP(B164,M!$B$6:$I$733,8,FALSE)="სხ",VLOOKUP(B164,M!$B$6:$I$733,3,FALSE)*0.001*#REF!*#REF!,IF(VLOOKUP(B164,M!$B$6:$I$733,8,FALSE)="ხმ",VLOOKUP(B164,M!$B$6:$I$733,3,FALSE)*0.001*#REF!*#REF!))))))))),2)</f>
        <v>#REF!</v>
      </c>
      <c r="K164" s="14" t="e">
        <f t="shared" ref="K164:K165" si="25">ROUND(E164*J164,2)</f>
        <v>#REF!</v>
      </c>
      <c r="L164" s="14" t="e">
        <f t="shared" ref="L164" si="26">G164+I164+K164</f>
        <v>#REF!</v>
      </c>
      <c r="M164" s="23" t="str">
        <f>(IF(ISNUMBER(MATCH(B164,E!$B$6:$B$197,0)),VLOOKUP(B164,E!$B$6:$E$197,4,FALSE),VLOOKUP(B164,M!$B$6:$I$733,7,FALSE)))</f>
        <v>5.1-138</v>
      </c>
    </row>
    <row r="165" spans="1:14" ht="39.950000000000003" customHeight="1" x14ac:dyDescent="0.25">
      <c r="A165" s="16" t="s">
        <v>733</v>
      </c>
      <c r="B165" s="2" t="s">
        <v>551</v>
      </c>
      <c r="C165" s="2" t="s">
        <v>674</v>
      </c>
      <c r="D165" s="2">
        <v>4.25</v>
      </c>
      <c r="E165" s="14">
        <f>D165*E158/100</f>
        <v>4.25</v>
      </c>
      <c r="F165" s="31" t="e">
        <f>ROUND(VLOOKUP(B165,M!$B$6:$H$733,IF(#REF!="დაბალი",4,IF(#REF!="საშუალო",6,IF(#REF!="მაღალი",5))),FALSE),2)</f>
        <v>#REF!</v>
      </c>
      <c r="G165" s="14" t="e">
        <f t="shared" si="24"/>
        <v>#REF!</v>
      </c>
      <c r="H165" s="2"/>
      <c r="I165" s="2"/>
      <c r="J165" s="35" t="e">
        <f>ROUND(IF(ISNUMBER(MATCH(B165,E!$B$6:$B$197,0)),VLOOKUP(B165,E!$B$6:$E$197,2,FALSE),IF(#REF!="დიახ",IF(VLOOKUP(B165,M!$B$6:$I$733,8,FALSE)="ლ",VLOOKUP(B165,M!$B$6:$I$733,3,FALSE)*0.001*#REF!*#REF!,IF(VLOOKUP(B165,M!$B$6:$I$733,8,FALSE)="მბ",VLOOKUP(B165,M!$B$6:$I$733,3,FALSE)*0.001*#REF!*#REF!,IF(VLOOKUP(B165,M!$B$6:$I$733,8,FALSE)="აბ",VLOOKUP(B165,M!$B$6:$I$733,3,FALSE)*0.001*#REF!*#REF!,IF(VLOOKUP(B165,M!$B$6:$I$733,8,FALSE)="ინ",VLOOKUP(B165,M!$B$6:$I$733,3,FALSE)*0.001*#REF!*#REF!,IF(VLOOKUP(B165,M!$B$6:$I$733,8,FALSE)="ას",VLOOKUP(B165,M!$B$6:$I$733,3,FALSE)*0.001*#REF!*#REF!,IF(VLOOKUP(B165,M!$B$6:$I$733,8,FALSE)="სხ",VLOOKUP(B165,M!$B$6:$I$733,3,FALSE)*0.001*#REF!*#REF!,IF(VLOOKUP(B165,M!$B$6:$I$733,8,FALSE)="ხმ",VLOOKUP(B165,M!$B$6:$I$733,3,FALSE)*0.001*#REF!*#REF!))))))))),2)</f>
        <v>#REF!</v>
      </c>
      <c r="K165" s="14" t="e">
        <f t="shared" si="25"/>
        <v>#REF!</v>
      </c>
      <c r="L165" s="14" t="e">
        <f>G165+I165+K165</f>
        <v>#REF!</v>
      </c>
      <c r="M165" s="23" t="str">
        <f>(IF(ISNUMBER(MATCH(B165,E!$B$6:$B$197,0)),VLOOKUP(B165,E!$B$6:$E$197,4,FALSE),VLOOKUP(B165,M!$B$6:$I$733,7,FALSE)))</f>
        <v>5.1-22</v>
      </c>
    </row>
    <row r="166" spans="1:14" ht="38.25" customHeight="1" x14ac:dyDescent="0.25">
      <c r="A166" s="16" t="s">
        <v>734</v>
      </c>
      <c r="B166" s="2" t="s">
        <v>140</v>
      </c>
      <c r="C166" s="2" t="s">
        <v>28</v>
      </c>
      <c r="D166" s="2">
        <v>220</v>
      </c>
      <c r="E166" s="14">
        <f>D166*E158/100</f>
        <v>220</v>
      </c>
      <c r="F166" s="31" t="e">
        <f>ROUND(VLOOKUP(B166,M!$B$6:$H$733,IF(#REF!="დაბალი",4,IF(#REF!="საშუალო",6,IF(#REF!="მაღალი",5))),FALSE),2)</f>
        <v>#REF!</v>
      </c>
      <c r="G166" s="14" t="e">
        <f t="shared" si="24"/>
        <v>#REF!</v>
      </c>
      <c r="H166" s="2"/>
      <c r="I166" s="2"/>
      <c r="J166" s="2"/>
      <c r="K166" s="14"/>
      <c r="L166" s="14" t="e">
        <f>G166+I166+K166</f>
        <v>#REF!</v>
      </c>
      <c r="M166" s="23" t="str">
        <f>(IF(ISNUMBER(MATCH(B166,E!$B$6:$B$197,0)),VLOOKUP(B166,E!$B$6:$E$197,4,FALSE),VLOOKUP(B166,M!$B$6:$I$733,7,FALSE)))</f>
        <v>1.10-17</v>
      </c>
    </row>
    <row r="167" spans="1:14" ht="38.25" customHeight="1" x14ac:dyDescent="0.25">
      <c r="A167" s="16" t="s">
        <v>735</v>
      </c>
      <c r="B167" s="2" t="s">
        <v>138</v>
      </c>
      <c r="C167" s="2" t="s">
        <v>28</v>
      </c>
      <c r="D167" s="2">
        <v>100</v>
      </c>
      <c r="E167" s="14">
        <f>D167*E158/100</f>
        <v>100</v>
      </c>
      <c r="F167" s="31" t="e">
        <f>ROUND(VLOOKUP(B167,M!$B$6:$H$733,IF(#REF!="დაბალი",4,IF(#REF!="საშუალო",6,IF(#REF!="მაღალი",5))),FALSE),2)</f>
        <v>#REF!</v>
      </c>
      <c r="G167" s="14" t="e">
        <f t="shared" si="24"/>
        <v>#REF!</v>
      </c>
      <c r="H167" s="2"/>
      <c r="I167" s="2"/>
      <c r="J167" s="2"/>
      <c r="K167" s="14"/>
      <c r="L167" s="14" t="e">
        <f>G167+I167+K167</f>
        <v>#REF!</v>
      </c>
      <c r="M167" s="23" t="str">
        <f>(IF(ISNUMBER(MATCH(B167,E!$B$6:$B$197,0)),VLOOKUP(B167,E!$B$6:$E$197,4,FALSE),VLOOKUP(B167,M!$B$6:$I$733,7,FALSE)))</f>
        <v>1.10-15</v>
      </c>
    </row>
    <row r="168" spans="1:14" ht="39.950000000000003" customHeight="1" x14ac:dyDescent="0.25">
      <c r="A168" s="16" t="s">
        <v>736</v>
      </c>
      <c r="B168" s="17" t="s">
        <v>677</v>
      </c>
      <c r="C168" s="2" t="s">
        <v>393</v>
      </c>
      <c r="D168" s="2">
        <v>46</v>
      </c>
      <c r="E168" s="14">
        <f>D168*E158/100</f>
        <v>46</v>
      </c>
      <c r="F168" s="31" t="e">
        <f>ROUND(VLOOKUP(B168,M!$B$6:$H$733,IF(#REF!="დაბალი",4,IF(#REF!="საშუალო",6,IF(#REF!="მაღალი",5))),FALSE),2)</f>
        <v>#REF!</v>
      </c>
      <c r="G168" s="14" t="e">
        <f>ROUND(E168*F168,2)</f>
        <v>#REF!</v>
      </c>
      <c r="H168" s="2"/>
      <c r="I168" s="2"/>
      <c r="J168" s="2"/>
      <c r="K168" s="14"/>
      <c r="L168" s="14" t="e">
        <f t="shared" ref="L168" si="27">G168+I168+K168</f>
        <v>#REF!</v>
      </c>
      <c r="M168" s="23" t="str">
        <f>(IF(ISNUMBER(MATCH(B168,E!$B$6:$B$197,0)),VLOOKUP(B168,E!$B$6:$E$197,4,FALSE),VLOOKUP(B168,M!$B$6:$I$733,7,FALSE)))</f>
        <v>ს.რ.ფ</v>
      </c>
    </row>
    <row r="169" spans="1:14" s="45" customFormat="1" ht="39.950000000000003" customHeight="1" x14ac:dyDescent="0.25">
      <c r="A169" s="39">
        <v>1.1000000000000001</v>
      </c>
      <c r="B169" s="40" t="s">
        <v>1051</v>
      </c>
      <c r="C169" s="41" t="s">
        <v>712</v>
      </c>
      <c r="D169" s="41"/>
      <c r="E169" s="52">
        <v>100</v>
      </c>
      <c r="F169" s="42"/>
      <c r="G169" s="42"/>
      <c r="H169" s="41"/>
      <c r="I169" s="41"/>
      <c r="J169" s="41"/>
      <c r="K169" s="41"/>
      <c r="L169" s="43" t="e">
        <f>SUM(L170:L175)</f>
        <v>#REF!</v>
      </c>
      <c r="M169" s="57" t="s">
        <v>1052</v>
      </c>
      <c r="N169" s="106"/>
    </row>
    <row r="170" spans="1:14" ht="39.950000000000003" customHeight="1" x14ac:dyDescent="0.25">
      <c r="A170" s="16" t="s">
        <v>668</v>
      </c>
      <c r="B170" s="17" t="s">
        <v>669</v>
      </c>
      <c r="C170" s="2" t="s">
        <v>670</v>
      </c>
      <c r="D170" s="2">
        <v>147</v>
      </c>
      <c r="E170" s="14">
        <f>D170*E169/100</f>
        <v>147</v>
      </c>
      <c r="F170" s="13"/>
      <c r="G170" s="13"/>
      <c r="H170" s="27">
        <f>IF((ISNUMBER(--LEFT(M169,2))),VLOOKUP(--LEFT(M169,2),N!$A$5:$C$54,3,FALSE),VLOOKUP(--LEFT(M169,1),N!$A$5:$C$54,3,FALSE))</f>
        <v>6</v>
      </c>
      <c r="I170" s="14">
        <f>ROUND(E170*H170,2)</f>
        <v>882</v>
      </c>
      <c r="J170" s="2"/>
      <c r="K170" s="2"/>
      <c r="L170" s="14">
        <f t="shared" ref="L170:L175" si="28">G170+I170+K170</f>
        <v>882</v>
      </c>
      <c r="M170" s="23" t="str">
        <f>(IF(ISNUMBER(MATCH(B170,E!$B$6:$B$197,0)),VLOOKUP(B170,E!$B$6:$E$197,4,FALSE),VLOOKUP(B170,M!$B$6:$I$733,7,FALSE)))</f>
        <v>მ.ც</v>
      </c>
      <c r="N170" s="106"/>
    </row>
    <row r="171" spans="1:14" ht="39.950000000000003" customHeight="1" x14ac:dyDescent="0.25">
      <c r="A171" s="16" t="s">
        <v>671</v>
      </c>
      <c r="B171" s="17" t="s">
        <v>654</v>
      </c>
      <c r="C171" s="2" t="s">
        <v>393</v>
      </c>
      <c r="D171" s="2">
        <v>121</v>
      </c>
      <c r="E171" s="14">
        <f>D171*E169/100</f>
        <v>121</v>
      </c>
      <c r="F171" s="13"/>
      <c r="G171" s="13"/>
      <c r="H171" s="13"/>
      <c r="I171" s="13"/>
      <c r="J171" s="35">
        <f>ROUND(IF(ISNUMBER(MATCH(B171,E!$B$6:$B$197,0)),VLOOKUP(B171,E!$B$6:$E$197,2,FALSE),IF(#REF!="დიახ",IF(VLOOKUP(B171,M!$B$6:$I$733,8,FALSE)="ლ",VLOOKUP(B171,M!$B$6:$I$733,3,FALSE)*0.001*#REF!*#REF!,IF(VLOOKUP(B171,M!$B$6:$I$733,8,FALSE)="მბ",VLOOKUP(B171,M!$B$6:$I$733,3,FALSE)*0.001*#REF!*#REF!,IF(VLOOKUP(B171,M!$B$6:$I$733,8,FALSE)="აბ",VLOOKUP(B171,M!$B$6:$I$733,3,FALSE)*0.001*#REF!*#REF!,IF(VLOOKUP(B171,M!$B$6:$I$733,8,FALSE)="ინ",VLOOKUP(B171,M!$B$6:$I$733,3,FALSE)*0.001*#REF!*#REF!,IF(VLOOKUP(B171,M!$B$6:$I$733,8,FALSE)="ას",VLOOKUP(B171,M!$B$6:$I$733,3,FALSE)*0.001*#REF!*#REF!,IF(VLOOKUP(B171,M!$B$6:$I$733,8,FALSE)="სხ",VLOOKUP(B171,M!$B$6:$I$733,3,FALSE)*0.001*#REF!*#REF!,IF(VLOOKUP(B171,M!$B$6:$I$733,8,FALSE)="ხმ",VLOOKUP(B171,M!$B$6:$I$733,3,FALSE)*0.001*#REF!*#REF!))))))))),2)</f>
        <v>3.2</v>
      </c>
      <c r="K171" s="14">
        <f t="shared" ref="K171:K174" si="29">ROUND(E171*J171,2)</f>
        <v>387.2</v>
      </c>
      <c r="L171" s="14">
        <f t="shared" si="28"/>
        <v>387.2</v>
      </c>
      <c r="M171" s="23" t="str">
        <f>(IF(ISNUMBER(MATCH(B171,E!$B$6:$B$197,0)),VLOOKUP(B171,E!$B$6:$E$197,4,FALSE),VLOOKUP(B171,M!$B$6:$I$733,7,FALSE)))</f>
        <v>ს.რ.ფ</v>
      </c>
      <c r="N171" s="106"/>
    </row>
    <row r="172" spans="1:14" ht="39.950000000000003" customHeight="1" x14ac:dyDescent="0.25">
      <c r="A172" s="16" t="s">
        <v>673</v>
      </c>
      <c r="B172" s="2" t="s">
        <v>799</v>
      </c>
      <c r="C172" s="2" t="s">
        <v>674</v>
      </c>
      <c r="D172" s="2">
        <v>100</v>
      </c>
      <c r="E172" s="14">
        <f>D172*E169/100</f>
        <v>100</v>
      </c>
      <c r="F172" s="31" t="e">
        <f>ROUND(VLOOKUP(B172,M!$B$6:$H$733,IF(#REF!="დაბალი",4,IF(#REF!="საშუალო",6,IF(#REF!="მაღალი",5))),FALSE),2)</f>
        <v>#REF!</v>
      </c>
      <c r="G172" s="14" t="e">
        <f>ROUND(E172*F172,2)</f>
        <v>#REF!</v>
      </c>
      <c r="H172" s="2"/>
      <c r="I172" s="2"/>
      <c r="J172" s="35" t="e">
        <f>ROUND(IF(ISNUMBER(MATCH(B172,E!$B$6:$B$197,0)),VLOOKUP(B172,E!$B$6:$E$197,2,FALSE),IF(#REF!="დიახ",IF(VLOOKUP(B172,M!$B$6:$I$733,8,FALSE)="ლ",VLOOKUP(B172,M!$B$6:$I$733,3,FALSE)*0.001*#REF!*#REF!,IF(VLOOKUP(B172,M!$B$6:$I$733,8,FALSE)="მბ",VLOOKUP(B172,M!$B$6:$I$733,3,FALSE)*0.001*#REF!*#REF!,IF(VLOOKUP(B172,M!$B$6:$I$733,8,FALSE)="აბ",VLOOKUP(B172,M!$B$6:$I$733,3,FALSE)*0.001*#REF!*#REF!,IF(VLOOKUP(B172,M!$B$6:$I$733,8,FALSE)="ინ",VLOOKUP(B172,M!$B$6:$I$733,3,FALSE)*0.001*#REF!*#REF!,IF(VLOOKUP(B172,M!$B$6:$I$733,8,FALSE)="ას",VLOOKUP(B172,M!$B$6:$I$733,3,FALSE)*0.001*#REF!*#REF!,IF(VLOOKUP(B172,M!$B$6:$I$733,8,FALSE)="სხ",VLOOKUP(B172,M!$B$6:$I$733,3,FALSE)*0.001*#REF!*#REF!,IF(VLOOKUP(B172,M!$B$6:$I$733,8,FALSE)="ხმ",VLOOKUP(B172,M!$B$6:$I$733,3,FALSE)*0.001*#REF!*#REF!))))))))),2)</f>
        <v>#REF!</v>
      </c>
      <c r="K172" s="14" t="e">
        <f t="shared" si="29"/>
        <v>#REF!</v>
      </c>
      <c r="L172" s="14" t="e">
        <f t="shared" si="28"/>
        <v>#REF!</v>
      </c>
      <c r="M172" s="23" t="str">
        <f>(IF(ISNUMBER(MATCH(B172,E!$B$6:$B$197,0)),VLOOKUP(B172,E!$B$6:$E$197,4,FALSE),VLOOKUP(B172,M!$B$6:$I$733,7,FALSE)))</f>
        <v>4.1-343</v>
      </c>
      <c r="N172" s="106"/>
    </row>
    <row r="173" spans="1:14" ht="39.950000000000003" customHeight="1" x14ac:dyDescent="0.25">
      <c r="A173" s="16" t="s">
        <v>675</v>
      </c>
      <c r="B173" s="2" t="s">
        <v>582</v>
      </c>
      <c r="C173" s="2" t="s">
        <v>814</v>
      </c>
      <c r="D173" s="2">
        <v>246</v>
      </c>
      <c r="E173" s="14">
        <f>D173*E169/100</f>
        <v>246</v>
      </c>
      <c r="F173" s="31" t="e">
        <f>ROUND(VLOOKUP(B173,M!$B$6:$H$733,IF(#REF!="დაბალი",4,IF(#REF!="საშუალო",6,IF(#REF!="მაღალი",5))),FALSE),2)</f>
        <v>#REF!</v>
      </c>
      <c r="G173" s="14" t="e">
        <f t="shared" ref="G173:G175" si="30">ROUND(E173*F173,2)</f>
        <v>#REF!</v>
      </c>
      <c r="H173" s="13"/>
      <c r="I173" s="13"/>
      <c r="J173" s="35" t="e">
        <f>ROUND(IF(ISNUMBER(MATCH(B173,E!$B$6:$B$197,0)),VLOOKUP(B173,E!$B$6:$E$197,2,FALSE),IF(#REF!="დიახ",IF(VLOOKUP(B173,M!$B$6:$I$733,8,FALSE)="ლ",VLOOKUP(B173,M!$B$6:$I$733,3,FALSE)*0.001*#REF!*#REF!,IF(VLOOKUP(B173,M!$B$6:$I$733,8,FALSE)="მბ",VLOOKUP(B173,M!$B$6:$I$733,3,FALSE)*0.001*#REF!*#REF!,IF(VLOOKUP(B173,M!$B$6:$I$733,8,FALSE)="აბ",VLOOKUP(B173,M!$B$6:$I$733,3,FALSE)*0.001*#REF!*#REF!,IF(VLOOKUP(B173,M!$B$6:$I$733,8,FALSE)="ინ",VLOOKUP(B173,M!$B$6:$I$733,3,FALSE)*0.001*#REF!*#REF!,IF(VLOOKUP(B173,M!$B$6:$I$733,8,FALSE)="ას",VLOOKUP(B173,M!$B$6:$I$733,3,FALSE)*0.001*#REF!*#REF!,IF(VLOOKUP(B173,M!$B$6:$I$733,8,FALSE)="სხ",VLOOKUP(B173,M!$B$6:$I$733,3,FALSE)*0.001*#REF!*#REF!,IF(VLOOKUP(B173,M!$B$6:$I$733,8,FALSE)="ხმ",VLOOKUP(B173,M!$B$6:$I$733,3,FALSE)*0.001*#REF!*#REF!))))))))),2)</f>
        <v>#REF!</v>
      </c>
      <c r="K173" s="14" t="e">
        <f t="shared" si="29"/>
        <v>#REF!</v>
      </c>
      <c r="L173" s="14" t="e">
        <f t="shared" si="28"/>
        <v>#REF!</v>
      </c>
      <c r="M173" s="23" t="str">
        <f>(IF(ISNUMBER(MATCH(B173,E!$B$6:$B$197,0)),VLOOKUP(B173,E!$B$6:$E$197,4,FALSE),VLOOKUP(B173,M!$B$6:$I$733,7,FALSE)))</f>
        <v>5.1-138</v>
      </c>
      <c r="N173" s="106"/>
    </row>
    <row r="174" spans="1:14" ht="39.950000000000003" customHeight="1" x14ac:dyDescent="0.25">
      <c r="A174" s="16" t="s">
        <v>695</v>
      </c>
      <c r="B174" s="2" t="s">
        <v>548</v>
      </c>
      <c r="C174" s="2" t="s">
        <v>674</v>
      </c>
      <c r="D174" s="2">
        <v>2.2999999999999998</v>
      </c>
      <c r="E174" s="14">
        <f>D174*E169/100</f>
        <v>2.2999999999999998</v>
      </c>
      <c r="F174" s="31" t="e">
        <f>ROUND(VLOOKUP(B174,M!$B$6:$H$733,IF(#REF!="დაბალი",4,IF(#REF!="საშუალო",6,IF(#REF!="მაღალი",5))),FALSE),2)</f>
        <v>#REF!</v>
      </c>
      <c r="G174" s="14" t="e">
        <f t="shared" si="30"/>
        <v>#REF!</v>
      </c>
      <c r="H174" s="2"/>
      <c r="I174" s="2"/>
      <c r="J174" s="35" t="e">
        <f>ROUND(IF(ISNUMBER(MATCH(B174,E!$B$6:$B$197,0)),VLOOKUP(B174,E!$B$6:$E$197,2,FALSE),IF(#REF!="დიახ",IF(VLOOKUP(B174,M!$B$6:$I$733,8,FALSE)="ლ",VLOOKUP(B174,M!$B$6:$I$733,3,FALSE)*0.001*#REF!*#REF!,IF(VLOOKUP(B174,M!$B$6:$I$733,8,FALSE)="მბ",VLOOKUP(B174,M!$B$6:$I$733,3,FALSE)*0.001*#REF!*#REF!,IF(VLOOKUP(B174,M!$B$6:$I$733,8,FALSE)="აბ",VLOOKUP(B174,M!$B$6:$I$733,3,FALSE)*0.001*#REF!*#REF!,IF(VLOOKUP(B174,M!$B$6:$I$733,8,FALSE)="ინ",VLOOKUP(B174,M!$B$6:$I$733,3,FALSE)*0.001*#REF!*#REF!,IF(VLOOKUP(B174,M!$B$6:$I$733,8,FALSE)="ას",VLOOKUP(B174,M!$B$6:$I$733,3,FALSE)*0.001*#REF!*#REF!,IF(VLOOKUP(B174,M!$B$6:$I$733,8,FALSE)="სხ",VLOOKUP(B174,M!$B$6:$I$733,3,FALSE)*0.001*#REF!*#REF!,IF(VLOOKUP(B174,M!$B$6:$I$733,8,FALSE)="ხმ",VLOOKUP(B174,M!$B$6:$I$733,3,FALSE)*0.001*#REF!*#REF!))))))))),2)</f>
        <v>#REF!</v>
      </c>
      <c r="K174" s="14" t="e">
        <f t="shared" si="29"/>
        <v>#REF!</v>
      </c>
      <c r="L174" s="14" t="e">
        <f t="shared" si="28"/>
        <v>#REF!</v>
      </c>
      <c r="M174" s="23" t="str">
        <f>(IF(ISNUMBER(MATCH(B174,E!$B$6:$B$197,0)),VLOOKUP(B174,E!$B$6:$E$197,4,FALSE),VLOOKUP(B174,M!$B$6:$I$733,7,FALSE)))</f>
        <v>5.1-19</v>
      </c>
      <c r="N174" s="106"/>
    </row>
    <row r="175" spans="1:14" ht="39.950000000000003" customHeight="1" x14ac:dyDescent="0.25">
      <c r="A175" s="16" t="s">
        <v>696</v>
      </c>
      <c r="B175" s="17" t="s">
        <v>677</v>
      </c>
      <c r="C175" s="2" t="s">
        <v>393</v>
      </c>
      <c r="D175" s="2">
        <v>90</v>
      </c>
      <c r="E175" s="14">
        <f>D175*E169/100</f>
        <v>90</v>
      </c>
      <c r="F175" s="31" t="e">
        <f>ROUND(VLOOKUP(B175,M!$B$6:$H$733,IF(#REF!="დაბალი",4,IF(#REF!="საშუალო",6,IF(#REF!="მაღალი",5))),FALSE),2)</f>
        <v>#REF!</v>
      </c>
      <c r="G175" s="14" t="e">
        <f t="shared" si="30"/>
        <v>#REF!</v>
      </c>
      <c r="H175" s="13"/>
      <c r="I175" s="13"/>
      <c r="J175" s="13"/>
      <c r="K175" s="13"/>
      <c r="L175" s="14" t="e">
        <f t="shared" si="28"/>
        <v>#REF!</v>
      </c>
      <c r="M175" s="23" t="str">
        <f>(IF(ISNUMBER(MATCH(B175,E!$B$6:$B$197,0)),VLOOKUP(B175,E!$B$6:$E$197,4,FALSE),VLOOKUP(B175,M!$B$6:$I$733,7,FALSE)))</f>
        <v>ს.რ.ფ</v>
      </c>
      <c r="N175" s="106"/>
    </row>
    <row r="176" spans="1:14" s="45" customFormat="1" ht="39.950000000000003" customHeight="1" x14ac:dyDescent="0.25">
      <c r="A176" s="39">
        <v>1.1000000000000001</v>
      </c>
      <c r="B176" s="40" t="s">
        <v>1053</v>
      </c>
      <c r="C176" s="41" t="s">
        <v>712</v>
      </c>
      <c r="D176" s="41"/>
      <c r="E176" s="52">
        <v>100</v>
      </c>
      <c r="F176" s="42"/>
      <c r="G176" s="42"/>
      <c r="H176" s="41"/>
      <c r="I176" s="41"/>
      <c r="J176" s="41"/>
      <c r="K176" s="41"/>
      <c r="L176" s="43" t="e">
        <f>SUM(L177:L183)</f>
        <v>#REF!</v>
      </c>
      <c r="M176" s="57" t="s">
        <v>1054</v>
      </c>
      <c r="N176" s="107"/>
    </row>
    <row r="177" spans="1:14" ht="39.950000000000003" customHeight="1" x14ac:dyDescent="0.25">
      <c r="A177" s="16" t="s">
        <v>668</v>
      </c>
      <c r="B177" s="17" t="s">
        <v>669</v>
      </c>
      <c r="C177" s="2" t="s">
        <v>670</v>
      </c>
      <c r="D177" s="2">
        <v>840</v>
      </c>
      <c r="E177" s="14">
        <f>D177*E176/100</f>
        <v>840</v>
      </c>
      <c r="F177" s="13"/>
      <c r="G177" s="13"/>
      <c r="H177" s="27">
        <f>IF((ISNUMBER(--LEFT(M176,2))),VLOOKUP(--LEFT(M176,2),N!$A$5:$C$54,3,FALSE),VLOOKUP(--LEFT(M176,1),N!$A$5:$C$54,3,FALSE))</f>
        <v>6</v>
      </c>
      <c r="I177" s="14">
        <f>ROUND(E177*H177,2)</f>
        <v>5040</v>
      </c>
      <c r="J177" s="2"/>
      <c r="K177" s="2"/>
      <c r="L177" s="14">
        <f t="shared" ref="L177:L183" si="31">G177+I177+K177</f>
        <v>5040</v>
      </c>
      <c r="M177" s="23" t="str">
        <f>(IF(ISNUMBER(MATCH(B177,E!$B$6:$B$197,0)),VLOOKUP(B177,E!$B$6:$E$197,4,FALSE),VLOOKUP(B177,M!$B$6:$I$733,7,FALSE)))</f>
        <v>მ.ც</v>
      </c>
      <c r="N177" s="106"/>
    </row>
    <row r="178" spans="1:14" ht="39.950000000000003" customHeight="1" x14ac:dyDescent="0.25">
      <c r="A178" s="16" t="s">
        <v>671</v>
      </c>
      <c r="B178" s="17" t="s">
        <v>654</v>
      </c>
      <c r="C178" s="2" t="s">
        <v>393</v>
      </c>
      <c r="D178" s="2">
        <v>81</v>
      </c>
      <c r="E178" s="14">
        <f>D178*E176/100</f>
        <v>81</v>
      </c>
      <c r="F178" s="13"/>
      <c r="G178" s="13"/>
      <c r="H178" s="13"/>
      <c r="I178" s="13"/>
      <c r="J178" s="35">
        <f>ROUND(IF(ISNUMBER(MATCH(B178,E!$B$6:$B$197,0)),VLOOKUP(B178,E!$B$6:$E$197,2,FALSE),IF(#REF!="დიახ",IF(VLOOKUP(B178,M!$B$6:$I$733,8,FALSE)="ლ",VLOOKUP(B178,M!$B$6:$I$733,3,FALSE)*0.001*#REF!*#REF!,IF(VLOOKUP(B178,M!$B$6:$I$733,8,FALSE)="მბ",VLOOKUP(B178,M!$B$6:$I$733,3,FALSE)*0.001*#REF!*#REF!,IF(VLOOKUP(B178,M!$B$6:$I$733,8,FALSE)="აბ",VLOOKUP(B178,M!$B$6:$I$733,3,FALSE)*0.001*#REF!*#REF!,IF(VLOOKUP(B178,M!$B$6:$I$733,8,FALSE)="ინ",VLOOKUP(B178,M!$B$6:$I$733,3,FALSE)*0.001*#REF!*#REF!,IF(VLOOKUP(B178,M!$B$6:$I$733,8,FALSE)="ას",VLOOKUP(B178,M!$B$6:$I$733,3,FALSE)*0.001*#REF!*#REF!,IF(VLOOKUP(B178,M!$B$6:$I$733,8,FALSE)="სხ",VLOOKUP(B178,M!$B$6:$I$733,3,FALSE)*0.001*#REF!*#REF!,IF(VLOOKUP(B178,M!$B$6:$I$733,8,FALSE)="ხმ",VLOOKUP(B178,M!$B$6:$I$733,3,FALSE)*0.001*#REF!*#REF!))))))))),2)</f>
        <v>3.2</v>
      </c>
      <c r="K178" s="14">
        <f t="shared" ref="K178:K182" si="32">ROUND(E178*J178,2)</f>
        <v>259.2</v>
      </c>
      <c r="L178" s="14">
        <f t="shared" si="31"/>
        <v>259.2</v>
      </c>
      <c r="M178" s="23" t="str">
        <f>(IF(ISNUMBER(MATCH(B178,E!$B$6:$B$197,0)),VLOOKUP(B178,E!$B$6:$E$197,4,FALSE),VLOOKUP(B178,M!$B$6:$I$733,7,FALSE)))</f>
        <v>ს.რ.ფ</v>
      </c>
      <c r="N178" s="106"/>
    </row>
    <row r="179" spans="1:14" ht="39.950000000000003" customHeight="1" x14ac:dyDescent="0.25">
      <c r="A179" s="16" t="s">
        <v>673</v>
      </c>
      <c r="B179" s="2" t="s">
        <v>799</v>
      </c>
      <c r="C179" s="2" t="s">
        <v>674</v>
      </c>
      <c r="D179" s="2">
        <v>101.5</v>
      </c>
      <c r="E179" s="14">
        <f>D179*E176/100</f>
        <v>101.5</v>
      </c>
      <c r="F179" s="31" t="e">
        <f>ROUND(VLOOKUP(B179,M!$B$6:$H$733,IF(#REF!="დაბალი",4,IF(#REF!="საშუალო",6,IF(#REF!="მაღალი",5))),FALSE),2)</f>
        <v>#REF!</v>
      </c>
      <c r="G179" s="14" t="e">
        <f>ROUND(E179*F179,2)</f>
        <v>#REF!</v>
      </c>
      <c r="H179" s="2"/>
      <c r="I179" s="2"/>
      <c r="J179" s="35" t="e">
        <f>ROUND(IF(ISNUMBER(MATCH(B179,E!$B$6:$B$197,0)),VLOOKUP(B179,E!$B$6:$E$197,2,FALSE),IF(#REF!="დიახ",IF(VLOOKUP(B179,M!$B$6:$I$733,8,FALSE)="ლ",VLOOKUP(B179,M!$B$6:$I$733,3,FALSE)*0.001*#REF!*#REF!,IF(VLOOKUP(B179,M!$B$6:$I$733,8,FALSE)="მბ",VLOOKUP(B179,M!$B$6:$I$733,3,FALSE)*0.001*#REF!*#REF!,IF(VLOOKUP(B179,M!$B$6:$I$733,8,FALSE)="აბ",VLOOKUP(B179,M!$B$6:$I$733,3,FALSE)*0.001*#REF!*#REF!,IF(VLOOKUP(B179,M!$B$6:$I$733,8,FALSE)="ინ",VLOOKUP(B179,M!$B$6:$I$733,3,FALSE)*0.001*#REF!*#REF!,IF(VLOOKUP(B179,M!$B$6:$I$733,8,FALSE)="ას",VLOOKUP(B179,M!$B$6:$I$733,3,FALSE)*0.001*#REF!*#REF!,IF(VLOOKUP(B179,M!$B$6:$I$733,8,FALSE)="სხ",VLOOKUP(B179,M!$B$6:$I$733,3,FALSE)*0.001*#REF!*#REF!,IF(VLOOKUP(B179,M!$B$6:$I$733,8,FALSE)="ხმ",VLOOKUP(B179,M!$B$6:$I$733,3,FALSE)*0.001*#REF!*#REF!))))))))),2)</f>
        <v>#REF!</v>
      </c>
      <c r="K179" s="14" t="e">
        <f t="shared" si="32"/>
        <v>#REF!</v>
      </c>
      <c r="L179" s="14" t="e">
        <f t="shared" si="31"/>
        <v>#REF!</v>
      </c>
      <c r="M179" s="23" t="str">
        <f>(IF(ISNUMBER(MATCH(B179,E!$B$6:$B$197,0)),VLOOKUP(B179,E!$B$6:$E$197,4,FALSE),VLOOKUP(B179,M!$B$6:$I$733,7,FALSE)))</f>
        <v>4.1-343</v>
      </c>
      <c r="N179" s="106"/>
    </row>
    <row r="180" spans="1:14" ht="39.950000000000003" customHeight="1" x14ac:dyDescent="0.25">
      <c r="A180" s="16" t="s">
        <v>675</v>
      </c>
      <c r="B180" s="2" t="s">
        <v>582</v>
      </c>
      <c r="C180" s="2" t="s">
        <v>814</v>
      </c>
      <c r="D180" s="2">
        <v>137</v>
      </c>
      <c r="E180" s="14">
        <f>D180*E176/100</f>
        <v>137</v>
      </c>
      <c r="F180" s="31" t="e">
        <f>ROUND(VLOOKUP(B180,M!$B$6:$H$733,IF(#REF!="დაბალი",4,IF(#REF!="საშუალო",6,IF(#REF!="მაღალი",5))),FALSE),2)</f>
        <v>#REF!</v>
      </c>
      <c r="G180" s="14" t="e">
        <f t="shared" ref="G180:G183" si="33">ROUND(E180*F180,2)</f>
        <v>#REF!</v>
      </c>
      <c r="H180" s="13"/>
      <c r="I180" s="13"/>
      <c r="J180" s="35" t="e">
        <f>ROUND(IF(ISNUMBER(MATCH(B180,E!$B$6:$B$197,0)),VLOOKUP(B180,E!$B$6:$E$197,2,FALSE),IF(#REF!="დიახ",IF(VLOOKUP(B180,M!$B$6:$I$733,8,FALSE)="ლ",VLOOKUP(B180,M!$B$6:$I$733,3,FALSE)*0.001*#REF!*#REF!,IF(VLOOKUP(B180,M!$B$6:$I$733,8,FALSE)="მბ",VLOOKUP(B180,M!$B$6:$I$733,3,FALSE)*0.001*#REF!*#REF!,IF(VLOOKUP(B180,M!$B$6:$I$733,8,FALSE)="აბ",VLOOKUP(B180,M!$B$6:$I$733,3,FALSE)*0.001*#REF!*#REF!,IF(VLOOKUP(B180,M!$B$6:$I$733,8,FALSE)="ინ",VLOOKUP(B180,M!$B$6:$I$733,3,FALSE)*0.001*#REF!*#REF!,IF(VLOOKUP(B180,M!$B$6:$I$733,8,FALSE)="ას",VLOOKUP(B180,M!$B$6:$I$733,3,FALSE)*0.001*#REF!*#REF!,IF(VLOOKUP(B180,M!$B$6:$I$733,8,FALSE)="სხ",VLOOKUP(B180,M!$B$6:$I$733,3,FALSE)*0.001*#REF!*#REF!,IF(VLOOKUP(B180,M!$B$6:$I$733,8,FALSE)="ხმ",VLOOKUP(B180,M!$B$6:$I$733,3,FALSE)*0.001*#REF!*#REF!))))))))),2)</f>
        <v>#REF!</v>
      </c>
      <c r="K180" s="14" t="e">
        <f t="shared" si="32"/>
        <v>#REF!</v>
      </c>
      <c r="L180" s="14" t="e">
        <f t="shared" si="31"/>
        <v>#REF!</v>
      </c>
      <c r="M180" s="23" t="str">
        <f>(IF(ISNUMBER(MATCH(B180,E!$B$6:$B$197,0)),VLOOKUP(B180,E!$B$6:$E$197,4,FALSE),VLOOKUP(B180,M!$B$6:$I$733,7,FALSE)))</f>
        <v>5.1-138</v>
      </c>
      <c r="N180" s="106"/>
    </row>
    <row r="181" spans="1:14" ht="39.950000000000003" customHeight="1" x14ac:dyDescent="0.25">
      <c r="A181" s="16" t="s">
        <v>695</v>
      </c>
      <c r="B181" s="2" t="s">
        <v>548</v>
      </c>
      <c r="C181" s="2" t="s">
        <v>674</v>
      </c>
      <c r="D181" s="2">
        <v>1.25</v>
      </c>
      <c r="E181" s="14">
        <f>D181*E176/100</f>
        <v>1.25</v>
      </c>
      <c r="F181" s="31" t="e">
        <f>ROUND(VLOOKUP(B181,M!$B$6:$H$733,IF(#REF!="დაბალი",4,IF(#REF!="საშუალო",6,IF(#REF!="მაღალი",5))),FALSE),2)</f>
        <v>#REF!</v>
      </c>
      <c r="G181" s="14" t="e">
        <f t="shared" si="33"/>
        <v>#REF!</v>
      </c>
      <c r="H181" s="2"/>
      <c r="I181" s="2"/>
      <c r="J181" s="35" t="e">
        <f>ROUND(IF(ISNUMBER(MATCH(B181,E!$B$6:$B$197,0)),VLOOKUP(B181,E!$B$6:$E$197,2,FALSE),IF(#REF!="დიახ",IF(VLOOKUP(B181,M!$B$6:$I$733,8,FALSE)="ლ",VLOOKUP(B181,M!$B$6:$I$733,3,FALSE)*0.001*#REF!*#REF!,IF(VLOOKUP(B181,M!$B$6:$I$733,8,FALSE)="მბ",VLOOKUP(B181,M!$B$6:$I$733,3,FALSE)*0.001*#REF!*#REF!,IF(VLOOKUP(B181,M!$B$6:$I$733,8,FALSE)="აბ",VLOOKUP(B181,M!$B$6:$I$733,3,FALSE)*0.001*#REF!*#REF!,IF(VLOOKUP(B181,M!$B$6:$I$733,8,FALSE)="ინ",VLOOKUP(B181,M!$B$6:$I$733,3,FALSE)*0.001*#REF!*#REF!,IF(VLOOKUP(B181,M!$B$6:$I$733,8,FALSE)="ას",VLOOKUP(B181,M!$B$6:$I$733,3,FALSE)*0.001*#REF!*#REF!,IF(VLOOKUP(B181,M!$B$6:$I$733,8,FALSE)="სხ",VLOOKUP(B181,M!$B$6:$I$733,3,FALSE)*0.001*#REF!*#REF!,IF(VLOOKUP(B181,M!$B$6:$I$733,8,FALSE)="ხმ",VLOOKUP(B181,M!$B$6:$I$733,3,FALSE)*0.001*#REF!*#REF!))))))))),2)</f>
        <v>#REF!</v>
      </c>
      <c r="K181" s="14" t="e">
        <f t="shared" si="32"/>
        <v>#REF!</v>
      </c>
      <c r="L181" s="14" t="e">
        <f t="shared" si="31"/>
        <v>#REF!</v>
      </c>
      <c r="M181" s="23" t="str">
        <f>(IF(ISNUMBER(MATCH(B181,E!$B$6:$B$197,0)),VLOOKUP(B181,E!$B$6:$E$197,4,FALSE),VLOOKUP(B181,M!$B$6:$I$733,7,FALSE)))</f>
        <v>5.1-19</v>
      </c>
      <c r="N181" s="106"/>
    </row>
    <row r="182" spans="1:14" ht="39.75" customHeight="1" x14ac:dyDescent="0.25">
      <c r="A182" s="16" t="s">
        <v>696</v>
      </c>
      <c r="B182" s="2" t="s">
        <v>550</v>
      </c>
      <c r="C182" s="2" t="s">
        <v>674</v>
      </c>
      <c r="D182" s="2">
        <v>2.82</v>
      </c>
      <c r="E182" s="14">
        <f>D182*E176/100</f>
        <v>2.82</v>
      </c>
      <c r="F182" s="31" t="e">
        <f>ROUND(VLOOKUP(B182,M!$B$6:$H$733,IF(#REF!="დაბალი",4,IF(#REF!="საშუალო",6,IF(#REF!="მაღალი",5))),FALSE),2)</f>
        <v>#REF!</v>
      </c>
      <c r="G182" s="14" t="e">
        <f t="shared" si="33"/>
        <v>#REF!</v>
      </c>
      <c r="H182" s="2"/>
      <c r="I182" s="2"/>
      <c r="J182" s="35" t="e">
        <f>ROUND(IF(ISNUMBER(MATCH(B182,E!$B$6:$B$197,0)),VLOOKUP(B182,E!$B$6:$E$197,2,FALSE),IF(#REF!="დიახ",IF(VLOOKUP(B182,M!$B$6:$I$733,8,FALSE)="ლ",VLOOKUP(B182,M!$B$6:$I$733,3,FALSE)*0.001*#REF!*#REF!,IF(VLOOKUP(B182,M!$B$6:$I$733,8,FALSE)="მბ",VLOOKUP(B182,M!$B$6:$I$733,3,FALSE)*0.001*#REF!*#REF!,IF(VLOOKUP(B182,M!$B$6:$I$733,8,FALSE)="აბ",VLOOKUP(B182,M!$B$6:$I$733,3,FALSE)*0.001*#REF!*#REF!,IF(VLOOKUP(B182,M!$B$6:$I$733,8,FALSE)="ინ",VLOOKUP(B182,M!$B$6:$I$733,3,FALSE)*0.001*#REF!*#REF!,IF(VLOOKUP(B182,M!$B$6:$I$733,8,FALSE)="ას",VLOOKUP(B182,M!$B$6:$I$733,3,FALSE)*0.001*#REF!*#REF!,IF(VLOOKUP(B182,M!$B$6:$I$733,8,FALSE)="სხ",VLOOKUP(B182,M!$B$6:$I$733,3,FALSE)*0.001*#REF!*#REF!,IF(VLOOKUP(B182,M!$B$6:$I$733,8,FALSE)="ხმ",VLOOKUP(B182,M!$B$6:$I$733,3,FALSE)*0.001*#REF!*#REF!))))))))),2)</f>
        <v>#REF!</v>
      </c>
      <c r="K182" s="14" t="e">
        <f t="shared" si="32"/>
        <v>#REF!</v>
      </c>
      <c r="L182" s="14" t="e">
        <f t="shared" si="31"/>
        <v>#REF!</v>
      </c>
      <c r="M182" s="23" t="str">
        <f>(IF(ISNUMBER(MATCH(B182,E!$B$6:$B$197,0)),VLOOKUP(B182,E!$B$6:$E$197,4,FALSE),VLOOKUP(B182,M!$B$6:$I$733,7,FALSE)))</f>
        <v>5.1-21</v>
      </c>
      <c r="N182" s="106"/>
    </row>
    <row r="183" spans="1:14" ht="39.950000000000003" customHeight="1" x14ac:dyDescent="0.25">
      <c r="A183" s="16" t="s">
        <v>733</v>
      </c>
      <c r="B183" s="17" t="s">
        <v>677</v>
      </c>
      <c r="C183" s="2" t="s">
        <v>393</v>
      </c>
      <c r="D183" s="2">
        <v>42</v>
      </c>
      <c r="E183" s="14">
        <f>D183*E176/100</f>
        <v>42</v>
      </c>
      <c r="F183" s="31" t="e">
        <f>ROUND(VLOOKUP(B183,M!$B$6:$H$733,IF(#REF!="დაბალი",4,IF(#REF!="საშუალო",6,IF(#REF!="მაღალი",5))),FALSE),2)</f>
        <v>#REF!</v>
      </c>
      <c r="G183" s="14" t="e">
        <f t="shared" si="33"/>
        <v>#REF!</v>
      </c>
      <c r="H183" s="13"/>
      <c r="I183" s="13"/>
      <c r="J183" s="13"/>
      <c r="K183" s="13"/>
      <c r="L183" s="14" t="e">
        <f t="shared" si="31"/>
        <v>#REF!</v>
      </c>
      <c r="M183" s="23" t="str">
        <f>(IF(ISNUMBER(MATCH(B183,E!$B$6:$B$197,0)),VLOOKUP(B183,E!$B$6:$E$197,4,FALSE),VLOOKUP(B183,M!$B$6:$I$733,7,FALSE)))</f>
        <v>ს.რ.ფ</v>
      </c>
      <c r="N183" s="106"/>
    </row>
    <row r="184" spans="1:14" s="45" customFormat="1" ht="39.950000000000003" customHeight="1" x14ac:dyDescent="0.25">
      <c r="A184" s="39">
        <v>1.1000000000000001</v>
      </c>
      <c r="B184" s="40" t="s">
        <v>1318</v>
      </c>
      <c r="C184" s="41" t="s">
        <v>712</v>
      </c>
      <c r="D184" s="41"/>
      <c r="E184" s="52">
        <v>100</v>
      </c>
      <c r="F184" s="42"/>
      <c r="G184" s="42"/>
      <c r="H184" s="41"/>
      <c r="I184" s="41"/>
      <c r="J184" s="41"/>
      <c r="K184" s="41"/>
      <c r="L184" s="43" t="e">
        <f>SUM(L185:L191)</f>
        <v>#REF!</v>
      </c>
      <c r="M184" s="57" t="s">
        <v>1054</v>
      </c>
      <c r="N184" s="107"/>
    </row>
    <row r="185" spans="1:14" ht="39.950000000000003" customHeight="1" x14ac:dyDescent="0.25">
      <c r="A185" s="16" t="s">
        <v>668</v>
      </c>
      <c r="B185" s="17" t="s">
        <v>669</v>
      </c>
      <c r="C185" s="2" t="s">
        <v>670</v>
      </c>
      <c r="D185" s="2">
        <v>840</v>
      </c>
      <c r="E185" s="14">
        <f>D185*E184/100</f>
        <v>840</v>
      </c>
      <c r="F185" s="13"/>
      <c r="G185" s="13"/>
      <c r="H185" s="27">
        <f>IF((ISNUMBER(--LEFT(M184,2))),VLOOKUP(--LEFT(M184,2),N!$A$5:$C$54,3,FALSE),VLOOKUP(--LEFT(M184,1),N!$A$5:$C$54,3,FALSE))</f>
        <v>6</v>
      </c>
      <c r="I185" s="14">
        <f>ROUND(E185*H185,2)</f>
        <v>5040</v>
      </c>
      <c r="J185" s="2"/>
      <c r="K185" s="2"/>
      <c r="L185" s="14">
        <f t="shared" ref="L185:L191" si="34">G185+I185+K185</f>
        <v>5040</v>
      </c>
      <c r="M185" s="23" t="str">
        <f>(IF(ISNUMBER(MATCH(B185,E!$B$6:$B$197,0)),VLOOKUP(B185,E!$B$6:$E$197,4,FALSE),VLOOKUP(B185,M!$B$6:$I$733,7,FALSE)))</f>
        <v>მ.ც</v>
      </c>
      <c r="N185" s="106"/>
    </row>
    <row r="186" spans="1:14" ht="39.950000000000003" customHeight="1" x14ac:dyDescent="0.25">
      <c r="A186" s="16" t="s">
        <v>671</v>
      </c>
      <c r="B186" s="17" t="s">
        <v>654</v>
      </c>
      <c r="C186" s="2" t="s">
        <v>393</v>
      </c>
      <c r="D186" s="2">
        <v>81</v>
      </c>
      <c r="E186" s="14">
        <f>D186*E184/100</f>
        <v>81</v>
      </c>
      <c r="F186" s="13"/>
      <c r="G186" s="13"/>
      <c r="H186" s="13"/>
      <c r="I186" s="13"/>
      <c r="J186" s="35">
        <f>ROUND(IF(ISNUMBER(MATCH(B186,E!$B$6:$B$197,0)),VLOOKUP(B186,E!$B$6:$E$197,2,FALSE),IF(#REF!="დიახ",IF(VLOOKUP(B186,M!$B$6:$I$733,8,FALSE)="ლ",VLOOKUP(B186,M!$B$6:$I$733,3,FALSE)*0.001*#REF!*#REF!,IF(VLOOKUP(B186,M!$B$6:$I$733,8,FALSE)="მბ",VLOOKUP(B186,M!$B$6:$I$733,3,FALSE)*0.001*#REF!*#REF!,IF(VLOOKUP(B186,M!$B$6:$I$733,8,FALSE)="აბ",VLOOKUP(B186,M!$B$6:$I$733,3,FALSE)*0.001*#REF!*#REF!,IF(VLOOKUP(B186,M!$B$6:$I$733,8,FALSE)="ინ",VLOOKUP(B186,M!$B$6:$I$733,3,FALSE)*0.001*#REF!*#REF!,IF(VLOOKUP(B186,M!$B$6:$I$733,8,FALSE)="ას",VLOOKUP(B186,M!$B$6:$I$733,3,FALSE)*0.001*#REF!*#REF!,IF(VLOOKUP(B186,M!$B$6:$I$733,8,FALSE)="სხ",VLOOKUP(B186,M!$B$6:$I$733,3,FALSE)*0.001*#REF!*#REF!,IF(VLOOKUP(B186,M!$B$6:$I$733,8,FALSE)="ხმ",VLOOKUP(B186,M!$B$6:$I$733,3,FALSE)*0.001*#REF!*#REF!))))))))),2)</f>
        <v>3.2</v>
      </c>
      <c r="K186" s="14">
        <f t="shared" ref="K186:K190" si="35">ROUND(E186*J186,2)</f>
        <v>259.2</v>
      </c>
      <c r="L186" s="14">
        <f t="shared" si="34"/>
        <v>259.2</v>
      </c>
      <c r="M186" s="23" t="str">
        <f>(IF(ISNUMBER(MATCH(B186,E!$B$6:$B$197,0)),VLOOKUP(B186,E!$B$6:$E$197,4,FALSE),VLOOKUP(B186,M!$B$6:$I$733,7,FALSE)))</f>
        <v>ს.რ.ფ</v>
      </c>
      <c r="N186" s="106"/>
    </row>
    <row r="187" spans="1:14" ht="39.950000000000003" customHeight="1" x14ac:dyDescent="0.25">
      <c r="A187" s="16" t="s">
        <v>673</v>
      </c>
      <c r="B187" s="2" t="s">
        <v>799</v>
      </c>
      <c r="C187" s="2" t="s">
        <v>674</v>
      </c>
      <c r="D187" s="2">
        <v>101.5</v>
      </c>
      <c r="E187" s="14">
        <f>D187*E184/100</f>
        <v>101.5</v>
      </c>
      <c r="F187" s="31" t="e">
        <f>ROUND(VLOOKUP(B187,M!$B$6:$H$733,IF(#REF!="დაბალი",4,IF(#REF!="საშუალო",6,IF(#REF!="მაღალი",5))),FALSE),2)</f>
        <v>#REF!</v>
      </c>
      <c r="G187" s="14" t="e">
        <f>ROUND(E187*F187,2)</f>
        <v>#REF!</v>
      </c>
      <c r="H187" s="2"/>
      <c r="I187" s="2"/>
      <c r="J187" s="35" t="e">
        <f>ROUND(IF(ISNUMBER(MATCH(B187,E!$B$6:$B$197,0)),VLOOKUP(B187,E!$B$6:$E$197,2,FALSE),IF(#REF!="დიახ",IF(VLOOKUP(B187,M!$B$6:$I$733,8,FALSE)="ლ",VLOOKUP(B187,M!$B$6:$I$733,3,FALSE)*0.001*#REF!*#REF!,IF(VLOOKUP(B187,M!$B$6:$I$733,8,FALSE)="მბ",VLOOKUP(B187,M!$B$6:$I$733,3,FALSE)*0.001*#REF!*#REF!,IF(VLOOKUP(B187,M!$B$6:$I$733,8,FALSE)="აბ",VLOOKUP(B187,M!$B$6:$I$733,3,FALSE)*0.001*#REF!*#REF!,IF(VLOOKUP(B187,M!$B$6:$I$733,8,FALSE)="ინ",VLOOKUP(B187,M!$B$6:$I$733,3,FALSE)*0.001*#REF!*#REF!,IF(VLOOKUP(B187,M!$B$6:$I$733,8,FALSE)="ას",VLOOKUP(B187,M!$B$6:$I$733,3,FALSE)*0.001*#REF!*#REF!,IF(VLOOKUP(B187,M!$B$6:$I$733,8,FALSE)="სხ",VLOOKUP(B187,M!$B$6:$I$733,3,FALSE)*0.001*#REF!*#REF!,IF(VLOOKUP(B187,M!$B$6:$I$733,8,FALSE)="ხმ",VLOOKUP(B187,M!$B$6:$I$733,3,FALSE)*0.001*#REF!*#REF!))))))))),2)</f>
        <v>#REF!</v>
      </c>
      <c r="K187" s="14" t="e">
        <f t="shared" si="35"/>
        <v>#REF!</v>
      </c>
      <c r="L187" s="14" t="e">
        <f t="shared" si="34"/>
        <v>#REF!</v>
      </c>
      <c r="M187" s="23" t="str">
        <f>(IF(ISNUMBER(MATCH(B187,E!$B$6:$B$197,0)),VLOOKUP(B187,E!$B$6:$E$197,4,FALSE),VLOOKUP(B187,M!$B$6:$I$733,7,FALSE)))</f>
        <v>4.1-343</v>
      </c>
      <c r="N187" s="106"/>
    </row>
    <row r="188" spans="1:14" ht="39.950000000000003" customHeight="1" x14ac:dyDescent="0.25">
      <c r="A188" s="16" t="s">
        <v>675</v>
      </c>
      <c r="B188" s="2" t="s">
        <v>582</v>
      </c>
      <c r="C188" s="2" t="s">
        <v>814</v>
      </c>
      <c r="D188" s="2">
        <v>137</v>
      </c>
      <c r="E188" s="14">
        <f>D188*E184/100</f>
        <v>137</v>
      </c>
      <c r="F188" s="31" t="e">
        <f>ROUND(VLOOKUP(B188,M!$B$6:$H$733,IF(#REF!="დაბალი",4,IF(#REF!="საშუალო",6,IF(#REF!="მაღალი",5))),FALSE),2)</f>
        <v>#REF!</v>
      </c>
      <c r="G188" s="14" t="e">
        <f t="shared" ref="G188:G191" si="36">ROUND(E188*F188,2)</f>
        <v>#REF!</v>
      </c>
      <c r="H188" s="13"/>
      <c r="I188" s="13"/>
      <c r="J188" s="35" t="e">
        <f>ROUND(IF(ISNUMBER(MATCH(B188,E!$B$6:$B$197,0)),VLOOKUP(B188,E!$B$6:$E$197,2,FALSE),IF(#REF!="დიახ",IF(VLOOKUP(B188,M!$B$6:$I$733,8,FALSE)="ლ",VLOOKUP(B188,M!$B$6:$I$733,3,FALSE)*0.001*#REF!*#REF!,IF(VLOOKUP(B188,M!$B$6:$I$733,8,FALSE)="მბ",VLOOKUP(B188,M!$B$6:$I$733,3,FALSE)*0.001*#REF!*#REF!,IF(VLOOKUP(B188,M!$B$6:$I$733,8,FALSE)="აბ",VLOOKUP(B188,M!$B$6:$I$733,3,FALSE)*0.001*#REF!*#REF!,IF(VLOOKUP(B188,M!$B$6:$I$733,8,FALSE)="ინ",VLOOKUP(B188,M!$B$6:$I$733,3,FALSE)*0.001*#REF!*#REF!,IF(VLOOKUP(B188,M!$B$6:$I$733,8,FALSE)="ას",VLOOKUP(B188,M!$B$6:$I$733,3,FALSE)*0.001*#REF!*#REF!,IF(VLOOKUP(B188,M!$B$6:$I$733,8,FALSE)="სხ",VLOOKUP(B188,M!$B$6:$I$733,3,FALSE)*0.001*#REF!*#REF!,IF(VLOOKUP(B188,M!$B$6:$I$733,8,FALSE)="ხმ",VLOOKUP(B188,M!$B$6:$I$733,3,FALSE)*0.001*#REF!*#REF!))))))))),2)</f>
        <v>#REF!</v>
      </c>
      <c r="K188" s="14" t="e">
        <f t="shared" si="35"/>
        <v>#REF!</v>
      </c>
      <c r="L188" s="14" t="e">
        <f t="shared" si="34"/>
        <v>#REF!</v>
      </c>
      <c r="M188" s="23" t="str">
        <f>(IF(ISNUMBER(MATCH(B188,E!$B$6:$B$197,0)),VLOOKUP(B188,E!$B$6:$E$197,4,FALSE),VLOOKUP(B188,M!$B$6:$I$733,7,FALSE)))</f>
        <v>5.1-138</v>
      </c>
      <c r="N188" s="106"/>
    </row>
    <row r="189" spans="1:14" ht="39.950000000000003" customHeight="1" x14ac:dyDescent="0.25">
      <c r="A189" s="16" t="s">
        <v>695</v>
      </c>
      <c r="B189" s="2" t="s">
        <v>548</v>
      </c>
      <c r="C189" s="2" t="s">
        <v>674</v>
      </c>
      <c r="D189" s="2">
        <v>1.25</v>
      </c>
      <c r="E189" s="14">
        <f>D189*E184/100</f>
        <v>1.25</v>
      </c>
      <c r="F189" s="31" t="e">
        <f>ROUND(VLOOKUP(B189,M!$B$6:$H$733,IF(#REF!="დაბალი",4,IF(#REF!="საშუალო",6,IF(#REF!="მაღალი",5))),FALSE),2)</f>
        <v>#REF!</v>
      </c>
      <c r="G189" s="14" t="e">
        <f t="shared" si="36"/>
        <v>#REF!</v>
      </c>
      <c r="H189" s="2"/>
      <c r="I189" s="2"/>
      <c r="J189" s="35" t="e">
        <f>ROUND(IF(ISNUMBER(MATCH(B189,E!$B$6:$B$197,0)),VLOOKUP(B189,E!$B$6:$E$197,2,FALSE),IF(#REF!="დიახ",IF(VLOOKUP(B189,M!$B$6:$I$733,8,FALSE)="ლ",VLOOKUP(B189,M!$B$6:$I$733,3,FALSE)*0.001*#REF!*#REF!,IF(VLOOKUP(B189,M!$B$6:$I$733,8,FALSE)="მბ",VLOOKUP(B189,M!$B$6:$I$733,3,FALSE)*0.001*#REF!*#REF!,IF(VLOOKUP(B189,M!$B$6:$I$733,8,FALSE)="აბ",VLOOKUP(B189,M!$B$6:$I$733,3,FALSE)*0.001*#REF!*#REF!,IF(VLOOKUP(B189,M!$B$6:$I$733,8,FALSE)="ინ",VLOOKUP(B189,M!$B$6:$I$733,3,FALSE)*0.001*#REF!*#REF!,IF(VLOOKUP(B189,M!$B$6:$I$733,8,FALSE)="ას",VLOOKUP(B189,M!$B$6:$I$733,3,FALSE)*0.001*#REF!*#REF!,IF(VLOOKUP(B189,M!$B$6:$I$733,8,FALSE)="სხ",VLOOKUP(B189,M!$B$6:$I$733,3,FALSE)*0.001*#REF!*#REF!,IF(VLOOKUP(B189,M!$B$6:$I$733,8,FALSE)="ხმ",VLOOKUP(B189,M!$B$6:$I$733,3,FALSE)*0.001*#REF!*#REF!))))))))),2)</f>
        <v>#REF!</v>
      </c>
      <c r="K189" s="14" t="e">
        <f t="shared" si="35"/>
        <v>#REF!</v>
      </c>
      <c r="L189" s="14" t="e">
        <f t="shared" si="34"/>
        <v>#REF!</v>
      </c>
      <c r="M189" s="23" t="str">
        <f>(IF(ISNUMBER(MATCH(B189,E!$B$6:$B$197,0)),VLOOKUP(B189,E!$B$6:$E$197,4,FALSE),VLOOKUP(B189,M!$B$6:$I$733,7,FALSE)))</f>
        <v>5.1-19</v>
      </c>
      <c r="N189" s="106"/>
    </row>
    <row r="190" spans="1:14" ht="39.75" customHeight="1" x14ac:dyDescent="0.25">
      <c r="A190" s="16" t="s">
        <v>696</v>
      </c>
      <c r="B190" s="2" t="s">
        <v>550</v>
      </c>
      <c r="C190" s="2" t="s">
        <v>674</v>
      </c>
      <c r="D190" s="2">
        <v>2.82</v>
      </c>
      <c r="E190" s="14">
        <f>D190*E184/100</f>
        <v>2.82</v>
      </c>
      <c r="F190" s="31" t="e">
        <f>ROUND(VLOOKUP(B190,M!$B$6:$H$733,IF(#REF!="დაბალი",4,IF(#REF!="საშუალო",6,IF(#REF!="მაღალი",5))),FALSE),2)</f>
        <v>#REF!</v>
      </c>
      <c r="G190" s="14" t="e">
        <f t="shared" si="36"/>
        <v>#REF!</v>
      </c>
      <c r="H190" s="2"/>
      <c r="I190" s="2"/>
      <c r="J190" s="35" t="e">
        <f>ROUND(IF(ISNUMBER(MATCH(B190,E!$B$6:$B$197,0)),VLOOKUP(B190,E!$B$6:$E$197,2,FALSE),IF(#REF!="დიახ",IF(VLOOKUP(B190,M!$B$6:$I$733,8,FALSE)="ლ",VLOOKUP(B190,M!$B$6:$I$733,3,FALSE)*0.001*#REF!*#REF!,IF(VLOOKUP(B190,M!$B$6:$I$733,8,FALSE)="მბ",VLOOKUP(B190,M!$B$6:$I$733,3,FALSE)*0.001*#REF!*#REF!,IF(VLOOKUP(B190,M!$B$6:$I$733,8,FALSE)="აბ",VLOOKUP(B190,M!$B$6:$I$733,3,FALSE)*0.001*#REF!*#REF!,IF(VLOOKUP(B190,M!$B$6:$I$733,8,FALSE)="ინ",VLOOKUP(B190,M!$B$6:$I$733,3,FALSE)*0.001*#REF!*#REF!,IF(VLOOKUP(B190,M!$B$6:$I$733,8,FALSE)="ას",VLOOKUP(B190,M!$B$6:$I$733,3,FALSE)*0.001*#REF!*#REF!,IF(VLOOKUP(B190,M!$B$6:$I$733,8,FALSE)="სხ",VLOOKUP(B190,M!$B$6:$I$733,3,FALSE)*0.001*#REF!*#REF!,IF(VLOOKUP(B190,M!$B$6:$I$733,8,FALSE)="ხმ",VLOOKUP(B190,M!$B$6:$I$733,3,FALSE)*0.001*#REF!*#REF!))))))))),2)</f>
        <v>#REF!</v>
      </c>
      <c r="K190" s="14" t="e">
        <f t="shared" si="35"/>
        <v>#REF!</v>
      </c>
      <c r="L190" s="14" t="e">
        <f t="shared" si="34"/>
        <v>#REF!</v>
      </c>
      <c r="M190" s="23" t="str">
        <f>(IF(ISNUMBER(MATCH(B190,E!$B$6:$B$197,0)),VLOOKUP(B190,E!$B$6:$E$197,4,FALSE),VLOOKUP(B190,M!$B$6:$I$733,7,FALSE)))</f>
        <v>5.1-21</v>
      </c>
      <c r="N190" s="106"/>
    </row>
    <row r="191" spans="1:14" ht="39.950000000000003" customHeight="1" x14ac:dyDescent="0.25">
      <c r="A191" s="16" t="s">
        <v>733</v>
      </c>
      <c r="B191" s="17" t="s">
        <v>677</v>
      </c>
      <c r="C191" s="2" t="s">
        <v>393</v>
      </c>
      <c r="D191" s="2">
        <v>42</v>
      </c>
      <c r="E191" s="14">
        <f>D191*E184/100</f>
        <v>42</v>
      </c>
      <c r="F191" s="31" t="e">
        <f>ROUND(VLOOKUP(B191,M!$B$6:$H$733,IF(#REF!="დაბალი",4,IF(#REF!="საშუალო",6,IF(#REF!="მაღალი",5))),FALSE),2)</f>
        <v>#REF!</v>
      </c>
      <c r="G191" s="14" t="e">
        <f t="shared" si="36"/>
        <v>#REF!</v>
      </c>
      <c r="H191" s="13"/>
      <c r="I191" s="13"/>
      <c r="J191" s="13"/>
      <c r="K191" s="13"/>
      <c r="L191" s="14" t="e">
        <f t="shared" si="34"/>
        <v>#REF!</v>
      </c>
      <c r="M191" s="23" t="str">
        <f>(IF(ISNUMBER(MATCH(B191,E!$B$6:$B$197,0)),VLOOKUP(B191,E!$B$6:$E$197,4,FALSE),VLOOKUP(B191,M!$B$6:$I$733,7,FALSE)))</f>
        <v>ს.რ.ფ</v>
      </c>
      <c r="N191" s="106"/>
    </row>
    <row r="192" spans="1:14" ht="80.099999999999994" customHeight="1" x14ac:dyDescent="0.25">
      <c r="A192" s="98">
        <v>7</v>
      </c>
      <c r="B192" s="99" t="s">
        <v>609</v>
      </c>
      <c r="C192" s="10"/>
      <c r="D192" s="10"/>
      <c r="E192" s="10"/>
      <c r="F192" s="30"/>
      <c r="G192" s="10"/>
      <c r="H192" s="26"/>
      <c r="I192" s="10"/>
      <c r="J192" s="30"/>
      <c r="K192" s="30"/>
      <c r="L192" s="11"/>
      <c r="M192" s="22"/>
    </row>
    <row r="193" spans="1:13" s="45" customFormat="1" ht="39.950000000000003" customHeight="1" x14ac:dyDescent="0.25">
      <c r="A193" s="39">
        <v>1.1000000000000001</v>
      </c>
      <c r="B193" s="40" t="s">
        <v>1027</v>
      </c>
      <c r="C193" s="41" t="s">
        <v>9</v>
      </c>
      <c r="D193" s="41"/>
      <c r="E193" s="41">
        <v>1</v>
      </c>
      <c r="F193" s="42"/>
      <c r="G193" s="42"/>
      <c r="H193" s="42"/>
      <c r="I193" s="42"/>
      <c r="J193" s="42"/>
      <c r="K193" s="42"/>
      <c r="L193" s="43" t="e">
        <f>SUM(L194:L196)</f>
        <v>#REF!</v>
      </c>
      <c r="M193" s="44" t="s">
        <v>1028</v>
      </c>
    </row>
    <row r="194" spans="1:13" ht="39.950000000000003" customHeight="1" x14ac:dyDescent="0.25">
      <c r="A194" s="16" t="s">
        <v>668</v>
      </c>
      <c r="B194" s="17" t="s">
        <v>669</v>
      </c>
      <c r="C194" s="2" t="s">
        <v>670</v>
      </c>
      <c r="D194" s="2">
        <v>34</v>
      </c>
      <c r="E194" s="14">
        <f>D194*E193</f>
        <v>34</v>
      </c>
      <c r="F194" s="13"/>
      <c r="G194" s="13"/>
      <c r="H194" s="27">
        <f>IF((ISNUMBER(--LEFT(M193,2))),VLOOKUP(--LEFT(M193,2),N!$A$5:$C$54,3,FALSE),VLOOKUP(--LEFT(M193,1),N!$A$5:$C$54,3,FALSE))</f>
        <v>6</v>
      </c>
      <c r="I194" s="14">
        <f>ROUND(E194*H194,2)</f>
        <v>204</v>
      </c>
      <c r="J194" s="13"/>
      <c r="K194" s="13"/>
      <c r="L194" s="14">
        <f t="shared" ref="L194:L196" si="37">G194+I194+K194</f>
        <v>204</v>
      </c>
      <c r="M194" s="23" t="str">
        <f>(IF(ISNUMBER(MATCH(B194,E!$B$6:$B$197,0)),VLOOKUP(B194,E!$B$6:$E$197,4,FALSE),VLOOKUP(B194,M!$B$6:$I$733,7,FALSE)))</f>
        <v>მ.ც</v>
      </c>
    </row>
    <row r="195" spans="1:13" ht="39.950000000000003" customHeight="1" x14ac:dyDescent="0.25">
      <c r="A195" s="16" t="s">
        <v>671</v>
      </c>
      <c r="B195" s="2" t="s">
        <v>63</v>
      </c>
      <c r="C195" s="2" t="s">
        <v>9</v>
      </c>
      <c r="D195" s="2">
        <v>1</v>
      </c>
      <c r="E195" s="13">
        <f>D195*E193</f>
        <v>1</v>
      </c>
      <c r="F195" s="31" t="e">
        <f>ROUND(VLOOKUP(B195,M!$B$6:$H$733,IF(#REF!="დაბალი",4,IF(#REF!="საშუალო",6,IF(#REF!="მაღალი",5))),FALSE),2)</f>
        <v>#REF!</v>
      </c>
      <c r="G195" s="14" t="e">
        <f>ROUND(E195*F195,2)</f>
        <v>#REF!</v>
      </c>
      <c r="H195" s="13"/>
      <c r="I195" s="13"/>
      <c r="J195" s="35" t="e">
        <f>ROUND(IF(ISNUMBER(MATCH(B195,E!$B$6:$B$197,0)),VLOOKUP(B195,E!$B$6:$E$197,2,FALSE),IF(#REF!="დიახ",IF(VLOOKUP(B195,M!$B$6:$I$733,8,FALSE)="ლ",VLOOKUP(B195,M!$B$6:$I$733,3,FALSE)*0.001*#REF!*#REF!,IF(VLOOKUP(B195,M!$B$6:$I$733,8,FALSE)="მბ",VLOOKUP(B195,M!$B$6:$I$733,3,FALSE)*0.001*#REF!*#REF!,IF(VLOOKUP(B195,M!$B$6:$I$733,8,FALSE)="აბ",VLOOKUP(B195,M!$B$6:$I$733,3,FALSE)*0.001*#REF!*#REF!,IF(VLOOKUP(B195,M!$B$6:$I$733,8,FALSE)="ინ",VLOOKUP(B195,M!$B$6:$I$733,3,FALSE)*0.001*#REF!*#REF!,IF(VLOOKUP(B195,M!$B$6:$I$733,8,FALSE)="ას",VLOOKUP(B195,M!$B$6:$I$733,3,FALSE)*0.001*#REF!*#REF!,IF(VLOOKUP(B195,M!$B$6:$I$733,8,FALSE)="სხ",VLOOKUP(B195,M!$B$6:$I$733,3,FALSE)*0.001*#REF!*#REF!,IF(VLOOKUP(B195,M!$B$6:$I$733,8,FALSE)="ხმ",VLOOKUP(B195,M!$B$6:$I$733,3,FALSE)*0.001*#REF!*#REF!))))))))),2)</f>
        <v>#REF!</v>
      </c>
      <c r="K195" s="14" t="e">
        <f t="shared" ref="K195" si="38">ROUND(E195*J195,2)</f>
        <v>#REF!</v>
      </c>
      <c r="L195" s="14" t="e">
        <f t="shared" si="37"/>
        <v>#REF!</v>
      </c>
      <c r="M195" s="23" t="str">
        <f>(IF(ISNUMBER(MATCH(B195,E!$B$6:$B$197,0)),VLOOKUP(B195,E!$B$6:$E$197,4,FALSE),VLOOKUP(B195,M!$B$6:$I$733,7,FALSE)))</f>
        <v>1.4-27</v>
      </c>
    </row>
    <row r="196" spans="1:13" ht="39.950000000000003" customHeight="1" x14ac:dyDescent="0.25">
      <c r="A196" s="16" t="s">
        <v>673</v>
      </c>
      <c r="B196" s="2" t="s">
        <v>138</v>
      </c>
      <c r="C196" s="2" t="s">
        <v>28</v>
      </c>
      <c r="D196" s="2">
        <v>10</v>
      </c>
      <c r="E196" s="14">
        <f>D196*E193</f>
        <v>10</v>
      </c>
      <c r="F196" s="31" t="e">
        <f>ROUND(VLOOKUP(B196,M!$B$6:$H$733,IF(#REF!="დაბალი",4,IF(#REF!="საშუალო",6,IF(#REF!="მაღალი",5))),FALSE),2)</f>
        <v>#REF!</v>
      </c>
      <c r="G196" s="14" t="e">
        <f>ROUND(E196*F196,2)</f>
        <v>#REF!</v>
      </c>
      <c r="H196" s="2"/>
      <c r="I196" s="2"/>
      <c r="J196" s="2"/>
      <c r="K196" s="2"/>
      <c r="L196" s="14" t="e">
        <f t="shared" si="37"/>
        <v>#REF!</v>
      </c>
      <c r="M196" s="23" t="str">
        <f>(IF(ISNUMBER(MATCH(B196,E!$B$6:$B$197,0)),VLOOKUP(B196,E!$B$6:$E$197,4,FALSE),VLOOKUP(B196,M!$B$6:$I$733,7,FALSE)))</f>
        <v>1.10-15</v>
      </c>
    </row>
    <row r="197" spans="1:13" s="45" customFormat="1" ht="39.950000000000003" customHeight="1" x14ac:dyDescent="0.25">
      <c r="A197" s="70">
        <v>1.1000000000000001</v>
      </c>
      <c r="B197" s="40" t="s">
        <v>825</v>
      </c>
      <c r="C197" s="41" t="s">
        <v>712</v>
      </c>
      <c r="D197" s="41"/>
      <c r="E197" s="52">
        <v>100</v>
      </c>
      <c r="F197" s="42"/>
      <c r="G197" s="42"/>
      <c r="H197" s="42"/>
      <c r="I197" s="42"/>
      <c r="J197" s="42"/>
      <c r="K197" s="42"/>
      <c r="L197" s="43" t="e">
        <f>SUM(L198:L205)</f>
        <v>#REF!</v>
      </c>
      <c r="M197" s="44" t="s">
        <v>826</v>
      </c>
    </row>
    <row r="198" spans="1:13" ht="39.950000000000003" customHeight="1" x14ac:dyDescent="0.25">
      <c r="A198" s="16" t="s">
        <v>668</v>
      </c>
      <c r="B198" s="17" t="s">
        <v>669</v>
      </c>
      <c r="C198" s="2" t="s">
        <v>670</v>
      </c>
      <c r="D198" s="2">
        <v>859</v>
      </c>
      <c r="E198" s="14">
        <f>D198*E197/100</f>
        <v>859</v>
      </c>
      <c r="F198" s="13"/>
      <c r="G198" s="13"/>
      <c r="H198" s="27">
        <f>IF((ISNUMBER(--LEFT(M197,2))),VLOOKUP(--LEFT(M197,2),N!$A$5:$C$54,3,FALSE),VLOOKUP(--LEFT(M197,1),N!$A$5:$C$54,3,FALSE))</f>
        <v>6</v>
      </c>
      <c r="I198" s="14">
        <f>ROUND(E198*H198,2)</f>
        <v>5154</v>
      </c>
      <c r="J198" s="13"/>
      <c r="K198" s="13"/>
      <c r="L198" s="14">
        <f t="shared" ref="L198:L205" si="39">G198+I198+K198</f>
        <v>5154</v>
      </c>
      <c r="M198" s="23" t="str">
        <f>(IF(ISNUMBER(MATCH(B198,E!$B$6:$B$197,0)),VLOOKUP(B198,E!$B$6:$E$197,4,FALSE),VLOOKUP(B198,M!$B$6:$I$733,7,FALSE)))</f>
        <v>მ.ც</v>
      </c>
    </row>
    <row r="199" spans="1:13" ht="39.950000000000003" customHeight="1" x14ac:dyDescent="0.25">
      <c r="A199" s="16" t="s">
        <v>671</v>
      </c>
      <c r="B199" s="2" t="s">
        <v>177</v>
      </c>
      <c r="C199" s="2" t="s">
        <v>672</v>
      </c>
      <c r="D199" s="2">
        <v>100</v>
      </c>
      <c r="E199" s="14">
        <f>D199*E197/100</f>
        <v>100</v>
      </c>
      <c r="F199" s="13"/>
      <c r="G199" s="13"/>
      <c r="H199" s="13"/>
      <c r="I199" s="13"/>
      <c r="J199" s="35">
        <f>ROUND(IF(ISNUMBER(MATCH(B199,E!$B$6:$B$197,0)),VLOOKUP(B199,E!$B$6:$E$197,2,FALSE),IF(#REF!="დიახ",IF(VLOOKUP(B199,M!$B$6:$I$733,8,FALSE)="ლ",VLOOKUP(B199,M!$B$6:$I$733,3,FALSE)*0.001*#REF!*#REF!,IF(VLOOKUP(B199,M!$B$6:$I$733,8,FALSE)="მბ",VLOOKUP(B199,M!$B$6:$I$733,3,FALSE)*0.001*#REF!*#REF!,IF(VLOOKUP(B199,M!$B$6:$I$733,8,FALSE)="აბ",VLOOKUP(B199,M!$B$6:$I$733,3,FALSE)*0.001*#REF!*#REF!,IF(VLOOKUP(B199,M!$B$6:$I$733,8,FALSE)="ინ",VLOOKUP(B199,M!$B$6:$I$733,3,FALSE)*0.001*#REF!*#REF!,IF(VLOOKUP(B199,M!$B$6:$I$733,8,FALSE)="ას",VLOOKUP(B199,M!$B$6:$I$733,3,FALSE)*0.001*#REF!*#REF!,IF(VLOOKUP(B199,M!$B$6:$I$733,8,FALSE)="სხ",VLOOKUP(B199,M!$B$6:$I$733,3,FALSE)*0.001*#REF!*#REF!,IF(VLOOKUP(B199,M!$B$6:$I$733,8,FALSE)="ხმ",VLOOKUP(B199,M!$B$6:$I$733,3,FALSE)*0.001*#REF!*#REF!))))))))),2)</f>
        <v>29.28</v>
      </c>
      <c r="K199" s="14">
        <f t="shared" ref="K199:K204" si="40">ROUND(E199*J199,2)</f>
        <v>2928</v>
      </c>
      <c r="L199" s="14">
        <f t="shared" si="39"/>
        <v>2928</v>
      </c>
      <c r="M199" s="23" t="str">
        <f>(IF(ISNUMBER(MATCH(B199,E!$B$6:$B$197,0)),VLOOKUP(B199,E!$B$6:$E$197,4,FALSE),VLOOKUP(B199,M!$B$6:$I$733,7,FALSE)))</f>
        <v>14-51</v>
      </c>
    </row>
    <row r="200" spans="1:13" ht="39.950000000000003" customHeight="1" x14ac:dyDescent="0.25">
      <c r="A200" s="16" t="s">
        <v>673</v>
      </c>
      <c r="B200" s="17" t="s">
        <v>654</v>
      </c>
      <c r="C200" s="2" t="s">
        <v>393</v>
      </c>
      <c r="D200" s="2">
        <v>254</v>
      </c>
      <c r="E200" s="14">
        <f>D200*E197/100</f>
        <v>254</v>
      </c>
      <c r="F200" s="13"/>
      <c r="G200" s="13"/>
      <c r="H200" s="13"/>
      <c r="I200" s="13"/>
      <c r="J200" s="35">
        <f>ROUND(IF(ISNUMBER(MATCH(B200,E!$B$6:$B$197,0)),VLOOKUP(B200,E!$B$6:$E$197,2,FALSE),IF(#REF!="დიახ",IF(VLOOKUP(B200,M!$B$6:$I$733,8,FALSE)="ლ",VLOOKUP(B200,M!$B$6:$I$733,3,FALSE)*0.001*#REF!*#REF!,IF(VLOOKUP(B200,M!$B$6:$I$733,8,FALSE)="მბ",VLOOKUP(B200,M!$B$6:$I$733,3,FALSE)*0.001*#REF!*#REF!,IF(VLOOKUP(B200,M!$B$6:$I$733,8,FALSE)="აბ",VLOOKUP(B200,M!$B$6:$I$733,3,FALSE)*0.001*#REF!*#REF!,IF(VLOOKUP(B200,M!$B$6:$I$733,8,FALSE)="ინ",VLOOKUP(B200,M!$B$6:$I$733,3,FALSE)*0.001*#REF!*#REF!,IF(VLOOKUP(B200,M!$B$6:$I$733,8,FALSE)="ას",VLOOKUP(B200,M!$B$6:$I$733,3,FALSE)*0.001*#REF!*#REF!,IF(VLOOKUP(B200,M!$B$6:$I$733,8,FALSE)="სხ",VLOOKUP(B200,M!$B$6:$I$733,3,FALSE)*0.001*#REF!*#REF!,IF(VLOOKUP(B200,M!$B$6:$I$733,8,FALSE)="ხმ",VLOOKUP(B200,M!$B$6:$I$733,3,FALSE)*0.001*#REF!*#REF!))))))))),2)</f>
        <v>3.2</v>
      </c>
      <c r="K200" s="14">
        <f t="shared" si="40"/>
        <v>812.8</v>
      </c>
      <c r="L200" s="14">
        <f t="shared" si="39"/>
        <v>812.8</v>
      </c>
      <c r="M200" s="23" t="str">
        <f>(IF(ISNUMBER(MATCH(B200,E!$B$6:$B$197,0)),VLOOKUP(B200,E!$B$6:$E$197,4,FALSE),VLOOKUP(B200,M!$B$6:$I$733,7,FALSE)))</f>
        <v>ს.რ.ფ</v>
      </c>
    </row>
    <row r="201" spans="1:13" ht="39.950000000000003" customHeight="1" x14ac:dyDescent="0.25">
      <c r="A201" s="16" t="s">
        <v>675</v>
      </c>
      <c r="B201" s="2" t="s">
        <v>801</v>
      </c>
      <c r="C201" s="2" t="s">
        <v>674</v>
      </c>
      <c r="D201" s="2">
        <v>103</v>
      </c>
      <c r="E201" s="69">
        <f>D201*E197/100</f>
        <v>103</v>
      </c>
      <c r="F201" s="31" t="e">
        <f>ROUND(VLOOKUP(B201,M!$B$6:$H$733,IF(#REF!="დაბალი",4,IF(#REF!="საშუალო",6,IF(#REF!="მაღალი",5))),FALSE),2)</f>
        <v>#REF!</v>
      </c>
      <c r="G201" s="14" t="e">
        <f>ROUND(E201*F201,2)</f>
        <v>#REF!</v>
      </c>
      <c r="H201" s="13"/>
      <c r="I201" s="13"/>
      <c r="J201" s="31" t="e">
        <f>ROUND(IF(ISNUMBER(MATCH(B201,E!$B$6:$B$197,0)),VLOOKUP(B201,E!$B$6:$E$197,2,FALSE),IF(#REF!="დიახ",IF(VLOOKUP(B201,M!$B$6:$I$733,8,FALSE)="ლ",VLOOKUP(B201,M!$B$6:$I$733,3,FALSE)*0.001*#REF!*#REF!,IF(VLOOKUP(B201,M!$B$6:$I$733,8,FALSE)="მბ",VLOOKUP(B201,M!$B$6:$I$733,3,FALSE)*0.001*#REF!*#REF!,IF(VLOOKUP(B201,M!$B$6:$I$733,8,FALSE)="აბ",VLOOKUP(B201,M!$B$6:$I$733,3,FALSE)*0.001*#REF!*#REF!,IF(VLOOKUP(B201,M!$B$6:$I$733,8,FALSE)="ინ",VLOOKUP(B201,M!$B$6:$I$733,3,FALSE)*0.001*#REF!*#REF!,IF(VLOOKUP(B201,M!$B$6:$I$733,8,FALSE)="ას",VLOOKUP(B201,M!$B$6:$I$733,3,FALSE)*0.001*#REF!*#REF!,IF(VLOOKUP(B201,M!$B$6:$I$733,8,FALSE)="სხ",VLOOKUP(B201,M!$B$6:$I$733,3,FALSE)*0.001*#REF!*#REF!)))))))),2)</f>
        <v>#REF!</v>
      </c>
      <c r="K201" s="14" t="e">
        <f t="shared" si="40"/>
        <v>#REF!</v>
      </c>
      <c r="L201" s="14" t="e">
        <f t="shared" si="39"/>
        <v>#REF!</v>
      </c>
      <c r="M201" s="23" t="str">
        <f>(IF(ISNUMBER(MATCH(B201,E!$B$6:$B$197,0)),VLOOKUP(B201,E!$B$6:$E$197,4,FALSE),VLOOKUP(B201,M!$B$6:$I$733,7,FALSE)))</f>
        <v>4.1-345</v>
      </c>
    </row>
    <row r="202" spans="1:13" ht="39.75" customHeight="1" x14ac:dyDescent="0.25">
      <c r="A202" s="16" t="s">
        <v>695</v>
      </c>
      <c r="B202" s="2" t="s">
        <v>19</v>
      </c>
      <c r="C202" s="2" t="s">
        <v>9</v>
      </c>
      <c r="D202" s="2" t="s">
        <v>827</v>
      </c>
      <c r="E202" s="55">
        <v>0</v>
      </c>
      <c r="F202" s="31" t="e">
        <f>ROUND(VLOOKUP(B202,M!$B$6:$H$733,IF(#REF!="დაბალი",4,IF(#REF!="საშუალო",6,IF(#REF!="მაღალი",5))),FALSE),2)</f>
        <v>#REF!</v>
      </c>
      <c r="G202" s="14" t="e">
        <f t="shared" ref="G202:G205" si="41">ROUND(E202*F202,2)</f>
        <v>#REF!</v>
      </c>
      <c r="H202" s="2"/>
      <c r="I202" s="2"/>
      <c r="J202" s="31" t="e">
        <f>ROUND(IF(ISNUMBER(MATCH(B202,E!$B$6:$B$197,0)),VLOOKUP(B202,E!$B$6:$E$197,2,FALSE),IF(#REF!="დიახ",IF(VLOOKUP(B202,M!$B$6:$I$733,8,FALSE)="ლ",VLOOKUP(B202,M!$B$6:$I$733,3,FALSE)*0.001*#REF!*#REF!,IF(VLOOKUP(B202,M!$B$6:$I$733,8,FALSE)="მბ",VLOOKUP(B202,M!$B$6:$I$733,3,FALSE)*0.001*#REF!*#REF!,IF(VLOOKUP(B202,M!$B$6:$I$733,8,FALSE)="აბ",VLOOKUP(B202,M!$B$6:$I$733,3,FALSE)*0.001*#REF!*#REF!,IF(VLOOKUP(B202,M!$B$6:$I$733,8,FALSE)="ინ",VLOOKUP(B202,M!$B$6:$I$733,3,FALSE)*0.001*#REF!*#REF!,IF(VLOOKUP(B202,M!$B$6:$I$733,8,FALSE)="ას",VLOOKUP(B202,M!$B$6:$I$733,3,FALSE)*0.001*#REF!*#REF!,IF(VLOOKUP(B202,M!$B$6:$I$733,8,FALSE)="სხ",VLOOKUP(B202,M!$B$6:$I$733,3,FALSE)*0.001*#REF!*#REF!)))))))),2)</f>
        <v>#REF!</v>
      </c>
      <c r="K202" s="14" t="e">
        <f t="shared" si="40"/>
        <v>#REF!</v>
      </c>
      <c r="L202" s="14" t="e">
        <f t="shared" si="39"/>
        <v>#REF!</v>
      </c>
      <c r="M202" s="23" t="str">
        <f>(IF(ISNUMBER(MATCH(B202,E!$B$6:$B$197,0)),VLOOKUP(B202,E!$B$6:$E$197,4,FALSE),VLOOKUP(B202,M!$B$6:$I$733,7,FALSE)))</f>
        <v>1.1-10</v>
      </c>
    </row>
    <row r="203" spans="1:13" ht="39.950000000000003" customHeight="1" x14ac:dyDescent="0.25">
      <c r="A203" s="16" t="s">
        <v>696</v>
      </c>
      <c r="B203" s="2" t="s">
        <v>548</v>
      </c>
      <c r="C203" s="2" t="s">
        <v>674</v>
      </c>
      <c r="D203" s="2">
        <v>1.41</v>
      </c>
      <c r="E203" s="14">
        <f>D203*E197/100</f>
        <v>1.41</v>
      </c>
      <c r="F203" s="31" t="e">
        <f>ROUND(VLOOKUP(B203,M!$B$6:$H$733,IF(#REF!="დაბალი",4,IF(#REF!="საშუალო",6,IF(#REF!="მაღალი",5))),FALSE),2)</f>
        <v>#REF!</v>
      </c>
      <c r="G203" s="14" t="e">
        <f t="shared" si="41"/>
        <v>#REF!</v>
      </c>
      <c r="H203" s="2"/>
      <c r="I203" s="2"/>
      <c r="J203" s="35" t="e">
        <f>ROUND(IF(ISNUMBER(MATCH(B203,E!$B$6:$B$197,0)),VLOOKUP(B203,E!$B$6:$E$197,2,FALSE),IF(#REF!="დიახ",IF(VLOOKUP(B203,M!$B$6:$I$733,8,FALSE)="ლ",VLOOKUP(B203,M!$B$6:$I$733,3,FALSE)*0.001*#REF!*#REF!,IF(VLOOKUP(B203,M!$B$6:$I$733,8,FALSE)="მბ",VLOOKUP(B203,M!$B$6:$I$733,3,FALSE)*0.001*#REF!*#REF!,IF(VLOOKUP(B203,M!$B$6:$I$733,8,FALSE)="აბ",VLOOKUP(B203,M!$B$6:$I$733,3,FALSE)*0.001*#REF!*#REF!,IF(VLOOKUP(B203,M!$B$6:$I$733,8,FALSE)="ინ",VLOOKUP(B203,M!$B$6:$I$733,3,FALSE)*0.001*#REF!*#REF!,IF(VLOOKUP(B203,M!$B$6:$I$733,8,FALSE)="ას",VLOOKUP(B203,M!$B$6:$I$733,3,FALSE)*0.001*#REF!*#REF!,IF(VLOOKUP(B203,M!$B$6:$I$733,8,FALSE)="სხ",VLOOKUP(B203,M!$B$6:$I$733,3,FALSE)*0.001*#REF!*#REF!,IF(VLOOKUP(B203,M!$B$6:$I$733,8,FALSE)="ხმ",VLOOKUP(B203,M!$B$6:$I$733,3,FALSE)*0.001*#REF!*#REF!))))))))),2)</f>
        <v>#REF!</v>
      </c>
      <c r="K203" s="14" t="e">
        <f t="shared" si="40"/>
        <v>#REF!</v>
      </c>
      <c r="L203" s="14" t="e">
        <f t="shared" si="39"/>
        <v>#REF!</v>
      </c>
      <c r="M203" s="23" t="str">
        <f>(IF(ISNUMBER(MATCH(B203,E!$B$6:$B$197,0)),VLOOKUP(B203,E!$B$6:$E$197,4,FALSE),VLOOKUP(B203,M!$B$6:$I$733,7,FALSE)))</f>
        <v>5.1-19</v>
      </c>
    </row>
    <row r="204" spans="1:13" ht="39.950000000000003" customHeight="1" x14ac:dyDescent="0.25">
      <c r="A204" s="16" t="s">
        <v>733</v>
      </c>
      <c r="B204" s="2" t="s">
        <v>551</v>
      </c>
      <c r="C204" s="2" t="s">
        <v>674</v>
      </c>
      <c r="D204" s="2">
        <v>1.23</v>
      </c>
      <c r="E204" s="14">
        <f>D204*E197/100</f>
        <v>1.23</v>
      </c>
      <c r="F204" s="31" t="e">
        <f>ROUND(VLOOKUP(B204,M!$B$6:$H$733,IF(#REF!="დაბალი",4,IF(#REF!="საშუალო",6,IF(#REF!="მაღალი",5))),FALSE),2)</f>
        <v>#REF!</v>
      </c>
      <c r="G204" s="14" t="e">
        <f t="shared" si="41"/>
        <v>#REF!</v>
      </c>
      <c r="H204" s="2"/>
      <c r="I204" s="2"/>
      <c r="J204" s="35" t="e">
        <f>ROUND(IF(ISNUMBER(MATCH(B204,E!$B$6:$B$197,0)),VLOOKUP(B204,E!$B$6:$E$197,2,FALSE),IF(#REF!="დიახ",IF(VLOOKUP(B204,M!$B$6:$I$733,8,FALSE)="ლ",VLOOKUP(B204,M!$B$6:$I$733,3,FALSE)*0.001*#REF!*#REF!,IF(VLOOKUP(B204,M!$B$6:$I$733,8,FALSE)="მბ",VLOOKUP(B204,M!$B$6:$I$733,3,FALSE)*0.001*#REF!*#REF!,IF(VLOOKUP(B204,M!$B$6:$I$733,8,FALSE)="აბ",VLOOKUP(B204,M!$B$6:$I$733,3,FALSE)*0.001*#REF!*#REF!,IF(VLOOKUP(B204,M!$B$6:$I$733,8,FALSE)="ინ",VLOOKUP(B204,M!$B$6:$I$733,3,FALSE)*0.001*#REF!*#REF!,IF(VLOOKUP(B204,M!$B$6:$I$733,8,FALSE)="ას",VLOOKUP(B204,M!$B$6:$I$733,3,FALSE)*0.001*#REF!*#REF!,IF(VLOOKUP(B204,M!$B$6:$I$733,8,FALSE)="სხ",VLOOKUP(B204,M!$B$6:$I$733,3,FALSE)*0.001*#REF!*#REF!,IF(VLOOKUP(B204,M!$B$6:$I$733,8,FALSE)="ხმ",VLOOKUP(B204,M!$B$6:$I$733,3,FALSE)*0.001*#REF!*#REF!))))))))),2)</f>
        <v>#REF!</v>
      </c>
      <c r="K204" s="14" t="e">
        <f t="shared" si="40"/>
        <v>#REF!</v>
      </c>
      <c r="L204" s="14" t="e">
        <f t="shared" si="39"/>
        <v>#REF!</v>
      </c>
      <c r="M204" s="23" t="str">
        <f>(IF(ISNUMBER(MATCH(B204,E!$B$6:$B$197,0)),VLOOKUP(B204,E!$B$6:$E$197,4,FALSE),VLOOKUP(B204,M!$B$6:$I$733,7,FALSE)))</f>
        <v>5.1-22</v>
      </c>
    </row>
    <row r="205" spans="1:13" ht="39.950000000000003" customHeight="1" x14ac:dyDescent="0.25">
      <c r="A205" s="16" t="s">
        <v>734</v>
      </c>
      <c r="B205" s="17" t="s">
        <v>677</v>
      </c>
      <c r="C205" s="2" t="s">
        <v>393</v>
      </c>
      <c r="D205" s="2">
        <v>178</v>
      </c>
      <c r="E205" s="14">
        <f>D205*E197/100</f>
        <v>178</v>
      </c>
      <c r="F205" s="31" t="e">
        <f>ROUND(VLOOKUP(B205,M!$B$6:$H$733,IF(#REF!="დაბალი",4,IF(#REF!="საშუალო",6,IF(#REF!="მაღალი",5))),FALSE),2)</f>
        <v>#REF!</v>
      </c>
      <c r="G205" s="14" t="e">
        <f t="shared" si="41"/>
        <v>#REF!</v>
      </c>
      <c r="H205" s="2"/>
      <c r="I205" s="2"/>
      <c r="J205" s="2"/>
      <c r="K205" s="2"/>
      <c r="L205" s="14" t="e">
        <f t="shared" si="39"/>
        <v>#REF!</v>
      </c>
      <c r="M205" s="23" t="str">
        <f>(IF(ISNUMBER(MATCH(B205,E!$B$6:$B$197,0)),VLOOKUP(B205,E!$B$6:$E$197,4,FALSE),VLOOKUP(B205,M!$B$6:$I$733,7,FALSE)))</f>
        <v>ს.რ.ფ</v>
      </c>
    </row>
    <row r="206" spans="1:13" ht="39.950000000000003" customHeight="1" x14ac:dyDescent="0.25">
      <c r="A206" s="16"/>
      <c r="B206" s="17"/>
      <c r="C206" s="2"/>
      <c r="D206" s="2"/>
      <c r="E206" s="14"/>
      <c r="F206" s="13"/>
      <c r="G206" s="13"/>
      <c r="H206" s="27"/>
      <c r="I206" s="14"/>
      <c r="J206" s="35"/>
      <c r="K206" s="31"/>
      <c r="L206" s="14"/>
      <c r="M206" s="23"/>
    </row>
    <row r="207" spans="1:13" ht="39.950000000000003" customHeight="1" x14ac:dyDescent="0.25">
      <c r="A207" s="16"/>
      <c r="B207" s="17"/>
      <c r="C207" s="2"/>
      <c r="D207" s="2"/>
      <c r="E207" s="14"/>
      <c r="F207" s="13"/>
      <c r="G207" s="13"/>
      <c r="H207" s="13"/>
      <c r="I207" s="13"/>
      <c r="J207" s="35"/>
      <c r="K207" s="31"/>
      <c r="L207" s="14"/>
      <c r="M207" s="23"/>
    </row>
    <row r="208" spans="1:13" ht="39.950000000000003" customHeight="1" x14ac:dyDescent="0.25">
      <c r="A208" s="16"/>
      <c r="B208" s="2"/>
      <c r="C208" s="2"/>
      <c r="D208" s="2"/>
      <c r="E208" s="14"/>
      <c r="F208" s="31"/>
      <c r="G208" s="14"/>
      <c r="H208" s="2"/>
      <c r="I208" s="2"/>
      <c r="J208" s="35"/>
      <c r="K208" s="31"/>
      <c r="L208" s="14"/>
      <c r="M208" s="23"/>
    </row>
    <row r="209" spans="1:14" ht="39.950000000000003" customHeight="1" x14ac:dyDescent="0.25">
      <c r="A209" s="16"/>
      <c r="B209" s="17"/>
      <c r="C209" s="2"/>
      <c r="D209" s="2"/>
      <c r="E209" s="14"/>
      <c r="F209" s="31"/>
      <c r="G209" s="14"/>
      <c r="H209" s="13"/>
      <c r="I209" s="13"/>
      <c r="J209" s="35"/>
      <c r="K209" s="31"/>
      <c r="L209" s="14"/>
      <c r="M209" s="23"/>
    </row>
    <row r="210" spans="1:14" ht="80.099999999999994" customHeight="1" x14ac:dyDescent="0.25">
      <c r="A210" s="34">
        <v>8</v>
      </c>
      <c r="B210" s="33" t="s">
        <v>611</v>
      </c>
      <c r="C210" s="10"/>
      <c r="D210" s="10"/>
      <c r="E210" s="10"/>
      <c r="F210" s="30"/>
      <c r="G210" s="10"/>
      <c r="H210" s="26"/>
      <c r="I210" s="10"/>
      <c r="J210" s="30"/>
      <c r="K210" s="30"/>
      <c r="L210" s="11"/>
      <c r="M210" s="22"/>
    </row>
    <row r="211" spans="1:14" s="45" customFormat="1" ht="39.950000000000003" customHeight="1" x14ac:dyDescent="0.25">
      <c r="A211" s="39">
        <v>1.1000000000000001</v>
      </c>
      <c r="B211" s="40" t="s">
        <v>793</v>
      </c>
      <c r="C211" s="41" t="s">
        <v>792</v>
      </c>
      <c r="D211" s="41"/>
      <c r="E211" s="43">
        <v>1</v>
      </c>
      <c r="F211" s="42"/>
      <c r="G211" s="42"/>
      <c r="H211" s="42"/>
      <c r="I211" s="42"/>
      <c r="J211" s="35"/>
      <c r="K211" s="46"/>
      <c r="L211" s="43" t="e">
        <f>SUM(L212:L215)</f>
        <v>#REF!</v>
      </c>
      <c r="M211" s="44" t="s">
        <v>791</v>
      </c>
    </row>
    <row r="212" spans="1:14" ht="39.950000000000003" customHeight="1" x14ac:dyDescent="0.25">
      <c r="A212" s="16" t="s">
        <v>668</v>
      </c>
      <c r="B212" s="17" t="s">
        <v>669</v>
      </c>
      <c r="C212" s="2" t="s">
        <v>670</v>
      </c>
      <c r="D212" s="2">
        <v>0.89</v>
      </c>
      <c r="E212" s="14">
        <f>D212*E211</f>
        <v>0.89</v>
      </c>
      <c r="F212" s="13"/>
      <c r="G212" s="13"/>
      <c r="H212" s="27">
        <f>IF((ISNUMBER(--LEFT(M211,2))),VLOOKUP(--LEFT(M211,2),N!$A$5:$C$54,3,FALSE),VLOOKUP(--LEFT(M211,1),N!$A$5:$C$54,3,FALSE))</f>
        <v>7.8</v>
      </c>
      <c r="I212" s="14">
        <f>ROUND(E212*H212,2)</f>
        <v>6.94</v>
      </c>
      <c r="J212" s="35">
        <f>ROUND(IF(ISNUMBER(MATCH(B212,E!$B$6:$B$197,0)),VLOOKUP(B212,E!$B$6:$E$197,2,FALSE),IF(#REF!="დიახ",IF(VLOOKUP(B212,M!$B$6:$I$733,8,FALSE)="ლ",VLOOKUP(B212,M!$B$6:$I$733,3,FALSE)*0.001*#REF!*#REF!,IF(VLOOKUP(B212,M!$B$6:$I$733,8,FALSE)="მბ",VLOOKUP(B212,M!$B$6:$I$733,3,FALSE)*0.001*#REF!*#REF!,IF(VLOOKUP(B212,M!$B$6:$I$733,8,FALSE)="აბ",VLOOKUP(B212,M!$B$6:$I$733,3,FALSE)*0.001*#REF!*#REF!,IF(VLOOKUP(B212,M!$B$6:$I$733,8,FALSE)="ინ",VLOOKUP(B212,M!$B$6:$I$733,3,FALSE)*0.001*#REF!*#REF!,IF(VLOOKUP(B212,M!$B$6:$I$733,8,FALSE)="ას",VLOOKUP(B212,M!$B$6:$I$733,3,FALSE)*0.001*#REF!*#REF!,IF(VLOOKUP(B212,M!$B$6:$I$733,8,FALSE)="სხ",VLOOKUP(B212,M!$B$6:$I$733,3,FALSE)*0.001*#REF!*#REF!,IF(VLOOKUP(B212,M!$B$6:$I$733,8,FALSE)="ხმ",VLOOKUP(B212,M!$B$6:$I$733,3,FALSE)*0.001*#REF!*#REF!))))))))),2)</f>
        <v>0</v>
      </c>
      <c r="K212" s="31"/>
      <c r="L212" s="14">
        <f>G212+I212+K212</f>
        <v>6.94</v>
      </c>
      <c r="M212" s="23" t="str">
        <f>(IF(ISNUMBER(MATCH(B212,E!$B$6:$B$197,0)),VLOOKUP(B212,E!$B$6:$E$197,4,FALSE),VLOOKUP(B212,M!$B$6:$I$733,7,FALSE)))</f>
        <v>მ.ც</v>
      </c>
    </row>
    <row r="213" spans="1:14" ht="39.950000000000003" customHeight="1" x14ac:dyDescent="0.25">
      <c r="A213" s="16" t="s">
        <v>671</v>
      </c>
      <c r="B213" s="17" t="s">
        <v>654</v>
      </c>
      <c r="C213" s="2" t="s">
        <v>393</v>
      </c>
      <c r="D213" s="14">
        <v>0.37</v>
      </c>
      <c r="E213" s="14">
        <f>D213*E211</f>
        <v>0.37</v>
      </c>
      <c r="F213" s="13"/>
      <c r="G213" s="14"/>
      <c r="H213" s="2"/>
      <c r="I213" s="2"/>
      <c r="J213" s="35">
        <f>ROUND(IF(ISNUMBER(MATCH(B213,E!$B$6:$B$197,0)),VLOOKUP(B213,E!$B$6:$E$197,2,FALSE),IF(#REF!="დიახ",IF(VLOOKUP(B213,M!$B$6:$I$733,8,FALSE)="ლ",VLOOKUP(B213,M!$B$6:$I$733,3,FALSE)*0.001*#REF!*#REF!,IF(VLOOKUP(B213,M!$B$6:$I$733,8,FALSE)="მბ",VLOOKUP(B213,M!$B$6:$I$733,3,FALSE)*0.001*#REF!*#REF!,IF(VLOOKUP(B213,M!$B$6:$I$733,8,FALSE)="აბ",VLOOKUP(B213,M!$B$6:$I$733,3,FALSE)*0.001*#REF!*#REF!,IF(VLOOKUP(B213,M!$B$6:$I$733,8,FALSE)="ინ",VLOOKUP(B213,M!$B$6:$I$733,3,FALSE)*0.001*#REF!*#REF!,IF(VLOOKUP(B213,M!$B$6:$I$733,8,FALSE)="ას",VLOOKUP(B213,M!$B$6:$I$733,3,FALSE)*0.001*#REF!*#REF!,IF(VLOOKUP(B213,M!$B$6:$I$733,8,FALSE)="სხ",VLOOKUP(B213,M!$B$6:$I$733,3,FALSE)*0.001*#REF!*#REF!,IF(VLOOKUP(B213,M!$B$6:$I$733,8,FALSE)="ხმ",VLOOKUP(B213,M!$B$6:$I$733,3,FALSE)*0.001*#REF!*#REF!))))))))),2)</f>
        <v>3.2</v>
      </c>
      <c r="K213" s="31">
        <f>ROUND(E213*J213,2)</f>
        <v>1.18</v>
      </c>
      <c r="L213" s="14">
        <f t="shared" ref="L213" si="42">G213+I213+K213</f>
        <v>1.18</v>
      </c>
      <c r="M213" s="23" t="str">
        <f>(IF(ISNUMBER(MATCH(B213,E!$B$6:$B$197,0)),VLOOKUP(B213,E!$B$6:$E$197,4,FALSE),VLOOKUP(B213,M!$B$6:$I$733,7,FALSE)))</f>
        <v>ს.რ.ფ</v>
      </c>
    </row>
    <row r="214" spans="1:14" ht="39.950000000000003" customHeight="1" x14ac:dyDescent="0.25">
      <c r="A214" s="16" t="s">
        <v>673</v>
      </c>
      <c r="B214" s="2" t="s">
        <v>331</v>
      </c>
      <c r="C214" s="2" t="s">
        <v>674</v>
      </c>
      <c r="D214" s="2">
        <v>1.1499999999999999</v>
      </c>
      <c r="E214" s="14">
        <f>D214*E211</f>
        <v>1.1499999999999999</v>
      </c>
      <c r="F214" s="31" t="e">
        <f>ROUND(VLOOKUP(B214,M!$B$6:$H$733,IF(#REF!="დაბალი",4,IF(#REF!="საშუალო",6,IF(#REF!="მაღალი",5))),FALSE),2)</f>
        <v>#REF!</v>
      </c>
      <c r="G214" s="14" t="e">
        <f>ROUND(E214*F214,2)</f>
        <v>#REF!</v>
      </c>
      <c r="H214" s="13"/>
      <c r="I214" s="13"/>
      <c r="J214" s="35" t="e">
        <f>ROUND(IF(ISNUMBER(MATCH(B214,E!$B$6:$B$197,0)),VLOOKUP(B214,E!$B$6:$E$197,2,FALSE),IF(#REF!="დიახ",IF(VLOOKUP(B214,M!$B$6:$I$733,8,FALSE)="ლ",VLOOKUP(B214,M!$B$6:$I$733,3,FALSE)*0.001*#REF!*#REF!,IF(VLOOKUP(B214,M!$B$6:$I$733,8,FALSE)="მბ",VLOOKUP(B214,M!$B$6:$I$733,3,FALSE)*0.001*#REF!*#REF!,IF(VLOOKUP(B214,M!$B$6:$I$733,8,FALSE)="აბ",VLOOKUP(B214,M!$B$6:$I$733,3,FALSE)*0.001*#REF!*#REF!,IF(VLOOKUP(B214,M!$B$6:$I$733,8,FALSE)="ინ",VLOOKUP(B214,M!$B$6:$I$733,3,FALSE)*0.001*#REF!*#REF!,IF(VLOOKUP(B214,M!$B$6:$I$733,8,FALSE)="ას",VLOOKUP(B214,M!$B$6:$I$733,3,FALSE)*0.001*#REF!*#REF!,IF(VLOOKUP(B214,M!$B$6:$I$733,8,FALSE)="სხ",VLOOKUP(B214,M!$B$6:$I$733,3,FALSE)*0.001*#REF!*#REF!,IF(VLOOKUP(B214,M!$B$6:$I$733,8,FALSE)="ხმ",VLOOKUP(B214,M!$B$6:$I$733,3,FALSE)*0.001*#REF!*#REF!))))))))),2)</f>
        <v>#REF!</v>
      </c>
      <c r="K214" s="31" t="e">
        <f>ROUND(E214*J214,2)</f>
        <v>#REF!</v>
      </c>
      <c r="L214" s="14" t="e">
        <f>G214+I214+K214</f>
        <v>#REF!</v>
      </c>
      <c r="M214" s="23" t="str">
        <f>(IF(ISNUMBER(MATCH(B214,E!$B$6:$B$197,0)),VLOOKUP(B214,E!$B$6:$E$197,4,FALSE),VLOOKUP(B214,M!$B$6:$I$733,7,FALSE)))</f>
        <v>4.1-228</v>
      </c>
    </row>
    <row r="215" spans="1:14" ht="39.950000000000003" customHeight="1" x14ac:dyDescent="0.25">
      <c r="A215" s="16" t="s">
        <v>675</v>
      </c>
      <c r="B215" s="17" t="s">
        <v>677</v>
      </c>
      <c r="C215" s="2" t="s">
        <v>393</v>
      </c>
      <c r="D215" s="2">
        <v>0.02</v>
      </c>
      <c r="E215" s="14">
        <f>D215*E211</f>
        <v>0.02</v>
      </c>
      <c r="F215" s="31" t="e">
        <f>ROUND(VLOOKUP(B215,M!$B$6:$H$733,IF(#REF!="დაბალი",4,IF(#REF!="საშუალო",6,IF(#REF!="მაღალი",5))),FALSE),2)</f>
        <v>#REF!</v>
      </c>
      <c r="G215" s="14" t="e">
        <f>ROUND(E215*F215,2)</f>
        <v>#REF!</v>
      </c>
      <c r="H215" s="2"/>
      <c r="I215" s="2"/>
      <c r="J215" s="35" t="e">
        <f>ROUND(IF(ISNUMBER(MATCH(B215,E!$B$6:$B$197,0)),VLOOKUP(B215,E!$B$6:$E$197,2,FALSE),IF(#REF!="დიახ",IF(VLOOKUP(B215,M!$B$6:$I$733,8,FALSE)="ლ",VLOOKUP(B215,M!$B$6:$I$733,3,FALSE)*0.001*#REF!*#REF!,IF(VLOOKUP(B215,M!$B$6:$I$733,8,FALSE)="მბ",VLOOKUP(B215,M!$B$6:$I$733,3,FALSE)*0.001*#REF!*#REF!,IF(VLOOKUP(B215,M!$B$6:$I$733,8,FALSE)="აბ",VLOOKUP(B215,M!$B$6:$I$733,3,FALSE)*0.001*#REF!*#REF!,IF(VLOOKUP(B215,M!$B$6:$I$733,8,FALSE)="ინ",VLOOKUP(B215,M!$B$6:$I$733,3,FALSE)*0.001*#REF!*#REF!,IF(VLOOKUP(B215,M!$B$6:$I$733,8,FALSE)="ას",VLOOKUP(B215,M!$B$6:$I$733,3,FALSE)*0.001*#REF!*#REF!,IF(VLOOKUP(B215,M!$B$6:$I$733,8,FALSE)="სხ",VLOOKUP(B215,M!$B$6:$I$733,3,FALSE)*0.001*#REF!*#REF!,IF(VLOOKUP(B215,M!$B$6:$I$733,8,FALSE)="ხმ",VLOOKUP(B215,M!$B$6:$I$733,3,FALSE)*0.001*#REF!*#REF!))))))))),2)</f>
        <v>#REF!</v>
      </c>
      <c r="K215" s="31"/>
      <c r="L215" s="14" t="e">
        <f t="shared" ref="L215" si="43">G215+I215+K215</f>
        <v>#REF!</v>
      </c>
      <c r="M215" s="23" t="str">
        <f>(IF(ISNUMBER(MATCH(B215,E!$B$6:$B$197,0)),VLOOKUP(B215,E!$B$6:$E$197,4,FALSE),VLOOKUP(B215,M!$B$6:$I$733,7,FALSE)))</f>
        <v>ს.რ.ფ</v>
      </c>
    </row>
    <row r="216" spans="1:14" s="45" customFormat="1" ht="39.950000000000003" customHeight="1" x14ac:dyDescent="0.25">
      <c r="A216" s="39">
        <v>1.1000000000000001</v>
      </c>
      <c r="B216" s="40" t="s">
        <v>1164</v>
      </c>
      <c r="C216" s="41" t="s">
        <v>792</v>
      </c>
      <c r="D216" s="41"/>
      <c r="E216" s="41">
        <v>1</v>
      </c>
      <c r="F216" s="42"/>
      <c r="G216" s="42"/>
      <c r="H216" s="42"/>
      <c r="I216" s="42"/>
      <c r="J216" s="42"/>
      <c r="K216" s="42"/>
      <c r="L216" s="43" t="e">
        <f>SUM(L217:L220)</f>
        <v>#REF!</v>
      </c>
      <c r="M216" s="44" t="s">
        <v>1165</v>
      </c>
      <c r="N216" s="104"/>
    </row>
    <row r="217" spans="1:14" ht="39.950000000000003" customHeight="1" x14ac:dyDescent="0.25">
      <c r="A217" s="16" t="s">
        <v>668</v>
      </c>
      <c r="B217" s="17" t="s">
        <v>669</v>
      </c>
      <c r="C217" s="2" t="s">
        <v>670</v>
      </c>
      <c r="D217" s="117">
        <v>6.5</v>
      </c>
      <c r="E217" s="118">
        <f>E216*D217</f>
        <v>6.5</v>
      </c>
      <c r="F217" s="129"/>
      <c r="G217" s="117"/>
      <c r="H217" s="27">
        <f>IF((ISNUMBER(--LEFT(M216,2))),VLOOKUP(--LEFT(M216,2),N!$A$5:$C$54,3,FALSE),VLOOKUP(--LEFT(M216,1),N!$A$5:$C$54,3,FALSE))</f>
        <v>7.8</v>
      </c>
      <c r="I217" s="117">
        <f t="shared" ref="I217" si="44">E217*H217</f>
        <v>50.699999999999996</v>
      </c>
      <c r="J217" s="129"/>
      <c r="K217" s="89"/>
      <c r="L217" s="14">
        <f t="shared" ref="L217" si="45">G217+I217+K217</f>
        <v>50.699999999999996</v>
      </c>
      <c r="M217" s="23" t="str">
        <f>(IF(ISNUMBER(MATCH(B217,E!$B$6:$B$197,0)),VLOOKUP(B217,E!$B$6:$E$197,4,FALSE),VLOOKUP(B217,M!$B$6:$I$733,7,FALSE)))</f>
        <v>მ.ც</v>
      </c>
      <c r="N217" s="103"/>
    </row>
    <row r="218" spans="1:14" ht="39.950000000000003" customHeight="1" x14ac:dyDescent="0.25">
      <c r="A218" s="16" t="s">
        <v>671</v>
      </c>
      <c r="B218" s="17" t="s">
        <v>654</v>
      </c>
      <c r="C218" s="2" t="s">
        <v>393</v>
      </c>
      <c r="D218" s="2">
        <v>2.16</v>
      </c>
      <c r="E218" s="14">
        <f>D218*E216</f>
        <v>2.16</v>
      </c>
      <c r="F218" s="13"/>
      <c r="G218" s="13"/>
      <c r="H218" s="2"/>
      <c r="I218" s="2"/>
      <c r="J218" s="35">
        <f>ROUND(IF(ISNUMBER(MATCH(B218,E!$B$6:$B$197,0)),VLOOKUP(B218,E!$B$6:$E$197,2,FALSE),IF(#REF!="დიახ",IF(VLOOKUP(B218,M!$B$6:$I$733,8,FALSE)="ლ",VLOOKUP(B218,M!$B$6:$I$733,3,FALSE)*0.001*#REF!*#REF!,IF(VLOOKUP(B218,M!$B$6:$I$733,8,FALSE)="მბ",VLOOKUP(B218,M!$B$6:$I$733,3,FALSE)*0.001*#REF!*#REF!,IF(VLOOKUP(B218,M!$B$6:$I$733,8,FALSE)="აბ",VLOOKUP(B218,M!$B$6:$I$733,3,FALSE)*0.001*#REF!*#REF!,IF(VLOOKUP(B218,M!$B$6:$I$733,8,FALSE)="ინ",VLOOKUP(B218,M!$B$6:$I$733,3,FALSE)*0.001*#REF!*#REF!,IF(VLOOKUP(B218,M!$B$6:$I$733,8,FALSE)="ას",VLOOKUP(B218,M!$B$6:$I$733,3,FALSE)*0.001*#REF!*#REF!,IF(VLOOKUP(B218,M!$B$6:$I$733,8,FALSE)="სხ",VLOOKUP(B218,M!$B$6:$I$733,3,FALSE)*0.001*#REF!*#REF!,IF(VLOOKUP(B218,M!$B$6:$I$733,8,FALSE)="ხმ",VLOOKUP(B218,M!$B$6:$I$733,3,FALSE)*0.001*#REF!*#REF!))))))))),2)</f>
        <v>3.2</v>
      </c>
      <c r="K218" s="14">
        <f>ROUND(E218*J218,2)</f>
        <v>6.91</v>
      </c>
      <c r="L218" s="14">
        <f>G218+I218+K218</f>
        <v>6.91</v>
      </c>
      <c r="M218" s="23" t="str">
        <f>(IF(ISNUMBER(MATCH(B218,E!$B$6:$B$197,0)),VLOOKUP(B218,E!$B$6:$E$197,4,FALSE),VLOOKUP(B218,M!$B$6:$I$733,7,FALSE)))</f>
        <v>ს.რ.ფ</v>
      </c>
      <c r="N218" s="103"/>
    </row>
    <row r="219" spans="1:14" ht="39.950000000000003" customHeight="1" x14ac:dyDescent="0.25">
      <c r="A219" s="16" t="s">
        <v>673</v>
      </c>
      <c r="B219" s="17" t="s">
        <v>323</v>
      </c>
      <c r="C219" s="2" t="s">
        <v>674</v>
      </c>
      <c r="D219" s="2">
        <v>1.1499999999999999</v>
      </c>
      <c r="E219" s="118">
        <f>E216*D219</f>
        <v>1.1499999999999999</v>
      </c>
      <c r="F219" s="31" t="e">
        <f>ROUND(VLOOKUP(B219,M!$B$6:$H$733,IF(#REF!="დაბალი",4,IF(#REF!="საშუალო",6,IF(#REF!="მაღალი",5))),FALSE),2)</f>
        <v>#REF!</v>
      </c>
      <c r="G219" s="13" t="e">
        <f>ROUND(E219*F219,1)</f>
        <v>#REF!</v>
      </c>
      <c r="H219" s="2"/>
      <c r="I219" s="2"/>
      <c r="J219" s="35" t="e">
        <f>ROUND(IF(ISNUMBER(MATCH(B219,E!$B$6:$B$197,0)),VLOOKUP(B219,E!$B$6:$E$197,2,FALSE),IF(#REF!="დიახ",IF(VLOOKUP(B219,M!$B$6:$I$733,8,FALSE)="ლ",VLOOKUP(B219,M!$B$6:$I$733,3,FALSE)*0.001*#REF!*#REF!,IF(VLOOKUP(B219,M!$B$6:$I$733,8,FALSE)="მბ",VLOOKUP(B219,M!$B$6:$I$733,3,FALSE)*0.001*#REF!*#REF!,IF(VLOOKUP(B219,M!$B$6:$I$733,8,FALSE)="აბ",VLOOKUP(B219,M!$B$6:$I$733,3,FALSE)*0.001*#REF!*#REF!,IF(VLOOKUP(B219,M!$B$6:$I$733,8,FALSE)="ინ",VLOOKUP(B219,M!$B$6:$I$733,3,FALSE)*0.001*#REF!*#REF!,IF(VLOOKUP(B219,M!$B$6:$I$733,8,FALSE)="ას",VLOOKUP(B219,M!$B$6:$I$733,3,FALSE)*0.001*#REF!*#REF!,IF(VLOOKUP(B219,M!$B$6:$I$733,8,FALSE)="სხ",VLOOKUP(B219,M!$B$6:$I$733,3,FALSE)*0.001*#REF!*#REF!,IF(VLOOKUP(B219,M!$B$6:$I$733,8,FALSE)="ხმ",VLOOKUP(B219,M!$B$6:$I$733,3,FALSE)*0.001*#REF!*#REF!))))))))),2)</f>
        <v>#REF!</v>
      </c>
      <c r="K219" s="13" t="e">
        <f>ROUND(E219*J219,1)</f>
        <v>#REF!</v>
      </c>
      <c r="L219" s="13" t="e">
        <f>G219+I219+K219</f>
        <v>#REF!</v>
      </c>
      <c r="M219" s="23" t="str">
        <f>(IF(ISNUMBER(MATCH(B219,E!$B$6:$B$197,0)),VLOOKUP(B219,E!$B$6:$E$197,4,FALSE),VLOOKUP(B219,M!$B$6:$I$733,7,FALSE)))</f>
        <v>4.1-216</v>
      </c>
      <c r="N219" s="103"/>
    </row>
    <row r="220" spans="1:14" ht="39.950000000000003" customHeight="1" x14ac:dyDescent="0.25">
      <c r="A220" s="16" t="s">
        <v>675</v>
      </c>
      <c r="B220" s="17" t="s">
        <v>677</v>
      </c>
      <c r="C220" s="2" t="s">
        <v>393</v>
      </c>
      <c r="D220" s="2">
        <v>0.02</v>
      </c>
      <c r="E220" s="14">
        <f>D220*E216</f>
        <v>0.02</v>
      </c>
      <c r="F220" s="31" t="e">
        <f>ROUND(VLOOKUP(B220,M!$B$6:$H$733,IF(#REF!="დაბალი",4,IF(#REF!="საშუალო",6,IF(#REF!="მაღალი",5))),FALSE),2)</f>
        <v>#REF!</v>
      </c>
      <c r="G220" s="14" t="e">
        <f>ROUND(E220*F220,2)</f>
        <v>#REF!</v>
      </c>
      <c r="H220" s="2"/>
      <c r="I220" s="2"/>
      <c r="J220" s="2"/>
      <c r="K220" s="2"/>
      <c r="L220" s="14" t="e">
        <f>G220+I220+K220</f>
        <v>#REF!</v>
      </c>
      <c r="M220" s="23" t="str">
        <f>(IF(ISNUMBER(MATCH(B220,E!$B$6:$B$197,0)),VLOOKUP(B220,E!$B$6:$E$197,4,FALSE),VLOOKUP(B220,M!$B$6:$I$733,7,FALSE)))</f>
        <v>ს.რ.ფ</v>
      </c>
      <c r="N220" s="103"/>
    </row>
    <row r="221" spans="1:14" s="45" customFormat="1" ht="39.950000000000003" customHeight="1" x14ac:dyDescent="0.25">
      <c r="A221" s="39">
        <v>1.1000000000000001</v>
      </c>
      <c r="B221" s="40" t="s">
        <v>1049</v>
      </c>
      <c r="C221" s="41" t="s">
        <v>792</v>
      </c>
      <c r="D221" s="41"/>
      <c r="E221" s="41">
        <v>1</v>
      </c>
      <c r="F221" s="42"/>
      <c r="G221" s="42"/>
      <c r="H221" s="42"/>
      <c r="I221" s="42"/>
      <c r="J221" s="42"/>
      <c r="K221" s="42"/>
      <c r="L221" s="43" t="e">
        <f>SUM(L222:L226)</f>
        <v>#REF!</v>
      </c>
      <c r="M221" s="44" t="s">
        <v>1050</v>
      </c>
      <c r="N221" s="102"/>
    </row>
    <row r="222" spans="1:14" ht="39.950000000000003" customHeight="1" x14ac:dyDescent="0.25">
      <c r="A222" s="16" t="s">
        <v>668</v>
      </c>
      <c r="B222" s="17" t="s">
        <v>669</v>
      </c>
      <c r="C222" s="2" t="s">
        <v>670</v>
      </c>
      <c r="D222" s="2">
        <v>4.6399999999999997</v>
      </c>
      <c r="E222" s="14">
        <f>D222*E221</f>
        <v>4.6399999999999997</v>
      </c>
      <c r="F222" s="13"/>
      <c r="G222" s="13"/>
      <c r="H222" s="27">
        <f>IF((ISNUMBER(--LEFT(M221,2))),VLOOKUP(--LEFT(M221,2),N!$A$5:$C$54,3,FALSE),VLOOKUP(--LEFT(M221,1),N!$A$5:$C$54,3,FALSE))</f>
        <v>7.8</v>
      </c>
      <c r="I222" s="14">
        <f>ROUND(E222*H222,2)</f>
        <v>36.19</v>
      </c>
      <c r="J222" s="13"/>
      <c r="K222" s="13"/>
      <c r="L222" s="14">
        <f t="shared" ref="L222:L223" si="46">G222+I222+K222</f>
        <v>36.19</v>
      </c>
      <c r="M222" s="23" t="str">
        <f>(IF(ISNUMBER(MATCH(B222,E!$B$6:$B$197,0)),VLOOKUP(B222,E!$B$6:$E$197,4,FALSE),VLOOKUP(B222,M!$B$6:$I$733,7,FALSE)))</f>
        <v>მ.ც</v>
      </c>
    </row>
    <row r="223" spans="1:14" ht="39.950000000000003" customHeight="1" x14ac:dyDescent="0.25">
      <c r="A223" s="16" t="s">
        <v>671</v>
      </c>
      <c r="B223" s="17" t="s">
        <v>654</v>
      </c>
      <c r="C223" s="2" t="s">
        <v>393</v>
      </c>
      <c r="D223" s="2">
        <v>0.79</v>
      </c>
      <c r="E223" s="14">
        <f>D223*E221</f>
        <v>0.79</v>
      </c>
      <c r="F223" s="13"/>
      <c r="G223" s="13"/>
      <c r="H223" s="13"/>
      <c r="I223" s="13"/>
      <c r="J223" s="35">
        <f>ROUND(IF(ISNUMBER(MATCH(B223,E!$B$6:$B$197,0)),VLOOKUP(B223,E!$B$6:$E$197,2,FALSE),IF(#REF!="დიახ",IF(VLOOKUP(B223,M!$B$6:$I$733,8,FALSE)="ლ",VLOOKUP(B223,M!$B$6:$I$733,3,FALSE)*0.001*#REF!*#REF!,IF(VLOOKUP(B223,M!$B$6:$I$733,8,FALSE)="მბ",VLOOKUP(B223,M!$B$6:$I$733,3,FALSE)*0.001*#REF!*#REF!,IF(VLOOKUP(B223,M!$B$6:$I$733,8,FALSE)="აბ",VLOOKUP(B223,M!$B$6:$I$733,3,FALSE)*0.001*#REF!*#REF!,IF(VLOOKUP(B223,M!$B$6:$I$733,8,FALSE)="ინ",VLOOKUP(B223,M!$B$6:$I$733,3,FALSE)*0.001*#REF!*#REF!,IF(VLOOKUP(B223,M!$B$6:$I$733,8,FALSE)="ას",VLOOKUP(B223,M!$B$6:$I$733,3,FALSE)*0.001*#REF!*#REF!,IF(VLOOKUP(B223,M!$B$6:$I$733,8,FALSE)="სხ",VLOOKUP(B223,M!$B$6:$I$733,3,FALSE)*0.001*#REF!*#REF!,IF(VLOOKUP(B223,M!$B$6:$I$733,8,FALSE)="ხმ",VLOOKUP(B223,M!$B$6:$I$733,3,FALSE)*0.001*#REF!*#REF!))))))))),2)</f>
        <v>3.2</v>
      </c>
      <c r="K223" s="14">
        <f t="shared" ref="K223:K225" si="47">ROUND(E223*J223,2)</f>
        <v>2.5299999999999998</v>
      </c>
      <c r="L223" s="14">
        <f t="shared" si="46"/>
        <v>2.5299999999999998</v>
      </c>
      <c r="M223" s="23" t="str">
        <f>(IF(ISNUMBER(MATCH(B223,E!$B$6:$B$197,0)),VLOOKUP(B223,E!$B$6:$E$197,4,FALSE),VLOOKUP(B223,M!$B$6:$I$733,7,FALSE)))</f>
        <v>ს.რ.ფ</v>
      </c>
    </row>
    <row r="224" spans="1:14" ht="39.950000000000003" customHeight="1" x14ac:dyDescent="0.25">
      <c r="A224" s="16" t="s">
        <v>673</v>
      </c>
      <c r="B224" s="2" t="s">
        <v>400</v>
      </c>
      <c r="C224" s="2" t="s">
        <v>674</v>
      </c>
      <c r="D224" s="2">
        <v>0.23</v>
      </c>
      <c r="E224" s="14">
        <f>D224*E221</f>
        <v>0.23</v>
      </c>
      <c r="F224" s="31" t="e">
        <f>ROUND(VLOOKUP(B224,M!$B$6:$H$733,IF(#REF!="დაბალი",4,IF(#REF!="საშუალო",6,IF(#REF!="მაღალი",5))),FALSE),2)</f>
        <v>#REF!</v>
      </c>
      <c r="G224" s="14" t="e">
        <f>ROUND(E224*F224,2)</f>
        <v>#REF!</v>
      </c>
      <c r="H224" s="2"/>
      <c r="I224" s="2"/>
      <c r="J224" s="35" t="e">
        <f>ROUND(IF(ISNUMBER(MATCH(B224,E!$B$6:$B$197,0)),VLOOKUP(B224,E!$B$6:$E$197,2,FALSE),IF(#REF!="დიახ",IF(VLOOKUP(B224,M!$B$6:$I$733,8,FALSE)="ლ",VLOOKUP(B224,M!$B$6:$I$733,3,FALSE)*0.001*#REF!*#REF!,IF(VLOOKUP(B224,M!$B$6:$I$733,8,FALSE)="მბ",VLOOKUP(B224,M!$B$6:$I$733,3,FALSE)*0.001*#REF!*#REF!,IF(VLOOKUP(B224,M!$B$6:$I$733,8,FALSE)="აბ",VLOOKUP(B224,M!$B$6:$I$733,3,FALSE)*0.001*#REF!*#REF!,IF(VLOOKUP(B224,M!$B$6:$I$733,8,FALSE)="ინ",VLOOKUP(B224,M!$B$6:$I$733,3,FALSE)*0.001*#REF!*#REF!,IF(VLOOKUP(B224,M!$B$6:$I$733,8,FALSE)="ას",VLOOKUP(B224,M!$B$6:$I$733,3,FALSE)*0.001*#REF!*#REF!,IF(VLOOKUP(B224,M!$B$6:$I$733,8,FALSE)="სხ",VLOOKUP(B224,M!$B$6:$I$733,3,FALSE)*0.001*#REF!*#REF!,IF(VLOOKUP(B224,M!$B$6:$I$733,8,FALSE)="ხმ",VLOOKUP(B224,M!$B$6:$I$733,3,FALSE)*0.001*#REF!*#REF!))))))))),2)</f>
        <v>#REF!</v>
      </c>
      <c r="K224" s="14" t="e">
        <f t="shared" si="47"/>
        <v>#REF!</v>
      </c>
      <c r="L224" s="14" t="e">
        <f>G224+I224+K224</f>
        <v>#REF!</v>
      </c>
      <c r="M224" s="23" t="str">
        <f>(IF(ISNUMBER(MATCH(B224,E!$B$6:$B$197,0)),VLOOKUP(B224,E!$B$6:$E$197,4,FALSE),VLOOKUP(B224,M!$B$6:$I$733,7,FALSE)))</f>
        <v>4.1-371</v>
      </c>
    </row>
    <row r="225" spans="1:13" ht="39.950000000000003" customHeight="1" x14ac:dyDescent="0.25">
      <c r="A225" s="16" t="s">
        <v>675</v>
      </c>
      <c r="B225" s="2" t="s">
        <v>281</v>
      </c>
      <c r="C225" s="2" t="s">
        <v>66</v>
      </c>
      <c r="D225" s="2">
        <v>390</v>
      </c>
      <c r="E225" s="14">
        <f>D225*E221</f>
        <v>390</v>
      </c>
      <c r="F225" s="31" t="e">
        <f>ROUND(VLOOKUP(B225,M!$B$6:$H$733,IF(#REF!="დაბალი",4,IF(#REF!="საშუალო",6,IF(#REF!="მაღალი",5))),FALSE),2)</f>
        <v>#REF!</v>
      </c>
      <c r="G225" s="14" t="e">
        <f t="shared" ref="G225:G226" si="48">ROUND(E225*F225,2)</f>
        <v>#REF!</v>
      </c>
      <c r="H225" s="2"/>
      <c r="I225" s="2"/>
      <c r="J225" s="35" t="e">
        <f>ROUND(IF(ISNUMBER(MATCH(B225,E!$B$6:$B$197,0)),VLOOKUP(B225,E!$B$6:$E$197,2,FALSE),IF(#REF!="დიახ",IF(VLOOKUP(B225,M!$B$6:$I$733,8,FALSE)="ლ",VLOOKUP(B225,M!$B$6:$I$733,3,FALSE)*0.001*#REF!*#REF!,IF(VLOOKUP(B225,M!$B$6:$I$733,8,FALSE)="მბ",VLOOKUP(B225,M!$B$6:$I$733,3,FALSE)*0.001*#REF!*#REF!,IF(VLOOKUP(B225,M!$B$6:$I$733,8,FALSE)="აბ",VLOOKUP(B225,M!$B$6:$I$733,3,FALSE)*0.001*#REF!*#REF!,IF(VLOOKUP(B225,M!$B$6:$I$733,8,FALSE)="ინ",VLOOKUP(B225,M!$B$6:$I$733,3,FALSE)*0.001*#REF!*#REF!,IF(VLOOKUP(B225,M!$B$6:$I$733,8,FALSE)="ას",VLOOKUP(B225,M!$B$6:$I$733,3,FALSE)*0.001*#REF!*#REF!,IF(VLOOKUP(B225,M!$B$6:$I$733,8,FALSE)="სხ",VLOOKUP(B225,M!$B$6:$I$733,3,FALSE)*0.001*#REF!*#REF!,IF(VLOOKUP(B225,M!$B$6:$I$733,8,FALSE)="ხმ",VLOOKUP(B225,M!$B$6:$I$733,3,FALSE)*0.001*#REF!*#REF!))))))))),2)</f>
        <v>#REF!</v>
      </c>
      <c r="K225" s="14" t="e">
        <f t="shared" si="47"/>
        <v>#REF!</v>
      </c>
      <c r="L225" s="14" t="e">
        <f>G225+I225+K225</f>
        <v>#REF!</v>
      </c>
      <c r="M225" s="23" t="str">
        <f>(IF(ISNUMBER(MATCH(B225,E!$B$6:$B$197,0)),VLOOKUP(B225,E!$B$6:$E$197,4,FALSE),VLOOKUP(B225,M!$B$6:$I$733,7,FALSE)))</f>
        <v>4.1-1</v>
      </c>
    </row>
    <row r="226" spans="1:13" ht="39.950000000000003" customHeight="1" x14ac:dyDescent="0.25">
      <c r="A226" s="16" t="s">
        <v>695</v>
      </c>
      <c r="B226" s="17" t="s">
        <v>677</v>
      </c>
      <c r="C226" s="2" t="s">
        <v>393</v>
      </c>
      <c r="D226" s="2">
        <v>0.17</v>
      </c>
      <c r="E226" s="14">
        <f>D226*E221</f>
        <v>0.17</v>
      </c>
      <c r="F226" s="31" t="e">
        <f>ROUND(VLOOKUP(B226,M!$B$6:$H$733,IF(#REF!="დაბალი",4,IF(#REF!="საშუალო",6,IF(#REF!="მაღალი",5))),FALSE),2)</f>
        <v>#REF!</v>
      </c>
      <c r="G226" s="14" t="e">
        <f t="shared" si="48"/>
        <v>#REF!</v>
      </c>
      <c r="H226" s="2"/>
      <c r="I226" s="2"/>
      <c r="J226" s="2"/>
      <c r="K226" s="2"/>
      <c r="L226" s="14" t="e">
        <f t="shared" ref="L226" si="49">G226+I226+K226</f>
        <v>#REF!</v>
      </c>
      <c r="M226" s="23" t="str">
        <f>(IF(ISNUMBER(MATCH(B226,E!$B$6:$B$197,0)),VLOOKUP(B226,E!$B$6:$E$197,4,FALSE),VLOOKUP(B226,M!$B$6:$I$733,7,FALSE)))</f>
        <v>ს.რ.ფ</v>
      </c>
    </row>
    <row r="227" spans="1:13" s="45" customFormat="1" ht="39.950000000000003" customHeight="1" x14ac:dyDescent="0.25">
      <c r="A227" s="39">
        <v>1.1000000000000001</v>
      </c>
      <c r="B227" s="40" t="s">
        <v>1029</v>
      </c>
      <c r="C227" s="41" t="s">
        <v>9</v>
      </c>
      <c r="D227" s="41"/>
      <c r="E227" s="41">
        <v>1</v>
      </c>
      <c r="F227" s="42"/>
      <c r="G227" s="42"/>
      <c r="H227" s="42"/>
      <c r="I227" s="42"/>
      <c r="J227" s="42"/>
      <c r="K227" s="42"/>
      <c r="L227" s="43" t="e">
        <f>SUM(L228:L231)</f>
        <v>#REF!</v>
      </c>
      <c r="M227" s="44" t="s">
        <v>1030</v>
      </c>
    </row>
    <row r="228" spans="1:13" ht="39.950000000000003" customHeight="1" x14ac:dyDescent="0.25">
      <c r="A228" s="16" t="s">
        <v>668</v>
      </c>
      <c r="B228" s="17" t="s">
        <v>669</v>
      </c>
      <c r="C228" s="2" t="s">
        <v>670</v>
      </c>
      <c r="D228" s="2">
        <v>37.4</v>
      </c>
      <c r="E228" s="14">
        <f>D228*E227</f>
        <v>37.4</v>
      </c>
      <c r="F228" s="13"/>
      <c r="G228" s="13"/>
      <c r="H228" s="27">
        <f>IF((ISNUMBER(--LEFT(M227,2))),VLOOKUP(--LEFT(M227,2),N!$A$5:$C$54,3,FALSE),VLOOKUP(--LEFT(M227,1),N!$A$5:$C$54,3,FALSE))</f>
        <v>7.8</v>
      </c>
      <c r="I228" s="14">
        <f>ROUND(E228*H228,2)</f>
        <v>291.72000000000003</v>
      </c>
      <c r="J228" s="13"/>
      <c r="K228" s="13"/>
      <c r="L228" s="14">
        <f t="shared" ref="L228:L231" si="50">G228+I228+K228</f>
        <v>291.72000000000003</v>
      </c>
      <c r="M228" s="23" t="str">
        <f>(IF(ISNUMBER(MATCH(B228,E!$B$6:$B$197,0)),VLOOKUP(B228,E!$B$6:$E$197,4,FALSE),VLOOKUP(B228,M!$B$6:$I$733,7,FALSE)))</f>
        <v>მ.ც</v>
      </c>
    </row>
    <row r="229" spans="1:13" ht="39.950000000000003" customHeight="1" x14ac:dyDescent="0.25">
      <c r="A229" s="16" t="s">
        <v>671</v>
      </c>
      <c r="B229" s="17" t="s">
        <v>654</v>
      </c>
      <c r="C229" s="2" t="s">
        <v>393</v>
      </c>
      <c r="D229" s="2">
        <v>6.32</v>
      </c>
      <c r="E229" s="14">
        <f>D229*E227</f>
        <v>6.32</v>
      </c>
      <c r="F229" s="13"/>
      <c r="G229" s="13"/>
      <c r="H229" s="13"/>
      <c r="I229" s="13"/>
      <c r="J229" s="35">
        <f>ROUND(IF(ISNUMBER(MATCH(B229,E!$B$6:$B$197,0)),VLOOKUP(B229,E!$B$6:$E$197,2,FALSE),IF(#REF!="დიახ",IF(VLOOKUP(B229,M!$B$6:$I$733,8,FALSE)="ლ",VLOOKUP(B229,M!$B$6:$I$733,3,FALSE)*0.001*#REF!*#REF!,IF(VLOOKUP(B229,M!$B$6:$I$733,8,FALSE)="მბ",VLOOKUP(B229,M!$B$6:$I$733,3,FALSE)*0.001*#REF!*#REF!,IF(VLOOKUP(B229,M!$B$6:$I$733,8,FALSE)="აბ",VLOOKUP(B229,M!$B$6:$I$733,3,FALSE)*0.001*#REF!*#REF!,IF(VLOOKUP(B229,M!$B$6:$I$733,8,FALSE)="ინ",VLOOKUP(B229,M!$B$6:$I$733,3,FALSE)*0.001*#REF!*#REF!,IF(VLOOKUP(B229,M!$B$6:$I$733,8,FALSE)="ას",VLOOKUP(B229,M!$B$6:$I$733,3,FALSE)*0.001*#REF!*#REF!,IF(VLOOKUP(B229,M!$B$6:$I$733,8,FALSE)="სხ",VLOOKUP(B229,M!$B$6:$I$733,3,FALSE)*0.001*#REF!*#REF!,IF(VLOOKUP(B229,M!$B$6:$I$733,8,FALSE)="ხმ",VLOOKUP(B229,M!$B$6:$I$733,3,FALSE)*0.001*#REF!*#REF!))))))))),2)</f>
        <v>3.2</v>
      </c>
      <c r="K229" s="14">
        <f>ROUND(E229*J229,2)</f>
        <v>20.22</v>
      </c>
      <c r="L229" s="14">
        <f t="shared" si="50"/>
        <v>20.22</v>
      </c>
      <c r="M229" s="23" t="str">
        <f>(IF(ISNUMBER(MATCH(B229,E!$B$6:$B$197,0)),VLOOKUP(B229,E!$B$6:$E$197,4,FALSE),VLOOKUP(B229,M!$B$6:$I$733,7,FALSE)))</f>
        <v>ს.რ.ფ</v>
      </c>
    </row>
    <row r="230" spans="1:13" ht="39.950000000000003" customHeight="1" x14ac:dyDescent="0.25">
      <c r="A230" s="16" t="s">
        <v>673</v>
      </c>
      <c r="B230" s="17" t="s">
        <v>408</v>
      </c>
      <c r="C230" s="2" t="s">
        <v>674</v>
      </c>
      <c r="D230" s="2">
        <v>0.75</v>
      </c>
      <c r="E230" s="14">
        <f>D230*E227</f>
        <v>0.75</v>
      </c>
      <c r="F230" s="31" t="e">
        <f>ROUND(VLOOKUP(B230,M!$B$6:$H$733,IF(#REF!="დაბალი",4,IF(#REF!="საშუალო",6,IF(#REF!="მაღალი",5))),FALSE),2)</f>
        <v>#REF!</v>
      </c>
      <c r="G230" s="14" t="e">
        <f>ROUND(E230*F230,2)</f>
        <v>#REF!</v>
      </c>
      <c r="H230" s="2"/>
      <c r="I230" s="2"/>
      <c r="J230" s="2"/>
      <c r="K230" s="2"/>
      <c r="L230" s="14" t="e">
        <f>G230+I230+K230</f>
        <v>#REF!</v>
      </c>
      <c r="M230" s="23" t="str">
        <f>(IF(ISNUMBER(MATCH(B230,E!$B$6:$B$197,0)),VLOOKUP(B230,E!$B$6:$E$197,4,FALSE),VLOOKUP(B230,M!$B$6:$I$733,7,FALSE)))</f>
        <v>4.1-379</v>
      </c>
    </row>
    <row r="231" spans="1:13" ht="39.950000000000003" customHeight="1" x14ac:dyDescent="0.25">
      <c r="A231" s="16" t="s">
        <v>675</v>
      </c>
      <c r="B231" s="17" t="s">
        <v>677</v>
      </c>
      <c r="C231" s="2" t="s">
        <v>393</v>
      </c>
      <c r="D231" s="2">
        <v>7.63</v>
      </c>
      <c r="E231" s="14">
        <f>D231*E227</f>
        <v>7.63</v>
      </c>
      <c r="F231" s="31" t="e">
        <f>ROUND(VLOOKUP(B231,M!$B$6:$H$733,IF(#REF!="დაბალი",4,IF(#REF!="საშუალო",6,IF(#REF!="მაღალი",5))),FALSE),2)</f>
        <v>#REF!</v>
      </c>
      <c r="G231" s="14" t="e">
        <f>ROUND(E231*F231,2)</f>
        <v>#REF!</v>
      </c>
      <c r="H231" s="2"/>
      <c r="I231" s="2"/>
      <c r="J231" s="2"/>
      <c r="K231" s="2"/>
      <c r="L231" s="14" t="e">
        <f t="shared" si="50"/>
        <v>#REF!</v>
      </c>
      <c r="M231" s="23" t="str">
        <f>(IF(ISNUMBER(MATCH(B231,E!$B$6:$B$197,0)),VLOOKUP(B231,E!$B$6:$E$197,4,FALSE),VLOOKUP(B231,M!$B$6:$I$733,7,FALSE)))</f>
        <v>ს.რ.ფ</v>
      </c>
    </row>
    <row r="232" spans="1:13" ht="80.099999999999994" customHeight="1" x14ac:dyDescent="0.25">
      <c r="A232" s="36">
        <v>8</v>
      </c>
      <c r="B232" s="37" t="s">
        <v>625</v>
      </c>
      <c r="C232" s="10"/>
      <c r="D232" s="10"/>
      <c r="E232" s="10"/>
      <c r="F232" s="30"/>
      <c r="G232" s="10"/>
      <c r="H232" s="26"/>
      <c r="I232" s="10"/>
      <c r="J232" s="30"/>
      <c r="K232" s="30"/>
      <c r="L232" s="11"/>
      <c r="M232" s="22"/>
    </row>
    <row r="233" spans="1:13" s="45" customFormat="1" ht="39.950000000000003" customHeight="1" x14ac:dyDescent="0.25">
      <c r="A233" s="39">
        <v>1.1000000000000001</v>
      </c>
      <c r="B233" s="40" t="s">
        <v>955</v>
      </c>
      <c r="C233" s="41" t="s">
        <v>847</v>
      </c>
      <c r="D233" s="41"/>
      <c r="E233" s="51">
        <v>1000</v>
      </c>
      <c r="F233" s="46"/>
      <c r="G233" s="43"/>
      <c r="H233" s="42"/>
      <c r="I233" s="42"/>
      <c r="J233" s="65"/>
      <c r="K233" s="46"/>
      <c r="L233" s="43" t="e">
        <f>SUM(L234:L237)</f>
        <v>#REF!</v>
      </c>
      <c r="M233" s="44" t="s">
        <v>954</v>
      </c>
    </row>
    <row r="234" spans="1:13" ht="39.950000000000003" customHeight="1" x14ac:dyDescent="0.25">
      <c r="A234" s="16" t="s">
        <v>668</v>
      </c>
      <c r="B234" s="17" t="s">
        <v>669</v>
      </c>
      <c r="C234" s="2" t="s">
        <v>670</v>
      </c>
      <c r="D234" s="2">
        <v>403</v>
      </c>
      <c r="E234" s="14">
        <f>D234*E233/1000</f>
        <v>403</v>
      </c>
      <c r="F234" s="31"/>
      <c r="G234" s="14"/>
      <c r="H234" s="27">
        <f>IF((ISNUMBER(--LEFT(M233,2))),VLOOKUP(--LEFT(M233,2),N!$A$5:$C$54,3,FALSE),VLOOKUP(--LEFT(M233,1),N!$A$5:$C$54,3,FALSE))</f>
        <v>6</v>
      </c>
      <c r="I234" s="14">
        <f>ROUND(E234*H234,2)</f>
        <v>2418</v>
      </c>
      <c r="J234" s="35"/>
      <c r="K234" s="31"/>
      <c r="L234" s="14">
        <f>G234+I234+K234</f>
        <v>2418</v>
      </c>
      <c r="M234" s="23" t="str">
        <f>(IF(ISNUMBER(MATCH(B234,E!$B$6:$B$197,0)),VLOOKUP(B234,E!$B$6:$E$197,4,FALSE),VLOOKUP(B234,M!$B$6:$I$733,7,FALSE)))</f>
        <v>მ.ც</v>
      </c>
    </row>
    <row r="235" spans="1:13" ht="39.950000000000003" customHeight="1" x14ac:dyDescent="0.25">
      <c r="A235" s="16" t="s">
        <v>819</v>
      </c>
      <c r="B235" s="17" t="s">
        <v>654</v>
      </c>
      <c r="C235" s="2" t="s">
        <v>393</v>
      </c>
      <c r="D235" s="2">
        <v>164</v>
      </c>
      <c r="E235" s="14">
        <f>D235*E233/1000</f>
        <v>164</v>
      </c>
      <c r="F235" s="69"/>
      <c r="G235" s="14"/>
      <c r="H235" s="13"/>
      <c r="I235" s="13"/>
      <c r="J235" s="35">
        <f>ROUND(IF(ISNUMBER(MATCH(B235,E!$B$6:$B$197,0)),VLOOKUP(B235,E!$B$6:$E$197,2,FALSE),IF(#REF!="დიახ",IF(VLOOKUP(B235,M!$B$6:$I$733,8,FALSE)="ლ",VLOOKUP(B235,M!$B$6:$I$733,3,FALSE)*0.001*#REF!*#REF!,IF(VLOOKUP(B235,M!$B$6:$I$733,8,FALSE)="მბ",VLOOKUP(B235,M!$B$6:$I$733,3,FALSE)*0.001*#REF!*#REF!,IF(VLOOKUP(B235,M!$B$6:$I$733,8,FALSE)="აბ",VLOOKUP(B235,M!$B$6:$I$733,3,FALSE)*0.001*#REF!*#REF!,IF(VLOOKUP(B235,M!$B$6:$I$733,8,FALSE)="ინ",VLOOKUP(B235,M!$B$6:$I$733,3,FALSE)*0.001*#REF!*#REF!,IF(VLOOKUP(B235,M!$B$6:$I$733,8,FALSE)="ას",VLOOKUP(B235,M!$B$6:$I$733,3,FALSE)*0.001*#REF!*#REF!,IF(VLOOKUP(B235,M!$B$6:$I$733,8,FALSE)="სხ",VLOOKUP(B235,M!$B$6:$I$733,3,FALSE)*0.001*#REF!*#REF!,IF(VLOOKUP(B235,M!$B$6:$I$733,8,FALSE)="ხმ",VLOOKUP(B235,M!$B$6:$I$733,3,FALSE)*0.001*#REF!*#REF!))))))))),2)</f>
        <v>3.2</v>
      </c>
      <c r="K235" s="31">
        <f>ROUND(E235*J235,2)</f>
        <v>524.79999999999995</v>
      </c>
      <c r="L235" s="14">
        <f t="shared" ref="L235" si="51">G235+I235+K235</f>
        <v>524.79999999999995</v>
      </c>
      <c r="M235" s="23" t="str">
        <f>(IF(ISNUMBER(MATCH(B235,E!$B$6:$B$197,0)),VLOOKUP(B235,E!$B$6:$E$197,4,FALSE),VLOOKUP(B235,M!$B$6:$I$733,7,FALSE)))</f>
        <v>ს.რ.ფ</v>
      </c>
    </row>
    <row r="236" spans="1:13" ht="39.950000000000003" customHeight="1" x14ac:dyDescent="0.25">
      <c r="A236" s="16" t="s">
        <v>696</v>
      </c>
      <c r="B236" s="2" t="s">
        <v>939</v>
      </c>
      <c r="C236" s="2" t="s">
        <v>595</v>
      </c>
      <c r="D236" s="2">
        <v>1010</v>
      </c>
      <c r="E236" s="14">
        <f>D236*E233/1000</f>
        <v>1010</v>
      </c>
      <c r="F236" s="31" t="e">
        <f>ROUND(VLOOKUP(B236,M!$B$6:$H$733,IF(#REF!="დაბალი",4,IF(#REF!="საშუალო",6,IF(#REF!="მაღალი",5))),FALSE),2)</f>
        <v>#REF!</v>
      </c>
      <c r="G236" s="14" t="e">
        <f>ROUND(E236*F236,2)</f>
        <v>#REF!</v>
      </c>
      <c r="H236" s="13"/>
      <c r="I236" s="13"/>
      <c r="J236" s="35"/>
      <c r="K236" s="31"/>
      <c r="L236" s="14" t="e">
        <f t="shared" ref="L236:L237" si="52">G236+I236+K236</f>
        <v>#REF!</v>
      </c>
      <c r="M236" s="23" t="str">
        <f>(IF(ISNUMBER(MATCH(B236,E!$B$6:$B$197,0)),VLOOKUP(B236,E!$B$6:$E$197,4,FALSE),VLOOKUP(B236,M!$B$6:$I$733,7,FALSE)))</f>
        <v>2.6-120</v>
      </c>
    </row>
    <row r="237" spans="1:13" ht="39.950000000000003" customHeight="1" x14ac:dyDescent="0.25">
      <c r="A237" s="16" t="s">
        <v>733</v>
      </c>
      <c r="B237" s="17" t="s">
        <v>677</v>
      </c>
      <c r="C237" s="2" t="s">
        <v>460</v>
      </c>
      <c r="D237" s="2">
        <v>20.399999999999999</v>
      </c>
      <c r="E237" s="14">
        <f>D237*E233/1000</f>
        <v>20.399999999999999</v>
      </c>
      <c r="F237" s="31" t="e">
        <f>ROUND(VLOOKUP(B237,M!$B$6:$H$733,IF(#REF!="დაბალი",4,IF(#REF!="საშუალო",6,IF(#REF!="მაღალი",5))),FALSE),2)</f>
        <v>#REF!</v>
      </c>
      <c r="G237" s="14" t="e">
        <f>ROUND(E237*F237,2)</f>
        <v>#REF!</v>
      </c>
      <c r="H237" s="13"/>
      <c r="I237" s="13"/>
      <c r="J237" s="35"/>
      <c r="K237" s="31"/>
      <c r="L237" s="14" t="e">
        <f t="shared" si="52"/>
        <v>#REF!</v>
      </c>
      <c r="M237" s="23" t="str">
        <f>(IF(ISNUMBER(MATCH(B237,E!$B$6:$B$197,0)),VLOOKUP(B237,E!$B$6:$E$197,4,FALSE),VLOOKUP(B237,M!$B$6:$I$733,7,FALSE)))</f>
        <v>ს.რ.ფ</v>
      </c>
    </row>
    <row r="238" spans="1:13" ht="79.5" customHeight="1" x14ac:dyDescent="0.25">
      <c r="A238" s="98">
        <v>10</v>
      </c>
      <c r="B238" s="99" t="s">
        <v>613</v>
      </c>
      <c r="C238" s="10"/>
      <c r="D238" s="10"/>
      <c r="E238" s="10"/>
      <c r="F238" s="30"/>
      <c r="G238" s="10"/>
      <c r="H238" s="26"/>
      <c r="I238" s="10"/>
      <c r="J238" s="30"/>
      <c r="K238" s="30"/>
      <c r="L238" s="11"/>
      <c r="M238" s="22"/>
    </row>
    <row r="239" spans="1:13" s="45" customFormat="1" ht="39.950000000000003" customHeight="1" x14ac:dyDescent="0.25">
      <c r="A239" s="39">
        <v>1.1000000000000001</v>
      </c>
      <c r="B239" s="40" t="s">
        <v>1055</v>
      </c>
      <c r="C239" s="41" t="s">
        <v>792</v>
      </c>
      <c r="D239" s="41"/>
      <c r="E239" s="41">
        <v>0.61</v>
      </c>
      <c r="F239" s="42"/>
      <c r="G239" s="42"/>
      <c r="H239" s="42"/>
      <c r="I239" s="42"/>
      <c r="J239" s="42"/>
      <c r="K239" s="42"/>
      <c r="L239" s="43" t="e">
        <f>SUM(L240:L247)</f>
        <v>#REF!</v>
      </c>
      <c r="M239" s="44" t="s">
        <v>1056</v>
      </c>
    </row>
    <row r="240" spans="1:13" ht="39.950000000000003" customHeight="1" x14ac:dyDescent="0.25">
      <c r="A240" s="16" t="s">
        <v>668</v>
      </c>
      <c r="B240" s="17" t="s">
        <v>669</v>
      </c>
      <c r="C240" s="2" t="s">
        <v>670</v>
      </c>
      <c r="D240" s="2">
        <v>23.8</v>
      </c>
      <c r="E240" s="14">
        <f>D240*E239</f>
        <v>14.518000000000001</v>
      </c>
      <c r="F240" s="13"/>
      <c r="G240" s="13"/>
      <c r="H240" s="27">
        <f>IF((ISNUMBER(--LEFT(M239,2))),VLOOKUP(--LEFT(M239,2),N!$A$5:$C$54,3,FALSE),VLOOKUP(--LEFT(M239,1),N!$A$5:$C$54,3,FALSE))</f>
        <v>7.8</v>
      </c>
      <c r="I240" s="14">
        <f>ROUND(E240*H240,2)</f>
        <v>113.24</v>
      </c>
      <c r="J240" s="13"/>
      <c r="K240" s="13"/>
      <c r="L240" s="14">
        <f>G240+I240+K240</f>
        <v>113.24</v>
      </c>
      <c r="M240" s="23" t="str">
        <f>(IF(ISNUMBER(MATCH(B240,E!$B$6:$B$197,0)),VLOOKUP(B240,E!$B$6:$E$197,4,FALSE),VLOOKUP(B240,M!$B$6:$I$733,7,FALSE)))</f>
        <v>მ.ც</v>
      </c>
    </row>
    <row r="241" spans="1:13" ht="39.950000000000003" customHeight="1" x14ac:dyDescent="0.25">
      <c r="A241" s="16" t="s">
        <v>671</v>
      </c>
      <c r="B241" s="17" t="s">
        <v>654</v>
      </c>
      <c r="C241" s="2" t="s">
        <v>393</v>
      </c>
      <c r="D241" s="2">
        <v>2.1</v>
      </c>
      <c r="E241" s="14">
        <f>D241*E239</f>
        <v>1.2809999999999999</v>
      </c>
      <c r="F241" s="13"/>
      <c r="G241" s="13"/>
      <c r="H241" s="13"/>
      <c r="I241" s="13"/>
      <c r="J241" s="35">
        <f>ROUND(IF(ISNUMBER(MATCH(B241,E!$B$6:$B$197,0)),VLOOKUP(B241,E!$B$6:$E$197,2,FALSE),IF(#REF!="დიახ",IF(VLOOKUP(B241,M!$B$6:$I$733,8,FALSE)="ლ",VLOOKUP(B241,M!$B$6:$I$733,3,FALSE)*0.001*#REF!*#REF!,IF(VLOOKUP(B241,M!$B$6:$I$733,8,FALSE)="მბ",VLOOKUP(B241,M!$B$6:$I$733,3,FALSE)*0.001*#REF!*#REF!,IF(VLOOKUP(B241,M!$B$6:$I$733,8,FALSE)="აბ",VLOOKUP(B241,M!$B$6:$I$733,3,FALSE)*0.001*#REF!*#REF!,IF(VLOOKUP(B241,M!$B$6:$I$733,8,FALSE)="ინ",VLOOKUP(B241,M!$B$6:$I$733,3,FALSE)*0.001*#REF!*#REF!,IF(VLOOKUP(B241,M!$B$6:$I$733,8,FALSE)="ას",VLOOKUP(B241,M!$B$6:$I$733,3,FALSE)*0.001*#REF!*#REF!,IF(VLOOKUP(B241,M!$B$6:$I$733,8,FALSE)="სხ",VLOOKUP(B241,M!$B$6:$I$733,3,FALSE)*0.001*#REF!*#REF!,IF(VLOOKUP(B241,M!$B$6:$I$733,8,FALSE)="ხმ",VLOOKUP(B241,M!$B$6:$I$733,3,FALSE)*0.001*#REF!*#REF!))))))))),2)</f>
        <v>3.2</v>
      </c>
      <c r="K241" s="14">
        <f>ROUND(E241*J241,2)</f>
        <v>4.0999999999999996</v>
      </c>
      <c r="L241" s="14">
        <f t="shared" ref="L241:L247" si="53">G241+I241+K241</f>
        <v>4.0999999999999996</v>
      </c>
      <c r="M241" s="23" t="str">
        <f>(IF(ISNUMBER(MATCH(B241,E!$B$6:$B$197,0)),VLOOKUP(B241,E!$B$6:$E$197,4,FALSE),VLOOKUP(B241,M!$B$6:$I$733,7,FALSE)))</f>
        <v>ს.რ.ფ</v>
      </c>
    </row>
    <row r="242" spans="1:13" ht="39.75" customHeight="1" x14ac:dyDescent="0.25">
      <c r="A242" s="16" t="s">
        <v>673</v>
      </c>
      <c r="B242" s="2" t="s">
        <v>550</v>
      </c>
      <c r="C242" s="2" t="s">
        <v>674</v>
      </c>
      <c r="D242" s="2">
        <v>0.83</v>
      </c>
      <c r="E242" s="14">
        <f>D242*E239</f>
        <v>0.50629999999999997</v>
      </c>
      <c r="F242" s="31" t="e">
        <f>ROUND(VLOOKUP(B242,M!$B$6:$H$733,IF(#REF!="დაბალი",4,IF(#REF!="საშუალო",6,IF(#REF!="მაღალი",5))),FALSE),2)</f>
        <v>#REF!</v>
      </c>
      <c r="G242" s="14" t="e">
        <f t="shared" ref="G242:G247" si="54">ROUND(E242*F242,2)</f>
        <v>#REF!</v>
      </c>
      <c r="H242" s="2"/>
      <c r="I242" s="2"/>
      <c r="J242" s="35" t="e">
        <f>ROUND(IF(ISNUMBER(MATCH(B242,E!$B$6:$B$197,0)),VLOOKUP(B242,E!$B$6:$E$197,2,FALSE),IF(#REF!="დიახ",IF(VLOOKUP(B242,M!$B$6:$I$733,8,FALSE)="ლ",VLOOKUP(B242,M!$B$6:$I$733,3,FALSE)*0.001*#REF!*#REF!,IF(VLOOKUP(B242,M!$B$6:$I$733,8,FALSE)="მბ",VLOOKUP(B242,M!$B$6:$I$733,3,FALSE)*0.001*#REF!*#REF!,IF(VLOOKUP(B242,M!$B$6:$I$733,8,FALSE)="აბ",VLOOKUP(B242,M!$B$6:$I$733,3,FALSE)*0.001*#REF!*#REF!,IF(VLOOKUP(B242,M!$B$6:$I$733,8,FALSE)="ინ",VLOOKUP(B242,M!$B$6:$I$733,3,FALSE)*0.001*#REF!*#REF!,IF(VLOOKUP(B242,M!$B$6:$I$733,8,FALSE)="ას",VLOOKUP(B242,M!$B$6:$I$733,3,FALSE)*0.001*#REF!*#REF!,IF(VLOOKUP(B242,M!$B$6:$I$733,8,FALSE)="სხ",VLOOKUP(B242,M!$B$6:$I$733,3,FALSE)*0.001*#REF!*#REF!,IF(VLOOKUP(B242,M!$B$6:$I$733,8,FALSE)="ხმ",VLOOKUP(B242,M!$B$6:$I$733,3,FALSE)*0.001*#REF!*#REF!))))))))),2)</f>
        <v>#REF!</v>
      </c>
      <c r="K242" s="31" t="e">
        <f>ROUND(E242*J242,2)</f>
        <v>#REF!</v>
      </c>
      <c r="L242" s="14" t="e">
        <f t="shared" si="53"/>
        <v>#REF!</v>
      </c>
      <c r="M242" s="23" t="str">
        <f>(IF(ISNUMBER(MATCH(B242,E!$B$6:$B$197,0)),VLOOKUP(B242,E!$B$6:$E$197,4,FALSE),VLOOKUP(B242,M!$B$6:$I$733,7,FALSE)))</f>
        <v>5.1-21</v>
      </c>
    </row>
    <row r="243" spans="1:13" ht="39.75" customHeight="1" x14ac:dyDescent="0.25">
      <c r="A243" s="16" t="s">
        <v>675</v>
      </c>
      <c r="B243" s="17" t="s">
        <v>566</v>
      </c>
      <c r="C243" s="2" t="s">
        <v>674</v>
      </c>
      <c r="D243" s="2">
        <v>0.22</v>
      </c>
      <c r="E243" s="14">
        <f>D243*E239</f>
        <v>0.13419999999999999</v>
      </c>
      <c r="F243" s="31" t="e">
        <f>ROUND(VLOOKUP(B243,M!$B$6:$H$733,IF(#REF!="დაბალი",4,IF(#REF!="საშუალო",6,IF(#REF!="მაღალი",5))),FALSE),2)</f>
        <v>#REF!</v>
      </c>
      <c r="G243" s="14" t="e">
        <f t="shared" si="54"/>
        <v>#REF!</v>
      </c>
      <c r="H243" s="2"/>
      <c r="I243" s="2"/>
      <c r="J243" s="35" t="e">
        <f>ROUND(IF(ISNUMBER(MATCH(B243,E!$B$6:$B$197,0)),VLOOKUP(B243,E!$B$6:$E$197,2,FALSE),IF(#REF!="დიახ",IF(VLOOKUP(B243,M!$B$6:$I$733,8,FALSE)="ლ",VLOOKUP(B243,M!$B$6:$I$733,3,FALSE)*0.001*#REF!*#REF!,IF(VLOOKUP(B243,M!$B$6:$I$733,8,FALSE)="მბ",VLOOKUP(B243,M!$B$6:$I$733,3,FALSE)*0.001*#REF!*#REF!,IF(VLOOKUP(B243,M!$B$6:$I$733,8,FALSE)="აბ",VLOOKUP(B243,M!$B$6:$I$733,3,FALSE)*0.001*#REF!*#REF!,IF(VLOOKUP(B243,M!$B$6:$I$733,8,FALSE)="ინ",VLOOKUP(B243,M!$B$6:$I$733,3,FALSE)*0.001*#REF!*#REF!,IF(VLOOKUP(B243,M!$B$6:$I$733,8,FALSE)="ას",VLOOKUP(B243,M!$B$6:$I$733,3,FALSE)*0.001*#REF!*#REF!,IF(VLOOKUP(B243,M!$B$6:$I$733,8,FALSE)="სხ",VLOOKUP(B243,M!$B$6:$I$733,3,FALSE)*0.001*#REF!*#REF!,IF(VLOOKUP(B243,M!$B$6:$I$733,8,FALSE)="ხმ",VLOOKUP(B243,M!$B$6:$I$733,3,FALSE)*0.001*#REF!*#REF!))))))))),2)</f>
        <v>#REF!</v>
      </c>
      <c r="K243" s="31" t="e">
        <f t="shared" ref="K243:K247" si="55">ROUND(E243*J243,2)</f>
        <v>#REF!</v>
      </c>
      <c r="L243" s="14" t="e">
        <f t="shared" si="53"/>
        <v>#REF!</v>
      </c>
      <c r="M243" s="23" t="str">
        <f>(IF(ISNUMBER(MATCH(B243,E!$B$6:$B$197,0)),VLOOKUP(B243,E!$B$6:$E$197,4,FALSE),VLOOKUP(B243,M!$B$6:$I$733,7,FALSE)))</f>
        <v>5.1-37</v>
      </c>
    </row>
    <row r="244" spans="1:13" ht="39.75" customHeight="1" x14ac:dyDescent="0.25">
      <c r="A244" s="16" t="s">
        <v>695</v>
      </c>
      <c r="B244" s="2" t="s">
        <v>472</v>
      </c>
      <c r="C244" s="2" t="s">
        <v>28</v>
      </c>
      <c r="D244" s="2">
        <v>1.96</v>
      </c>
      <c r="E244" s="14">
        <f>D244*E239</f>
        <v>1.1956</v>
      </c>
      <c r="F244" s="31" t="e">
        <f>ROUND(VLOOKUP(B244,M!$B$6:$H$733,IF(#REF!="დაბალი",4,IF(#REF!="საშუალო",6,IF(#REF!="მაღალი",5))),FALSE),2)</f>
        <v>#REF!</v>
      </c>
      <c r="G244" s="14" t="e">
        <f t="shared" si="54"/>
        <v>#REF!</v>
      </c>
      <c r="H244" s="2"/>
      <c r="I244" s="2"/>
      <c r="J244" s="35" t="e">
        <f>ROUND(IF(ISNUMBER(MATCH(B244,E!$B$6:$B$197,0)),VLOOKUP(B244,E!$B$6:$E$197,2,FALSE),IF(#REF!="დიახ",IF(VLOOKUP(B244,M!$B$6:$I$733,8,FALSE)="ლ",VLOOKUP(B244,M!$B$6:$I$733,3,FALSE)*0.001*#REF!*#REF!,IF(VLOOKUP(B244,M!$B$6:$I$733,8,FALSE)="მბ",VLOOKUP(B244,M!$B$6:$I$733,3,FALSE)*0.001*#REF!*#REF!,IF(VLOOKUP(B244,M!$B$6:$I$733,8,FALSE)="აბ",VLOOKUP(B244,M!$B$6:$I$733,3,FALSE)*0.001*#REF!*#REF!,IF(VLOOKUP(B244,M!$B$6:$I$733,8,FALSE)="ინ",VLOOKUP(B244,M!$B$6:$I$733,3,FALSE)*0.001*#REF!*#REF!,IF(VLOOKUP(B244,M!$B$6:$I$733,8,FALSE)="ას",VLOOKUP(B244,M!$B$6:$I$733,3,FALSE)*0.001*#REF!*#REF!,IF(VLOOKUP(B244,M!$B$6:$I$733,8,FALSE)="სხ",VLOOKUP(B244,M!$B$6:$I$733,3,FALSE)*0.001*#REF!*#REF!,IF(VLOOKUP(B244,M!$B$6:$I$733,8,FALSE)="ხმ",VLOOKUP(B244,M!$B$6:$I$733,3,FALSE)*0.001*#REF!*#REF!))))))))),2)</f>
        <v>#REF!</v>
      </c>
      <c r="K244" s="31" t="e">
        <f t="shared" si="55"/>
        <v>#REF!</v>
      </c>
      <c r="L244" s="14" t="e">
        <f t="shared" si="53"/>
        <v>#REF!</v>
      </c>
      <c r="M244" s="23" t="str">
        <f>(IF(ISNUMBER(MATCH(B244,E!$B$6:$B$197,0)),VLOOKUP(B244,E!$B$6:$E$197,4,FALSE),VLOOKUP(B244,M!$B$6:$I$733,7,FALSE)))</f>
        <v>4.2-64</v>
      </c>
    </row>
    <row r="245" spans="1:13" ht="39.75" customHeight="1" x14ac:dyDescent="0.25">
      <c r="A245" s="16" t="s">
        <v>696</v>
      </c>
      <c r="B245" s="2" t="s">
        <v>27</v>
      </c>
      <c r="C245" s="2" t="s">
        <v>28</v>
      </c>
      <c r="D245" s="2">
        <v>4.38</v>
      </c>
      <c r="E245" s="14">
        <f>D245*E239</f>
        <v>2.6717999999999997</v>
      </c>
      <c r="F245" s="31" t="e">
        <f>ROUND(VLOOKUP(B245,M!$B$6:$H$733,IF(#REF!="დაბალი",4,IF(#REF!="საშუალო",6,IF(#REF!="მაღალი",5))),FALSE),2)</f>
        <v>#REF!</v>
      </c>
      <c r="G245" s="14" t="e">
        <f t="shared" si="54"/>
        <v>#REF!</v>
      </c>
      <c r="H245" s="2"/>
      <c r="I245" s="2"/>
      <c r="J245" s="35" t="e">
        <f>ROUND(IF(ISNUMBER(MATCH(B245,E!$B$6:$B$197,0)),VLOOKUP(B245,E!$B$6:$E$197,2,FALSE),IF(#REF!="დიახ",IF(VLOOKUP(B245,M!$B$6:$I$733,8,FALSE)="ლ",VLOOKUP(B245,M!$B$6:$I$733,3,FALSE)*0.001*#REF!*#REF!,IF(VLOOKUP(B245,M!$B$6:$I$733,8,FALSE)="მბ",VLOOKUP(B245,M!$B$6:$I$733,3,FALSE)*0.001*#REF!*#REF!,IF(VLOOKUP(B245,M!$B$6:$I$733,8,FALSE)="აბ",VLOOKUP(B245,M!$B$6:$I$733,3,FALSE)*0.001*#REF!*#REF!,IF(VLOOKUP(B245,M!$B$6:$I$733,8,FALSE)="ინ",VLOOKUP(B245,M!$B$6:$I$733,3,FALSE)*0.001*#REF!*#REF!,IF(VLOOKUP(B245,M!$B$6:$I$733,8,FALSE)="ას",VLOOKUP(B245,M!$B$6:$I$733,3,FALSE)*0.001*#REF!*#REF!,IF(VLOOKUP(B245,M!$B$6:$I$733,8,FALSE)="სხ",VLOOKUP(B245,M!$B$6:$I$733,3,FALSE)*0.001*#REF!*#REF!,IF(VLOOKUP(B245,M!$B$6:$I$733,8,FALSE)="ხმ",VLOOKUP(B245,M!$B$6:$I$733,3,FALSE)*0.001*#REF!*#REF!))))))))),2)</f>
        <v>#REF!</v>
      </c>
      <c r="K245" s="31" t="e">
        <f t="shared" si="55"/>
        <v>#REF!</v>
      </c>
      <c r="L245" s="14" t="e">
        <f t="shared" si="53"/>
        <v>#REF!</v>
      </c>
      <c r="M245" s="23" t="str">
        <f>(IF(ISNUMBER(MATCH(B245,E!$B$6:$B$197,0)),VLOOKUP(B245,E!$B$6:$E$197,4,FALSE),VLOOKUP(B245,M!$B$6:$I$733,7,FALSE)))</f>
        <v>1.1-35</v>
      </c>
    </row>
    <row r="246" spans="1:13" ht="39.75" customHeight="1" x14ac:dyDescent="0.25">
      <c r="A246" s="16" t="s">
        <v>733</v>
      </c>
      <c r="B246" s="2" t="s">
        <v>134</v>
      </c>
      <c r="C246" s="2" t="s">
        <v>28</v>
      </c>
      <c r="D246" s="2">
        <v>7.2</v>
      </c>
      <c r="E246" s="14">
        <f>D246*E239</f>
        <v>4.3920000000000003</v>
      </c>
      <c r="F246" s="31" t="e">
        <f>ROUND(VLOOKUP(B246,M!$B$6:$H$733,IF(#REF!="დაბალი",4,IF(#REF!="საშუალო",6,IF(#REF!="მაღალი",5))),FALSE),2)</f>
        <v>#REF!</v>
      </c>
      <c r="G246" s="14" t="e">
        <f t="shared" si="54"/>
        <v>#REF!</v>
      </c>
      <c r="H246" s="2"/>
      <c r="I246" s="2"/>
      <c r="J246" s="35" t="e">
        <f>ROUND(IF(ISNUMBER(MATCH(B246,E!$B$6:$B$197,0)),VLOOKUP(B246,E!$B$6:$E$197,2,FALSE),IF(#REF!="დიახ",IF(VLOOKUP(B246,M!$B$6:$I$733,8,FALSE)="ლ",VLOOKUP(B246,M!$B$6:$I$733,3,FALSE)*0.001*#REF!*#REF!,IF(VLOOKUP(B246,M!$B$6:$I$733,8,FALSE)="მბ",VLOOKUP(B246,M!$B$6:$I$733,3,FALSE)*0.001*#REF!*#REF!,IF(VLOOKUP(B246,M!$B$6:$I$733,8,FALSE)="აბ",VLOOKUP(B246,M!$B$6:$I$733,3,FALSE)*0.001*#REF!*#REF!,IF(VLOOKUP(B246,M!$B$6:$I$733,8,FALSE)="ინ",VLOOKUP(B246,M!$B$6:$I$733,3,FALSE)*0.001*#REF!*#REF!,IF(VLOOKUP(B246,M!$B$6:$I$733,8,FALSE)="ას",VLOOKUP(B246,M!$B$6:$I$733,3,FALSE)*0.001*#REF!*#REF!,IF(VLOOKUP(B246,M!$B$6:$I$733,8,FALSE)="სხ",VLOOKUP(B246,M!$B$6:$I$733,3,FALSE)*0.001*#REF!*#REF!,IF(VLOOKUP(B246,M!$B$6:$I$733,8,FALSE)="ხმ",VLOOKUP(B246,M!$B$6:$I$733,3,FALSE)*0.001*#REF!*#REF!))))))))),2)</f>
        <v>#REF!</v>
      </c>
      <c r="K246" s="31" t="e">
        <f t="shared" si="55"/>
        <v>#REF!</v>
      </c>
      <c r="L246" s="14" t="e">
        <f t="shared" si="53"/>
        <v>#REF!</v>
      </c>
      <c r="M246" s="23" t="str">
        <f>(IF(ISNUMBER(MATCH(B246,E!$B$6:$B$197,0)),VLOOKUP(B246,E!$B$6:$E$197,4,FALSE),VLOOKUP(B246,M!$B$6:$I$733,7,FALSE)))</f>
        <v>1.10-2</v>
      </c>
    </row>
    <row r="247" spans="1:13" ht="39.950000000000003" customHeight="1" x14ac:dyDescent="0.25">
      <c r="A247" s="16" t="s">
        <v>734</v>
      </c>
      <c r="B247" s="17" t="s">
        <v>677</v>
      </c>
      <c r="C247" s="2" t="s">
        <v>393</v>
      </c>
      <c r="D247" s="2">
        <v>0.88</v>
      </c>
      <c r="E247" s="14">
        <f>D247*E239</f>
        <v>0.53679999999999994</v>
      </c>
      <c r="F247" s="31" t="e">
        <f>ROUND(VLOOKUP(B247,M!$B$6:$H$733,IF(#REF!="დაბალი",4,IF(#REF!="საშუალო",6,IF(#REF!="მაღალი",5))),FALSE),2)</f>
        <v>#REF!</v>
      </c>
      <c r="G247" s="14" t="e">
        <f t="shared" si="54"/>
        <v>#REF!</v>
      </c>
      <c r="H247" s="2"/>
      <c r="I247" s="2"/>
      <c r="J247" s="35" t="e">
        <f>ROUND(IF(ISNUMBER(MATCH(B247,E!$B$6:$B$197,0)),VLOOKUP(B247,E!$B$6:$E$197,2,FALSE),IF(#REF!="დიახ",IF(VLOOKUP(B247,M!$B$6:$I$733,8,FALSE)="ლ",VLOOKUP(B247,M!$B$6:$I$733,3,FALSE)*0.001*#REF!*#REF!,IF(VLOOKUP(B247,M!$B$6:$I$733,8,FALSE)="მბ",VLOOKUP(B247,M!$B$6:$I$733,3,FALSE)*0.001*#REF!*#REF!,IF(VLOOKUP(B247,M!$B$6:$I$733,8,FALSE)="აბ",VLOOKUP(B247,M!$B$6:$I$733,3,FALSE)*0.001*#REF!*#REF!,IF(VLOOKUP(B247,M!$B$6:$I$733,8,FALSE)="ინ",VLOOKUP(B247,M!$B$6:$I$733,3,FALSE)*0.001*#REF!*#REF!,IF(VLOOKUP(B247,M!$B$6:$I$733,8,FALSE)="ას",VLOOKUP(B247,M!$B$6:$I$733,3,FALSE)*0.001*#REF!*#REF!,IF(VLOOKUP(B247,M!$B$6:$I$733,8,FALSE)="სხ",VLOOKUP(B247,M!$B$6:$I$733,3,FALSE)*0.001*#REF!*#REF!,IF(VLOOKUP(B247,M!$B$6:$I$733,8,FALSE)="ხმ",VLOOKUP(B247,M!$B$6:$I$733,3,FALSE)*0.001*#REF!*#REF!))))))))),2)</f>
        <v>#REF!</v>
      </c>
      <c r="K247" s="31" t="e">
        <f t="shared" si="55"/>
        <v>#REF!</v>
      </c>
      <c r="L247" s="14" t="e">
        <f t="shared" si="53"/>
        <v>#REF!</v>
      </c>
      <c r="M247" s="23" t="str">
        <f>(IF(ISNUMBER(MATCH(B247,E!$B$6:$B$197,0)),VLOOKUP(B247,E!$B$6:$E$197,4,FALSE),VLOOKUP(B247,M!$B$6:$I$733,7,FALSE)))</f>
        <v>ს.რ.ფ</v>
      </c>
    </row>
    <row r="248" spans="1:13" s="45" customFormat="1" ht="39.950000000000003" customHeight="1" x14ac:dyDescent="0.25">
      <c r="A248" s="70">
        <v>1.1000000000000001</v>
      </c>
      <c r="B248" s="40" t="s">
        <v>1217</v>
      </c>
      <c r="C248" s="41" t="s">
        <v>842</v>
      </c>
      <c r="D248" s="41"/>
      <c r="E248" s="52">
        <v>100</v>
      </c>
      <c r="F248" s="42"/>
      <c r="G248" s="42"/>
      <c r="H248" s="42"/>
      <c r="I248" s="42"/>
      <c r="J248" s="42"/>
      <c r="K248" s="42"/>
      <c r="L248" s="43" t="e">
        <f>SUM(L249:L252)</f>
        <v>#REF!</v>
      </c>
      <c r="M248" s="44" t="s">
        <v>1216</v>
      </c>
    </row>
    <row r="249" spans="1:13" ht="39.950000000000003" customHeight="1" x14ac:dyDescent="0.25">
      <c r="A249" s="16" t="s">
        <v>668</v>
      </c>
      <c r="B249" s="17" t="s">
        <v>669</v>
      </c>
      <c r="C249" s="2" t="s">
        <v>670</v>
      </c>
      <c r="D249" s="2">
        <v>91.4</v>
      </c>
      <c r="E249" s="14">
        <f>D249*E248/100</f>
        <v>91.4</v>
      </c>
      <c r="F249" s="13"/>
      <c r="G249" s="13"/>
      <c r="H249" s="27">
        <f>IF((ISNUMBER(--LEFT(M248,2))),VLOOKUP(--LEFT(M248,2),N!$A$5:$C$54,3,FALSE),VLOOKUP(--LEFT(M248,1),N!$A$5:$C$54,3,FALSE))</f>
        <v>7.8</v>
      </c>
      <c r="I249" s="14">
        <f>ROUND(E249*H249,2)</f>
        <v>712.92</v>
      </c>
      <c r="J249" s="13"/>
      <c r="K249" s="13"/>
      <c r="L249" s="14">
        <f>G249+I249+K249</f>
        <v>712.92</v>
      </c>
      <c r="M249" s="23" t="str">
        <f>(IF(ISNUMBER(MATCH(B249,E!$B$6:$B$197,0)),VLOOKUP(B249,E!$B$6:$E$197,4,FALSE),VLOOKUP(B249,M!$B$6:$I$733,7,FALSE)))</f>
        <v>მ.ც</v>
      </c>
    </row>
    <row r="250" spans="1:13" ht="39.950000000000003" customHeight="1" x14ac:dyDescent="0.25">
      <c r="A250" s="16" t="s">
        <v>671</v>
      </c>
      <c r="B250" s="17" t="s">
        <v>654</v>
      </c>
      <c r="C250" s="2" t="s">
        <v>393</v>
      </c>
      <c r="D250" s="2">
        <v>35.299999999999997</v>
      </c>
      <c r="E250" s="14">
        <f>D250*E248/100</f>
        <v>35.299999999999997</v>
      </c>
      <c r="F250" s="13"/>
      <c r="G250" s="13"/>
      <c r="H250" s="13"/>
      <c r="I250" s="13"/>
      <c r="J250" s="35">
        <f>ROUND(IF(ISNUMBER(MATCH(B250,E!$B$6:$B$197,0)),VLOOKUP(B250,E!$B$6:$E$197,2,FALSE),IF(#REF!="დიახ",IF(VLOOKUP(B250,M!$B$6:$I$733,8,FALSE)="ლ",VLOOKUP(B250,M!$B$6:$I$733,3,FALSE)*0.001*#REF!*#REF!,IF(VLOOKUP(B250,M!$B$6:$I$733,8,FALSE)="მბ",VLOOKUP(B250,M!$B$6:$I$733,3,FALSE)*0.001*#REF!*#REF!,IF(VLOOKUP(B250,M!$B$6:$I$733,8,FALSE)="აბ",VLOOKUP(B250,M!$B$6:$I$733,3,FALSE)*0.001*#REF!*#REF!,IF(VLOOKUP(B250,M!$B$6:$I$733,8,FALSE)="ინ",VLOOKUP(B250,M!$B$6:$I$733,3,FALSE)*0.001*#REF!*#REF!,IF(VLOOKUP(B250,M!$B$6:$I$733,8,FALSE)="ას",VLOOKUP(B250,M!$B$6:$I$733,3,FALSE)*0.001*#REF!*#REF!,IF(VLOOKUP(B250,M!$B$6:$I$733,8,FALSE)="სხ",VLOOKUP(B250,M!$B$6:$I$733,3,FALSE)*0.001*#REF!*#REF!,IF(VLOOKUP(B250,M!$B$6:$I$733,8,FALSE)="ხმ",VLOOKUP(B250,M!$B$6:$I$733,3,FALSE)*0.001*#REF!*#REF!))))))))),2)</f>
        <v>3.2</v>
      </c>
      <c r="K250" s="14">
        <f>ROUND(E250*J250,2)</f>
        <v>112.96</v>
      </c>
      <c r="L250" s="14">
        <f t="shared" ref="L250:L252" si="56">G250+I250+K250</f>
        <v>112.96</v>
      </c>
      <c r="M250" s="23" t="str">
        <f>(IF(ISNUMBER(MATCH(B250,E!$B$6:$B$197,0)),VLOOKUP(B250,E!$B$6:$E$197,4,FALSE),VLOOKUP(B250,M!$B$6:$I$733,7,FALSE)))</f>
        <v>ს.რ.ფ</v>
      </c>
    </row>
    <row r="251" spans="1:13" ht="39.950000000000003" customHeight="1" x14ac:dyDescent="0.25">
      <c r="A251" s="16" t="s">
        <v>671</v>
      </c>
      <c r="B251" s="2" t="s">
        <v>1218</v>
      </c>
      <c r="C251" s="2" t="s">
        <v>1214</v>
      </c>
      <c r="D251" s="2">
        <v>100</v>
      </c>
      <c r="E251" s="14">
        <f>D251*E248/100</f>
        <v>100</v>
      </c>
      <c r="F251" s="31">
        <v>85</v>
      </c>
      <c r="G251" s="14">
        <f>ROUND(E251*F251,2)</f>
        <v>8500</v>
      </c>
      <c r="H251" s="2"/>
      <c r="I251" s="2"/>
      <c r="J251" s="35"/>
      <c r="K251" s="14"/>
      <c r="L251" s="14">
        <f t="shared" si="56"/>
        <v>8500</v>
      </c>
      <c r="M251" s="23" t="s">
        <v>845</v>
      </c>
    </row>
    <row r="252" spans="1:13" ht="39.950000000000003" customHeight="1" x14ac:dyDescent="0.25">
      <c r="A252" s="16" t="s">
        <v>673</v>
      </c>
      <c r="B252" s="17" t="s">
        <v>677</v>
      </c>
      <c r="C252" s="2" t="s">
        <v>393</v>
      </c>
      <c r="D252" s="2">
        <v>10.7</v>
      </c>
      <c r="E252" s="14">
        <f>D252*E248/100</f>
        <v>10.7</v>
      </c>
      <c r="F252" s="31" t="e">
        <f>ROUND(VLOOKUP(B252,M!$B$6:$H$733,IF(#REF!="დაბალი",4,IF(#REF!="საშუალო",6,IF(#REF!="მაღალი",5))),FALSE),2)</f>
        <v>#REF!</v>
      </c>
      <c r="G252" s="14" t="e">
        <f t="shared" ref="G252" si="57">ROUND(E252*F252,2)</f>
        <v>#REF!</v>
      </c>
      <c r="H252" s="2"/>
      <c r="I252" s="2"/>
      <c r="J252" s="2"/>
      <c r="K252" s="2"/>
      <c r="L252" s="14" t="e">
        <f t="shared" si="56"/>
        <v>#REF!</v>
      </c>
      <c r="M252" s="23" t="s">
        <v>845</v>
      </c>
    </row>
    <row r="253" spans="1:13" s="45" customFormat="1" ht="39.950000000000003" customHeight="1" x14ac:dyDescent="0.25">
      <c r="A253" s="70">
        <v>1.1000000000000001</v>
      </c>
      <c r="B253" s="40" t="s">
        <v>1057</v>
      </c>
      <c r="C253" s="41" t="s">
        <v>792</v>
      </c>
      <c r="D253" s="41"/>
      <c r="E253" s="41">
        <v>0.24</v>
      </c>
      <c r="F253" s="42"/>
      <c r="G253" s="42"/>
      <c r="H253" s="42"/>
      <c r="I253" s="42"/>
      <c r="J253" s="42"/>
      <c r="K253" s="42"/>
      <c r="L253" s="43" t="e">
        <f>SUM(L254:L258)</f>
        <v>#REF!</v>
      </c>
      <c r="M253" s="44" t="s">
        <v>1058</v>
      </c>
    </row>
    <row r="254" spans="1:13" ht="39.950000000000003" customHeight="1" x14ac:dyDescent="0.25">
      <c r="A254" s="16" t="s">
        <v>668</v>
      </c>
      <c r="B254" s="17" t="s">
        <v>669</v>
      </c>
      <c r="C254" s="2" t="s">
        <v>670</v>
      </c>
      <c r="D254" s="2">
        <v>22.7</v>
      </c>
      <c r="E254" s="14">
        <f>D254*E253</f>
        <v>5.4479999999999995</v>
      </c>
      <c r="F254" s="13"/>
      <c r="G254" s="13"/>
      <c r="H254" s="27">
        <f>IF((ISNUMBER(--LEFT(M253,2))),VLOOKUP(--LEFT(M253,2),N!$A$5:$C$54,3,FALSE),VLOOKUP(--LEFT(M253,1),N!$A$5:$C$54,3,FALSE))</f>
        <v>7.8</v>
      </c>
      <c r="I254" s="14">
        <f>ROUND(E254*H254,2)</f>
        <v>42.49</v>
      </c>
      <c r="J254" s="13"/>
      <c r="K254" s="13"/>
      <c r="L254" s="14">
        <f>G254+I254+K254</f>
        <v>42.49</v>
      </c>
      <c r="M254" s="23" t="str">
        <f>(IF(ISNUMBER(MATCH(B254,E!$B$6:$B$197,0)),VLOOKUP(B254,E!$B$6:$E$197,4,FALSE),VLOOKUP(B254,M!$B$6:$I$733,7,FALSE)))</f>
        <v>მ.ც</v>
      </c>
    </row>
    <row r="255" spans="1:13" ht="39.950000000000003" customHeight="1" x14ac:dyDescent="0.25">
      <c r="A255" s="16" t="s">
        <v>671</v>
      </c>
      <c r="B255" s="17" t="s">
        <v>654</v>
      </c>
      <c r="C255" s="2" t="s">
        <v>393</v>
      </c>
      <c r="D255" s="2">
        <v>2.76</v>
      </c>
      <c r="E255" s="14">
        <f>D255*E253</f>
        <v>0.66239999999999988</v>
      </c>
      <c r="F255" s="13"/>
      <c r="G255" s="13"/>
      <c r="H255" s="13"/>
      <c r="I255" s="13"/>
      <c r="J255" s="35">
        <f>ROUND(IF(ISNUMBER(MATCH(B255,E!$B$6:$B$197,0)),VLOOKUP(B255,E!$B$6:$E$197,2,FALSE),IF(#REF!="დიახ",IF(VLOOKUP(B255,M!$B$6:$I$733,8,FALSE)="ლ",VLOOKUP(B255,M!$B$6:$I$733,3,FALSE)*0.001*#REF!*#REF!,IF(VLOOKUP(B255,M!$B$6:$I$733,8,FALSE)="მბ",VLOOKUP(B255,M!$B$6:$I$733,3,FALSE)*0.001*#REF!*#REF!,IF(VLOOKUP(B255,M!$B$6:$I$733,8,FALSE)="აბ",VLOOKUP(B255,M!$B$6:$I$733,3,FALSE)*0.001*#REF!*#REF!,IF(VLOOKUP(B255,M!$B$6:$I$733,8,FALSE)="ინ",VLOOKUP(B255,M!$B$6:$I$733,3,FALSE)*0.001*#REF!*#REF!,IF(VLOOKUP(B255,M!$B$6:$I$733,8,FALSE)="ას",VLOOKUP(B255,M!$B$6:$I$733,3,FALSE)*0.001*#REF!*#REF!,IF(VLOOKUP(B255,M!$B$6:$I$733,8,FALSE)="სხ",VLOOKUP(B255,M!$B$6:$I$733,3,FALSE)*0.001*#REF!*#REF!,IF(VLOOKUP(B255,M!$B$6:$I$733,8,FALSE)="ხმ",VLOOKUP(B255,M!$B$6:$I$733,3,FALSE)*0.001*#REF!*#REF!))))))))),2)</f>
        <v>3.2</v>
      </c>
      <c r="K255" s="14">
        <f>ROUND(E255*J255,2)</f>
        <v>2.12</v>
      </c>
      <c r="L255" s="14">
        <f t="shared" ref="L255:L258" si="58">G255+I255+K255</f>
        <v>2.12</v>
      </c>
      <c r="M255" s="23" t="str">
        <f>(IF(ISNUMBER(MATCH(B255,E!$B$6:$B$197,0)),VLOOKUP(B255,E!$B$6:$E$197,4,FALSE),VLOOKUP(B255,M!$B$6:$I$733,7,FALSE)))</f>
        <v>ს.რ.ფ</v>
      </c>
    </row>
    <row r="256" spans="1:13" ht="39.75" customHeight="1" x14ac:dyDescent="0.25">
      <c r="A256" s="16" t="s">
        <v>673</v>
      </c>
      <c r="B256" s="2" t="s">
        <v>548</v>
      </c>
      <c r="C256" s="2" t="s">
        <v>674</v>
      </c>
      <c r="D256" s="2">
        <v>2.1</v>
      </c>
      <c r="E256" s="14">
        <f>D256*E253</f>
        <v>0.504</v>
      </c>
      <c r="F256" s="31" t="e">
        <f>ROUND(VLOOKUP(B256,M!$B$6:$H$733,IF(#REF!="დაბალი",4,IF(#REF!="საშუალო",6,IF(#REF!="მაღალი",5))),FALSE),2)</f>
        <v>#REF!</v>
      </c>
      <c r="G256" s="14" t="e">
        <f t="shared" ref="G256:G258" si="59">ROUND(E256*F256,2)</f>
        <v>#REF!</v>
      </c>
      <c r="H256" s="2"/>
      <c r="I256" s="2"/>
      <c r="J256" s="35" t="e">
        <f>ROUND(IF(ISNUMBER(MATCH(B256,E!$B$6:$B$197,0)),VLOOKUP(B256,E!$B$6:$E$197,2,FALSE),IF(#REF!="დიახ",IF(VLOOKUP(B256,M!$B$6:$I$733,8,FALSE)="ლ",VLOOKUP(B256,M!$B$6:$I$733,3,FALSE)*0.001*#REF!*#REF!,IF(VLOOKUP(B256,M!$B$6:$I$733,8,FALSE)="მბ",VLOOKUP(B256,M!$B$6:$I$733,3,FALSE)*0.001*#REF!*#REF!,IF(VLOOKUP(B256,M!$B$6:$I$733,8,FALSE)="აბ",VLOOKUP(B256,M!$B$6:$I$733,3,FALSE)*0.001*#REF!*#REF!,IF(VLOOKUP(B256,M!$B$6:$I$733,8,FALSE)="ინ",VLOOKUP(B256,M!$B$6:$I$733,3,FALSE)*0.001*#REF!*#REF!,IF(VLOOKUP(B256,M!$B$6:$I$733,8,FALSE)="ას",VLOOKUP(B256,M!$B$6:$I$733,3,FALSE)*0.001*#REF!*#REF!,IF(VLOOKUP(B256,M!$B$6:$I$733,8,FALSE)="სხ",VLOOKUP(B256,M!$B$6:$I$733,3,FALSE)*0.001*#REF!*#REF!,IF(VLOOKUP(B256,M!$B$6:$I$733,8,FALSE)="ხმ",VLOOKUP(B256,M!$B$6:$I$733,3,FALSE)*0.001*#REF!*#REF!))))))))),2)</f>
        <v>#REF!</v>
      </c>
      <c r="K256" s="14" t="e">
        <f t="shared" ref="K256:K258" si="60">ROUND(E256*J256,2)</f>
        <v>#REF!</v>
      </c>
      <c r="L256" s="14" t="e">
        <f t="shared" si="58"/>
        <v>#REF!</v>
      </c>
      <c r="M256" s="23" t="str">
        <f>(IF(ISNUMBER(MATCH(B256,E!$B$6:$B$197,0)),VLOOKUP(B256,E!$B$6:$E$197,4,FALSE),VLOOKUP(B256,M!$B$6:$I$733,7,FALSE)))</f>
        <v>5.1-19</v>
      </c>
    </row>
    <row r="257" spans="1:13" ht="39.75" customHeight="1" x14ac:dyDescent="0.25">
      <c r="A257" s="16" t="s">
        <v>675</v>
      </c>
      <c r="B257" s="2" t="s">
        <v>134</v>
      </c>
      <c r="C257" s="2" t="s">
        <v>28</v>
      </c>
      <c r="D257" s="2">
        <v>7</v>
      </c>
      <c r="E257" s="14">
        <f>D257*E253</f>
        <v>1.68</v>
      </c>
      <c r="F257" s="31" t="e">
        <f>ROUND(VLOOKUP(B257,M!$B$6:$H$733,IF(#REF!="დაბალი",4,IF(#REF!="საშუალო",6,IF(#REF!="მაღალი",5))),FALSE),2)</f>
        <v>#REF!</v>
      </c>
      <c r="G257" s="14" t="e">
        <f t="shared" si="59"/>
        <v>#REF!</v>
      </c>
      <c r="H257" s="2"/>
      <c r="I257" s="2"/>
      <c r="J257" s="35" t="e">
        <f>ROUND(IF(ISNUMBER(MATCH(B257,E!$B$6:$B$197,0)),VLOOKUP(B257,E!$B$6:$E$197,2,FALSE),IF(#REF!="დიახ",IF(VLOOKUP(B257,M!$B$6:$I$733,8,FALSE)="ლ",VLOOKUP(B257,M!$B$6:$I$733,3,FALSE)*0.001*#REF!*#REF!,IF(VLOOKUP(B257,M!$B$6:$I$733,8,FALSE)="მბ",VLOOKUP(B257,M!$B$6:$I$733,3,FALSE)*0.001*#REF!*#REF!,IF(VLOOKUP(B257,M!$B$6:$I$733,8,FALSE)="აბ",VLOOKUP(B257,M!$B$6:$I$733,3,FALSE)*0.001*#REF!*#REF!,IF(VLOOKUP(B257,M!$B$6:$I$733,8,FALSE)="ინ",VLOOKUP(B257,M!$B$6:$I$733,3,FALSE)*0.001*#REF!*#REF!,IF(VLOOKUP(B257,M!$B$6:$I$733,8,FALSE)="ას",VLOOKUP(B257,M!$B$6:$I$733,3,FALSE)*0.001*#REF!*#REF!,IF(VLOOKUP(B257,M!$B$6:$I$733,8,FALSE)="სხ",VLOOKUP(B257,M!$B$6:$I$733,3,FALSE)*0.001*#REF!*#REF!,IF(VLOOKUP(B257,M!$B$6:$I$733,8,FALSE)="ხმ",VLOOKUP(B257,M!$B$6:$I$733,3,FALSE)*0.001*#REF!*#REF!))))))))),2)</f>
        <v>#REF!</v>
      </c>
      <c r="K257" s="14" t="e">
        <f t="shared" si="60"/>
        <v>#REF!</v>
      </c>
      <c r="L257" s="14" t="e">
        <f t="shared" si="58"/>
        <v>#REF!</v>
      </c>
      <c r="M257" s="23" t="str">
        <f>(IF(ISNUMBER(MATCH(B257,E!$B$6:$B$197,0)),VLOOKUP(B257,E!$B$6:$E$197,4,FALSE),VLOOKUP(B257,M!$B$6:$I$733,7,FALSE)))</f>
        <v>1.10-2</v>
      </c>
    </row>
    <row r="258" spans="1:13" ht="39.950000000000003" customHeight="1" x14ac:dyDescent="0.25">
      <c r="A258" s="16" t="s">
        <v>695</v>
      </c>
      <c r="B258" s="17" t="s">
        <v>677</v>
      </c>
      <c r="C258" s="2" t="s">
        <v>393</v>
      </c>
      <c r="D258" s="2">
        <v>4.4400000000000004</v>
      </c>
      <c r="E258" s="14">
        <f>D258*E253</f>
        <v>1.0656000000000001</v>
      </c>
      <c r="F258" s="31" t="e">
        <f>ROUND(VLOOKUP(B258,M!$B$6:$H$733,IF(#REF!="დაბალი",4,IF(#REF!="საშუალო",6,IF(#REF!="მაღალი",5))),FALSE),2)</f>
        <v>#REF!</v>
      </c>
      <c r="G258" s="14" t="e">
        <f t="shared" si="59"/>
        <v>#REF!</v>
      </c>
      <c r="H258" s="2"/>
      <c r="I258" s="2"/>
      <c r="J258" s="35" t="e">
        <f>ROUND(IF(ISNUMBER(MATCH(B258,E!$B$6:$B$197,0)),VLOOKUP(B258,E!$B$6:$E$197,2,FALSE),IF(#REF!="დიახ",IF(VLOOKUP(B258,M!$B$6:$I$733,8,FALSE)="ლ",VLOOKUP(B258,M!$B$6:$I$733,3,FALSE)*0.001*#REF!*#REF!,IF(VLOOKUP(B258,M!$B$6:$I$733,8,FALSE)="მბ",VLOOKUP(B258,M!$B$6:$I$733,3,FALSE)*0.001*#REF!*#REF!,IF(VLOOKUP(B258,M!$B$6:$I$733,8,FALSE)="აბ",VLOOKUP(B258,M!$B$6:$I$733,3,FALSE)*0.001*#REF!*#REF!,IF(VLOOKUP(B258,M!$B$6:$I$733,8,FALSE)="ინ",VLOOKUP(B258,M!$B$6:$I$733,3,FALSE)*0.001*#REF!*#REF!,IF(VLOOKUP(B258,M!$B$6:$I$733,8,FALSE)="ას",VLOOKUP(B258,M!$B$6:$I$733,3,FALSE)*0.001*#REF!*#REF!,IF(VLOOKUP(B258,M!$B$6:$I$733,8,FALSE)="სხ",VLOOKUP(B258,M!$B$6:$I$733,3,FALSE)*0.001*#REF!*#REF!,IF(VLOOKUP(B258,M!$B$6:$I$733,8,FALSE)="ხმ",VLOOKUP(B258,M!$B$6:$I$733,3,FALSE)*0.001*#REF!*#REF!))))))))),2)</f>
        <v>#REF!</v>
      </c>
      <c r="K258" s="14" t="e">
        <f t="shared" si="60"/>
        <v>#REF!</v>
      </c>
      <c r="L258" s="14" t="e">
        <f t="shared" si="58"/>
        <v>#REF!</v>
      </c>
      <c r="M258" s="23" t="str">
        <f>(IF(ISNUMBER(MATCH(B258,E!$B$6:$B$197,0)),VLOOKUP(B258,E!$B$6:$E$197,4,FALSE),VLOOKUP(B258,M!$B$6:$I$733,7,FALSE)))</f>
        <v>ს.რ.ფ</v>
      </c>
    </row>
    <row r="259" spans="1:13" ht="79.5" customHeight="1" x14ac:dyDescent="0.25">
      <c r="A259" s="108">
        <v>11</v>
      </c>
      <c r="B259" s="109" t="s">
        <v>1131</v>
      </c>
      <c r="C259" s="10"/>
      <c r="D259" s="10"/>
      <c r="E259" s="10"/>
      <c r="F259" s="30"/>
      <c r="G259" s="10"/>
      <c r="H259" s="26"/>
      <c r="I259" s="10"/>
      <c r="J259" s="30"/>
      <c r="K259" s="30"/>
      <c r="L259" s="11"/>
      <c r="M259" s="22"/>
    </row>
    <row r="260" spans="1:13" s="45" customFormat="1" ht="39.950000000000003" customHeight="1" x14ac:dyDescent="0.25">
      <c r="A260" s="70">
        <v>1.1000000000000001</v>
      </c>
      <c r="B260" s="40" t="s">
        <v>1132</v>
      </c>
      <c r="C260" s="41" t="s">
        <v>792</v>
      </c>
      <c r="D260" s="41"/>
      <c r="E260" s="41">
        <v>1</v>
      </c>
      <c r="F260" s="42"/>
      <c r="G260" s="42"/>
      <c r="H260" s="42"/>
      <c r="I260" s="42"/>
      <c r="J260" s="42"/>
      <c r="K260" s="42"/>
      <c r="L260" s="43" t="e">
        <f>SUM(L261:L263)</f>
        <v>#REF!</v>
      </c>
      <c r="M260" s="44" t="s">
        <v>1133</v>
      </c>
    </row>
    <row r="261" spans="1:13" ht="39.950000000000003" customHeight="1" x14ac:dyDescent="0.25">
      <c r="A261" s="16" t="s">
        <v>668</v>
      </c>
      <c r="B261" s="17" t="s">
        <v>669</v>
      </c>
      <c r="C261" s="2" t="s">
        <v>670</v>
      </c>
      <c r="D261" s="2">
        <v>2.9</v>
      </c>
      <c r="E261" s="14">
        <f>D261*E260</f>
        <v>2.9</v>
      </c>
      <c r="F261" s="13"/>
      <c r="G261" s="13"/>
      <c r="H261" s="27">
        <f>IF((ISNUMBER(--LEFT(M260,2))),VLOOKUP(--LEFT(M260,2),N!$A$5:$C$54,3,FALSE),VLOOKUP(--LEFT(M260,1),N!$A$5:$C$54,3,FALSE))</f>
        <v>7.8</v>
      </c>
      <c r="I261" s="14">
        <f>ROUND(E261*H261,2)</f>
        <v>22.62</v>
      </c>
      <c r="J261" s="13"/>
      <c r="K261" s="13"/>
      <c r="L261" s="14">
        <f>G261+I261+K261</f>
        <v>22.62</v>
      </c>
      <c r="M261" s="23" t="str">
        <f>(IF(ISNUMBER(MATCH(B261,E!$B$6:$B$197,0)),VLOOKUP(B261,E!$B$6:$E$197,4,FALSE),VLOOKUP(B261,M!$B$6:$I$733,7,FALSE)))</f>
        <v>მ.ც</v>
      </c>
    </row>
    <row r="262" spans="1:13" ht="39.950000000000003" customHeight="1" x14ac:dyDescent="0.25">
      <c r="A262" s="16" t="s">
        <v>671</v>
      </c>
      <c r="B262" s="2" t="s">
        <v>800</v>
      </c>
      <c r="C262" s="2" t="s">
        <v>674</v>
      </c>
      <c r="D262" s="2">
        <v>1.02</v>
      </c>
      <c r="E262" s="14">
        <f>D262*E260</f>
        <v>1.02</v>
      </c>
      <c r="F262" s="31" t="e">
        <f>ROUND(VLOOKUP(B262,M!$B$6:$H$733,IF(#REF!="დაბალი",4,IF(#REF!="საშუალო",6,IF(#REF!="მაღალი",5))),FALSE),2)</f>
        <v>#REF!</v>
      </c>
      <c r="G262" s="14" t="e">
        <f>ROUND(E262*F262,2)</f>
        <v>#REF!</v>
      </c>
      <c r="H262" s="2"/>
      <c r="I262" s="2"/>
      <c r="J262" s="35" t="e">
        <f>ROUND(IF(ISNUMBER(MATCH(B262,E!$B$6:$B$197,0)),VLOOKUP(B262,E!$B$6:$E$197,2,FALSE),IF(#REF!="დიახ",IF(VLOOKUP(B262,M!$B$6:$I$733,8,FALSE)="ლ",VLOOKUP(B262,M!$B$6:$I$733,3,FALSE)*0.001*#REF!*#REF!,IF(VLOOKUP(B262,M!$B$6:$I$733,8,FALSE)="მბ",VLOOKUP(B262,M!$B$6:$I$733,3,FALSE)*0.001*#REF!*#REF!,IF(VLOOKUP(B262,M!$B$6:$I$733,8,FALSE)="აბ",VLOOKUP(B262,M!$B$6:$I$733,3,FALSE)*0.001*#REF!*#REF!,IF(VLOOKUP(B262,M!$B$6:$I$733,8,FALSE)="ინ",VLOOKUP(B262,M!$B$6:$I$733,3,FALSE)*0.001*#REF!*#REF!,IF(VLOOKUP(B262,M!$B$6:$I$733,8,FALSE)="ას",VLOOKUP(B262,M!$B$6:$I$733,3,FALSE)*0.001*#REF!*#REF!,IF(VLOOKUP(B262,M!$B$6:$I$733,8,FALSE)="სხ",VLOOKUP(B262,M!$B$6:$I$733,3,FALSE)*0.001*#REF!*#REF!,IF(VLOOKUP(B262,M!$B$6:$I$733,8,FALSE)="ხმ",VLOOKUP(B262,M!$B$6:$I$733,3,FALSE)*0.001*#REF!*#REF!))))))))),2)</f>
        <v>#REF!</v>
      </c>
      <c r="K262" s="14" t="e">
        <f>ROUND(E262*J262,2)</f>
        <v>#REF!</v>
      </c>
      <c r="L262" s="14" t="e">
        <f t="shared" ref="L262:L263" si="61">G262+I262+K262</f>
        <v>#REF!</v>
      </c>
      <c r="M262" s="23" t="str">
        <f>(IF(ISNUMBER(MATCH(B262,E!$B$6:$B$197,0)),VLOOKUP(B262,E!$B$6:$E$197,4,FALSE),VLOOKUP(B262,M!$B$6:$I$733,7,FALSE)))</f>
        <v>4.1-344</v>
      </c>
    </row>
    <row r="263" spans="1:13" ht="39.950000000000003" customHeight="1" x14ac:dyDescent="0.25">
      <c r="A263" s="16" t="s">
        <v>673</v>
      </c>
      <c r="B263" s="17" t="s">
        <v>677</v>
      </c>
      <c r="C263" s="2" t="s">
        <v>393</v>
      </c>
      <c r="D263" s="2">
        <v>0.88</v>
      </c>
      <c r="E263" s="14">
        <f>D263*E260</f>
        <v>0.88</v>
      </c>
      <c r="F263" s="31" t="e">
        <f>ROUND(VLOOKUP(B263,M!$B$6:$H$733,IF(#REF!="დაბალი",4,IF(#REF!="საშუალო",6,IF(#REF!="მაღალი",5))),FALSE),2)</f>
        <v>#REF!</v>
      </c>
      <c r="G263" s="14" t="e">
        <f t="shared" ref="G263" si="62">ROUND(E263*F263,2)</f>
        <v>#REF!</v>
      </c>
      <c r="H263" s="2"/>
      <c r="I263" s="2"/>
      <c r="J263" s="2"/>
      <c r="K263" s="2"/>
      <c r="L263" s="14" t="e">
        <f t="shared" si="61"/>
        <v>#REF!</v>
      </c>
      <c r="M263" s="23" t="str">
        <f>(IF(ISNUMBER(MATCH(B263,E!$B$6:$B$197,0)),VLOOKUP(B263,E!$B$6:$E$197,4,FALSE),VLOOKUP(B263,M!$B$6:$I$733,7,FALSE)))</f>
        <v>ს.რ.ფ</v>
      </c>
    </row>
    <row r="264" spans="1:13" s="45" customFormat="1" ht="39.950000000000003" customHeight="1" x14ac:dyDescent="0.25">
      <c r="A264" s="70">
        <v>1.1000000000000001</v>
      </c>
      <c r="B264" s="40" t="s">
        <v>1204</v>
      </c>
      <c r="C264" s="41" t="s">
        <v>842</v>
      </c>
      <c r="D264" s="41"/>
      <c r="E264" s="52">
        <v>100</v>
      </c>
      <c r="F264" s="42"/>
      <c r="G264" s="42"/>
      <c r="H264" s="42"/>
      <c r="I264" s="42"/>
      <c r="J264" s="42"/>
      <c r="K264" s="42"/>
      <c r="L264" s="43" t="e">
        <f>SUM(L265:L268)</f>
        <v>#REF!</v>
      </c>
      <c r="M264" s="44" t="s">
        <v>1205</v>
      </c>
    </row>
    <row r="265" spans="1:13" ht="39.950000000000003" customHeight="1" x14ac:dyDescent="0.25">
      <c r="A265" s="16" t="s">
        <v>668</v>
      </c>
      <c r="B265" s="17" t="s">
        <v>669</v>
      </c>
      <c r="C265" s="2" t="s">
        <v>670</v>
      </c>
      <c r="D265" s="2">
        <f>18.8+(0.34*4)</f>
        <v>20.16</v>
      </c>
      <c r="E265" s="14">
        <f>D265*E264/100</f>
        <v>20.16</v>
      </c>
      <c r="F265" s="13"/>
      <c r="G265" s="13"/>
      <c r="H265" s="27">
        <f>IF((ISNUMBER(--LEFT(M264,2))),VLOOKUP(--LEFT(M264,2),N!$A$5:$C$54,3,FALSE),VLOOKUP(--LEFT(M264,1),N!$A$5:$C$54,3,FALSE))</f>
        <v>7.8</v>
      </c>
      <c r="I265" s="14">
        <f>ROUND(E265*H265,2)</f>
        <v>157.25</v>
      </c>
      <c r="J265" s="13"/>
      <c r="K265" s="13"/>
      <c r="L265" s="14">
        <f>G265+I265+K265</f>
        <v>157.25</v>
      </c>
      <c r="M265" s="23" t="str">
        <f>(IF(ISNUMBER(MATCH(B265,E!$B$6:$B$197,0)),VLOOKUP(B265,E!$B$6:$E$197,4,FALSE),VLOOKUP(B265,M!$B$6:$I$733,7,FALSE)))</f>
        <v>მ.ც</v>
      </c>
    </row>
    <row r="266" spans="1:13" ht="39.950000000000003" customHeight="1" x14ac:dyDescent="0.25">
      <c r="A266" s="16" t="s">
        <v>671</v>
      </c>
      <c r="B266" s="17" t="s">
        <v>654</v>
      </c>
      <c r="C266" s="2" t="s">
        <v>393</v>
      </c>
      <c r="D266" s="2">
        <f>0.95+(0.23*4)</f>
        <v>1.87</v>
      </c>
      <c r="E266" s="14">
        <f>D266*E264/100</f>
        <v>1.87</v>
      </c>
      <c r="F266" s="13"/>
      <c r="G266" s="13"/>
      <c r="H266" s="13"/>
      <c r="I266" s="13"/>
      <c r="J266" s="35">
        <f>ROUND(IF(ISNUMBER(MATCH(B266,E!$B$6:$B$197,0)),VLOOKUP(B266,E!$B$6:$E$197,2,FALSE),IF(#REF!="დიახ",IF(VLOOKUP(B266,M!$B$6:$I$733,8,FALSE)="ლ",VLOOKUP(B266,M!$B$6:$I$733,3,FALSE)*0.001*#REF!*#REF!,IF(VLOOKUP(B266,M!$B$6:$I$733,8,FALSE)="მბ",VLOOKUP(B266,M!$B$6:$I$733,3,FALSE)*0.001*#REF!*#REF!,IF(VLOOKUP(B266,M!$B$6:$I$733,8,FALSE)="აბ",VLOOKUP(B266,M!$B$6:$I$733,3,FALSE)*0.001*#REF!*#REF!,IF(VLOOKUP(B266,M!$B$6:$I$733,8,FALSE)="ინ",VLOOKUP(B266,M!$B$6:$I$733,3,FALSE)*0.001*#REF!*#REF!,IF(VLOOKUP(B266,M!$B$6:$I$733,8,FALSE)="ას",VLOOKUP(B266,M!$B$6:$I$733,3,FALSE)*0.001*#REF!*#REF!,IF(VLOOKUP(B266,M!$B$6:$I$733,8,FALSE)="სხ",VLOOKUP(B266,M!$B$6:$I$733,3,FALSE)*0.001*#REF!*#REF!,IF(VLOOKUP(B266,M!$B$6:$I$733,8,FALSE)="ხმ",VLOOKUP(B266,M!$B$6:$I$733,3,FALSE)*0.001*#REF!*#REF!))))))))),2)</f>
        <v>3.2</v>
      </c>
      <c r="K266" s="14">
        <f>ROUND(E266*J266,2)</f>
        <v>5.98</v>
      </c>
      <c r="L266" s="14">
        <f t="shared" ref="L266" si="63">G266+I266+K266</f>
        <v>5.98</v>
      </c>
      <c r="M266" s="23" t="str">
        <f>(IF(ISNUMBER(MATCH(B266,E!$B$6:$B$197,0)),VLOOKUP(B266,E!$B$6:$E$197,4,FALSE),VLOOKUP(B266,M!$B$6:$I$733,7,FALSE)))</f>
        <v>ს.რ.ფ</v>
      </c>
    </row>
    <row r="267" spans="1:13" ht="39.950000000000003" customHeight="1" x14ac:dyDescent="0.25">
      <c r="A267" s="16" t="s">
        <v>671</v>
      </c>
      <c r="B267" s="2" t="s">
        <v>400</v>
      </c>
      <c r="C267" s="2" t="s">
        <v>674</v>
      </c>
      <c r="D267" s="2">
        <f>2.04+(0.56*4)</f>
        <v>4.28</v>
      </c>
      <c r="E267" s="14">
        <f>D267*E264/100</f>
        <v>4.28</v>
      </c>
      <c r="F267" s="31" t="e">
        <f>ROUND(VLOOKUP(B267,M!$B$6:$H$733,IF(#REF!="დაბალი",4,IF(#REF!="საშუალო",6,IF(#REF!="მაღალი",5))),FALSE),2)</f>
        <v>#REF!</v>
      </c>
      <c r="G267" s="14" t="e">
        <f>ROUND(E267*F267,2)</f>
        <v>#REF!</v>
      </c>
      <c r="H267" s="2"/>
      <c r="I267" s="2"/>
      <c r="J267" s="35" t="e">
        <f>ROUND(IF(ISNUMBER(MATCH(B267,E!$B$6:$B$197,0)),VLOOKUP(B267,E!$B$6:$E$197,2,FALSE),IF(#REF!="დიახ",IF(VLOOKUP(B267,M!$B$6:$I$733,8,FALSE)="ლ",VLOOKUP(B267,M!$B$6:$I$733,3,FALSE)*0.001*#REF!*#REF!,IF(VLOOKUP(B267,M!$B$6:$I$733,8,FALSE)="მბ",VLOOKUP(B267,M!$B$6:$I$733,3,FALSE)*0.001*#REF!*#REF!,IF(VLOOKUP(B267,M!$B$6:$I$733,8,FALSE)="აბ",VLOOKUP(B267,M!$B$6:$I$733,3,FALSE)*0.001*#REF!*#REF!,IF(VLOOKUP(B267,M!$B$6:$I$733,8,FALSE)="ინ",VLOOKUP(B267,M!$B$6:$I$733,3,FALSE)*0.001*#REF!*#REF!,IF(VLOOKUP(B267,M!$B$6:$I$733,8,FALSE)="ას",VLOOKUP(B267,M!$B$6:$I$733,3,FALSE)*0.001*#REF!*#REF!,IF(VLOOKUP(B267,M!$B$6:$I$733,8,FALSE)="სხ",VLOOKUP(B267,M!$B$6:$I$733,3,FALSE)*0.001*#REF!*#REF!,IF(VLOOKUP(B267,M!$B$6:$I$733,8,FALSE)="ხმ",VLOOKUP(B267,M!$B$6:$I$733,3,FALSE)*0.001*#REF!*#REF!))))))))),2)</f>
        <v>#REF!</v>
      </c>
      <c r="K267" s="14" t="e">
        <f>ROUND(E267*J267,2)</f>
        <v>#REF!</v>
      </c>
      <c r="L267" s="14" t="e">
        <f t="shared" ref="L267:L268" si="64">G267+I267+K267</f>
        <v>#REF!</v>
      </c>
      <c r="M267" s="23" t="str">
        <f>(IF(ISNUMBER(MATCH(B267,E!$B$6:$B$197,0)),VLOOKUP(B267,E!$B$6:$E$197,4,FALSE),VLOOKUP(B267,M!$B$6:$I$733,7,FALSE)))</f>
        <v>4.1-371</v>
      </c>
    </row>
    <row r="268" spans="1:13" ht="39.950000000000003" customHeight="1" x14ac:dyDescent="0.25">
      <c r="A268" s="16" t="s">
        <v>673</v>
      </c>
      <c r="B268" s="17" t="s">
        <v>677</v>
      </c>
      <c r="C268" s="2" t="s">
        <v>393</v>
      </c>
      <c r="D268" s="2">
        <v>6.36</v>
      </c>
      <c r="E268" s="14">
        <f>D268*E264/100</f>
        <v>6.36</v>
      </c>
      <c r="F268" s="31" t="e">
        <f>ROUND(VLOOKUP(B268,M!$B$6:$H$733,IF(#REF!="დაბალი",4,IF(#REF!="საშუალო",6,IF(#REF!="მაღალი",5))),FALSE),2)</f>
        <v>#REF!</v>
      </c>
      <c r="G268" s="14" t="e">
        <f t="shared" ref="G268" si="65">ROUND(E268*F268,2)</f>
        <v>#REF!</v>
      </c>
      <c r="H268" s="2"/>
      <c r="I268" s="2"/>
      <c r="J268" s="2"/>
      <c r="K268" s="2"/>
      <c r="L268" s="14" t="e">
        <f t="shared" si="64"/>
        <v>#REF!</v>
      </c>
      <c r="M268" s="23" t="str">
        <f>(IF(ISNUMBER(MATCH(B268,E!$B$6:$B$197,0)),VLOOKUP(B268,E!$B$6:$E$197,4,FALSE),VLOOKUP(B268,M!$B$6:$I$733,7,FALSE)))</f>
        <v>ს.რ.ფ</v>
      </c>
    </row>
    <row r="269" spans="1:13" s="45" customFormat="1" ht="39.950000000000003" customHeight="1" x14ac:dyDescent="0.25">
      <c r="A269" s="70">
        <v>1.1000000000000001</v>
      </c>
      <c r="B269" s="40" t="s">
        <v>1211</v>
      </c>
      <c r="C269" s="41" t="s">
        <v>842</v>
      </c>
      <c r="D269" s="41"/>
      <c r="E269" s="52">
        <v>100</v>
      </c>
      <c r="F269" s="42"/>
      <c r="G269" s="42"/>
      <c r="H269" s="42"/>
      <c r="I269" s="42"/>
      <c r="J269" s="42"/>
      <c r="K269" s="42"/>
      <c r="L269" s="43">
        <f>SUM(L270:L273)</f>
        <v>2622.41</v>
      </c>
      <c r="M269" s="44" t="s">
        <v>1212</v>
      </c>
    </row>
    <row r="270" spans="1:13" ht="39.950000000000003" customHeight="1" x14ac:dyDescent="0.25">
      <c r="A270" s="16" t="s">
        <v>668</v>
      </c>
      <c r="B270" s="17" t="s">
        <v>669</v>
      </c>
      <c r="C270" s="2" t="s">
        <v>670</v>
      </c>
      <c r="D270" s="2">
        <v>102</v>
      </c>
      <c r="E270" s="14">
        <f>D270*E269/100</f>
        <v>102</v>
      </c>
      <c r="F270" s="13"/>
      <c r="G270" s="13"/>
      <c r="H270" s="27">
        <f>IF((ISNUMBER(--LEFT(M269,2))),VLOOKUP(--LEFT(M269,2),N!$A$5:$C$54,3,FALSE),VLOOKUP(--LEFT(M269,1),N!$A$5:$C$54,3,FALSE))</f>
        <v>7.8</v>
      </c>
      <c r="I270" s="14">
        <f>ROUND(E270*H270,2)</f>
        <v>795.6</v>
      </c>
      <c r="J270" s="13"/>
      <c r="K270" s="13"/>
      <c r="L270" s="14">
        <f>G270+I270+K270</f>
        <v>795.6</v>
      </c>
      <c r="M270" s="23" t="str">
        <f>(IF(ISNUMBER(MATCH(B270,E!$B$6:$B$197,0)),VLOOKUP(B270,E!$B$6:$E$197,4,FALSE),VLOOKUP(B270,M!$B$6:$I$733,7,FALSE)))</f>
        <v>მ.ც</v>
      </c>
    </row>
    <row r="271" spans="1:13" ht="39.950000000000003" customHeight="1" x14ac:dyDescent="0.25">
      <c r="A271" s="16" t="s">
        <v>671</v>
      </c>
      <c r="B271" s="17" t="s">
        <v>654</v>
      </c>
      <c r="C271" s="2" t="s">
        <v>393</v>
      </c>
      <c r="D271" s="2">
        <v>3.69</v>
      </c>
      <c r="E271" s="14">
        <f>D271*E269/100</f>
        <v>3.69</v>
      </c>
      <c r="F271" s="13"/>
      <c r="G271" s="13"/>
      <c r="H271" s="13"/>
      <c r="I271" s="13"/>
      <c r="J271" s="35">
        <f>ROUND(IF(ISNUMBER(MATCH(B271,E!$B$6:$B$197,0)),VLOOKUP(B271,E!$B$6:$E$197,2,FALSE),IF(#REF!="დიახ",IF(VLOOKUP(B271,M!$B$6:$I$733,8,FALSE)="ლ",VLOOKUP(B271,M!$B$6:$I$733,3,FALSE)*0.001*#REF!*#REF!,IF(VLOOKUP(B271,M!$B$6:$I$733,8,FALSE)="მბ",VLOOKUP(B271,M!$B$6:$I$733,3,FALSE)*0.001*#REF!*#REF!,IF(VLOOKUP(B271,M!$B$6:$I$733,8,FALSE)="აბ",VLOOKUP(B271,M!$B$6:$I$733,3,FALSE)*0.001*#REF!*#REF!,IF(VLOOKUP(B271,M!$B$6:$I$733,8,FALSE)="ინ",VLOOKUP(B271,M!$B$6:$I$733,3,FALSE)*0.001*#REF!*#REF!,IF(VLOOKUP(B271,M!$B$6:$I$733,8,FALSE)="ას",VLOOKUP(B271,M!$B$6:$I$733,3,FALSE)*0.001*#REF!*#REF!,IF(VLOOKUP(B271,M!$B$6:$I$733,8,FALSE)="სხ",VLOOKUP(B271,M!$B$6:$I$733,3,FALSE)*0.001*#REF!*#REF!,IF(VLOOKUP(B271,M!$B$6:$I$733,8,FALSE)="ხმ",VLOOKUP(B271,M!$B$6:$I$733,3,FALSE)*0.001*#REF!*#REF!))))))))),2)</f>
        <v>3.2</v>
      </c>
      <c r="K271" s="14">
        <f>ROUND(E271*J271,2)</f>
        <v>11.81</v>
      </c>
      <c r="L271" s="14">
        <f t="shared" ref="L271:L273" si="66">G271+I271+K271</f>
        <v>11.81</v>
      </c>
      <c r="M271" s="23" t="str">
        <f>(IF(ISNUMBER(MATCH(B271,E!$B$6:$B$197,0)),VLOOKUP(B271,E!$B$6:$E$197,4,FALSE),VLOOKUP(B271,M!$B$6:$I$733,7,FALSE)))</f>
        <v>ს.რ.ფ</v>
      </c>
    </row>
    <row r="272" spans="1:13" ht="39.950000000000003" customHeight="1" x14ac:dyDescent="0.25">
      <c r="A272" s="16" t="s">
        <v>671</v>
      </c>
      <c r="B272" s="2" t="s">
        <v>1213</v>
      </c>
      <c r="C272" s="2" t="s">
        <v>1214</v>
      </c>
      <c r="D272" s="2">
        <v>101</v>
      </c>
      <c r="E272" s="14">
        <f>D272*E269/100</f>
        <v>101</v>
      </c>
      <c r="F272" s="31">
        <v>15</v>
      </c>
      <c r="G272" s="14">
        <f>ROUND(E272*F272,2)</f>
        <v>1515</v>
      </c>
      <c r="H272" s="2"/>
      <c r="I272" s="2"/>
      <c r="J272" s="35"/>
      <c r="K272" s="14"/>
      <c r="L272" s="14">
        <f t="shared" si="66"/>
        <v>1515</v>
      </c>
      <c r="M272" s="23" t="s">
        <v>845</v>
      </c>
    </row>
    <row r="273" spans="1:13" ht="39.950000000000003" customHeight="1" x14ac:dyDescent="0.25">
      <c r="A273" s="16" t="s">
        <v>673</v>
      </c>
      <c r="B273" s="17" t="s">
        <v>1215</v>
      </c>
      <c r="C273" s="2" t="s">
        <v>28</v>
      </c>
      <c r="D273" s="2">
        <v>600</v>
      </c>
      <c r="E273" s="14">
        <f>D273*E269/100</f>
        <v>600</v>
      </c>
      <c r="F273" s="31">
        <v>0.5</v>
      </c>
      <c r="G273" s="14">
        <f t="shared" ref="G273" si="67">ROUND(E273*F273,2)</f>
        <v>300</v>
      </c>
      <c r="H273" s="2"/>
      <c r="I273" s="2"/>
      <c r="J273" s="2"/>
      <c r="K273" s="2"/>
      <c r="L273" s="14">
        <f t="shared" si="66"/>
        <v>300</v>
      </c>
      <c r="M273" s="23" t="s">
        <v>845</v>
      </c>
    </row>
    <row r="274" spans="1:13" s="45" customFormat="1" ht="39.950000000000003" customHeight="1" x14ac:dyDescent="0.25">
      <c r="A274" s="70">
        <v>1.1000000000000001</v>
      </c>
      <c r="B274" s="40" t="s">
        <v>1206</v>
      </c>
      <c r="C274" s="41" t="s">
        <v>842</v>
      </c>
      <c r="D274" s="41"/>
      <c r="E274" s="52">
        <v>100</v>
      </c>
      <c r="F274" s="42"/>
      <c r="G274" s="42"/>
      <c r="H274" s="42"/>
      <c r="I274" s="42"/>
      <c r="J274" s="42"/>
      <c r="K274" s="42"/>
      <c r="L274" s="43" t="e">
        <f>SUM(L275:L280)</f>
        <v>#REF!</v>
      </c>
      <c r="M274" s="44" t="s">
        <v>1210</v>
      </c>
    </row>
    <row r="275" spans="1:13" ht="39.950000000000003" customHeight="1" x14ac:dyDescent="0.25">
      <c r="A275" s="16" t="s">
        <v>668</v>
      </c>
      <c r="B275" s="17" t="s">
        <v>669</v>
      </c>
      <c r="C275" s="2" t="s">
        <v>670</v>
      </c>
      <c r="D275" s="2">
        <f>43.1</f>
        <v>43.1</v>
      </c>
      <c r="E275" s="14">
        <f>D275*E274/100</f>
        <v>43.1</v>
      </c>
      <c r="F275" s="13"/>
      <c r="G275" s="13"/>
      <c r="H275" s="27">
        <f>IF((ISNUMBER(--LEFT(M274,2))),VLOOKUP(--LEFT(M274,2),N!$A$5:$C$54,3,FALSE),VLOOKUP(--LEFT(M274,1),N!$A$5:$C$54,3,FALSE))</f>
        <v>7.8</v>
      </c>
      <c r="I275" s="14">
        <f>ROUND(E275*H275,2)</f>
        <v>336.18</v>
      </c>
      <c r="J275" s="13"/>
      <c r="K275" s="13"/>
      <c r="L275" s="14">
        <f>G275+I275+K275</f>
        <v>336.18</v>
      </c>
      <c r="M275" s="23" t="str">
        <f>(IF(ISNUMBER(MATCH(B275,E!$B$6:$B$197,0)),VLOOKUP(B275,E!$B$6:$E$197,4,FALSE),VLOOKUP(B275,M!$B$6:$I$733,7,FALSE)))</f>
        <v>მ.ც</v>
      </c>
    </row>
    <row r="276" spans="1:13" ht="39.950000000000003" customHeight="1" x14ac:dyDescent="0.25">
      <c r="A276" s="16" t="s">
        <v>671</v>
      </c>
      <c r="B276" s="17" t="s">
        <v>654</v>
      </c>
      <c r="C276" s="2" t="s">
        <v>393</v>
      </c>
      <c r="D276" s="2">
        <v>2.2400000000000002</v>
      </c>
      <c r="E276" s="14">
        <f>D276*E274/100</f>
        <v>2.2400000000000002</v>
      </c>
      <c r="F276" s="13"/>
      <c r="G276" s="13"/>
      <c r="H276" s="13"/>
      <c r="I276" s="13"/>
      <c r="J276" s="35">
        <f>ROUND(IF(ISNUMBER(MATCH(B276,E!$B$6:$B$197,0)),VLOOKUP(B276,E!$B$6:$E$197,2,FALSE),IF(#REF!="დიახ",IF(VLOOKUP(B276,M!$B$6:$I$733,8,FALSE)="ლ",VLOOKUP(B276,M!$B$6:$I$733,3,FALSE)*0.001*#REF!*#REF!,IF(VLOOKUP(B276,M!$B$6:$I$733,8,FALSE)="მბ",VLOOKUP(B276,M!$B$6:$I$733,3,FALSE)*0.001*#REF!*#REF!,IF(VLOOKUP(B276,M!$B$6:$I$733,8,FALSE)="აბ",VLOOKUP(B276,M!$B$6:$I$733,3,FALSE)*0.001*#REF!*#REF!,IF(VLOOKUP(B276,M!$B$6:$I$733,8,FALSE)="ინ",VLOOKUP(B276,M!$B$6:$I$733,3,FALSE)*0.001*#REF!*#REF!,IF(VLOOKUP(B276,M!$B$6:$I$733,8,FALSE)="ას",VLOOKUP(B276,M!$B$6:$I$733,3,FALSE)*0.001*#REF!*#REF!,IF(VLOOKUP(B276,M!$B$6:$I$733,8,FALSE)="სხ",VLOOKUP(B276,M!$B$6:$I$733,3,FALSE)*0.001*#REF!*#REF!,IF(VLOOKUP(B276,M!$B$6:$I$733,8,FALSE)="ხმ",VLOOKUP(B276,M!$B$6:$I$733,3,FALSE)*0.001*#REF!*#REF!))))))))),2)</f>
        <v>3.2</v>
      </c>
      <c r="K276" s="14">
        <f>ROUND(E276*J276,2)</f>
        <v>7.17</v>
      </c>
      <c r="L276" s="14">
        <f t="shared" ref="L276:L280" si="68">G276+I276+K276</f>
        <v>7.17</v>
      </c>
      <c r="M276" s="23" t="str">
        <f>(IF(ISNUMBER(MATCH(B276,E!$B$6:$B$197,0)),VLOOKUP(B276,E!$B$6:$E$197,4,FALSE),VLOOKUP(B276,M!$B$6:$I$733,7,FALSE)))</f>
        <v>ს.რ.ფ</v>
      </c>
    </row>
    <row r="277" spans="1:13" ht="39.950000000000003" customHeight="1" x14ac:dyDescent="0.25">
      <c r="A277" s="16" t="s">
        <v>671</v>
      </c>
      <c r="B277" s="6" t="s">
        <v>1207</v>
      </c>
      <c r="C277" s="2" t="s">
        <v>814</v>
      </c>
      <c r="D277" s="2">
        <v>102.7</v>
      </c>
      <c r="E277" s="14">
        <f>D277*E274/100</f>
        <v>102.7</v>
      </c>
      <c r="F277" s="31">
        <v>15</v>
      </c>
      <c r="G277" s="14">
        <f>ROUND(E277*F277,2)</f>
        <v>1540.5</v>
      </c>
      <c r="H277" s="2"/>
      <c r="I277" s="2"/>
      <c r="J277" s="35"/>
      <c r="K277" s="14"/>
      <c r="L277" s="14">
        <f t="shared" si="68"/>
        <v>1540.5</v>
      </c>
      <c r="M277" s="23" t="e">
        <f>(IF(ISNUMBER(MATCH(B277,E!$B$6:$B$197,0)),VLOOKUP(B277,E!$B$6:$E$197,4,FALSE),VLOOKUP(B277,M!$B$6:$I$733,7,FALSE)))</f>
        <v>#N/A</v>
      </c>
    </row>
    <row r="278" spans="1:13" ht="39.950000000000003" customHeight="1" x14ac:dyDescent="0.25">
      <c r="A278" s="16" t="s">
        <v>671</v>
      </c>
      <c r="B278" s="6" t="s">
        <v>1208</v>
      </c>
      <c r="C278" s="2" t="s">
        <v>595</v>
      </c>
      <c r="D278" s="2">
        <v>107</v>
      </c>
      <c r="E278" s="14">
        <f>D278*E274/100</f>
        <v>107</v>
      </c>
      <c r="F278" s="31">
        <v>1.2</v>
      </c>
      <c r="G278" s="14">
        <f>ROUND(E278*F278,2)</f>
        <v>128.4</v>
      </c>
      <c r="H278" s="2"/>
      <c r="I278" s="2"/>
      <c r="J278" s="35"/>
      <c r="K278" s="14"/>
      <c r="L278" s="14">
        <f t="shared" ref="L278" si="69">G278+I278+K278</f>
        <v>128.4</v>
      </c>
      <c r="M278" s="23" t="e">
        <f>(IF(ISNUMBER(MATCH(B278,E!$B$6:$B$197,0)),VLOOKUP(B278,E!$B$6:$E$197,4,FALSE),VLOOKUP(B278,M!$B$6:$I$733,7,FALSE)))</f>
        <v>#N/A</v>
      </c>
    </row>
    <row r="279" spans="1:13" ht="39.950000000000003" customHeight="1" x14ac:dyDescent="0.25">
      <c r="A279" s="16" t="s">
        <v>671</v>
      </c>
      <c r="B279" s="6" t="s">
        <v>1209</v>
      </c>
      <c r="C279" s="2" t="s">
        <v>28</v>
      </c>
      <c r="D279" s="2">
        <v>5.33</v>
      </c>
      <c r="E279" s="14">
        <f>D279*E274/100</f>
        <v>5.33</v>
      </c>
      <c r="F279" s="31">
        <v>5</v>
      </c>
      <c r="G279" s="14">
        <f>ROUND(E279*F279,2)</f>
        <v>26.65</v>
      </c>
      <c r="H279" s="2"/>
      <c r="I279" s="2"/>
      <c r="J279" s="35"/>
      <c r="K279" s="14"/>
      <c r="L279" s="14">
        <f t="shared" ref="L279" si="70">G279+I279+K279</f>
        <v>26.65</v>
      </c>
      <c r="M279" s="23" t="e">
        <f>(IF(ISNUMBER(MATCH(B279,E!$B$6:$B$197,0)),VLOOKUP(B279,E!$B$6:$E$197,4,FALSE),VLOOKUP(B279,M!$B$6:$I$733,7,FALSE)))</f>
        <v>#N/A</v>
      </c>
    </row>
    <row r="280" spans="1:13" ht="39.950000000000003" customHeight="1" x14ac:dyDescent="0.25">
      <c r="A280" s="16" t="s">
        <v>673</v>
      </c>
      <c r="B280" s="17" t="s">
        <v>677</v>
      </c>
      <c r="C280" s="2" t="s">
        <v>393</v>
      </c>
      <c r="D280" s="2">
        <v>10.7</v>
      </c>
      <c r="E280" s="14">
        <f>D280*E274/100</f>
        <v>10.7</v>
      </c>
      <c r="F280" s="31" t="e">
        <f>ROUND(VLOOKUP(B280,M!$B$6:$H$733,IF(#REF!="დაბალი",4,IF(#REF!="საშუალო",6,IF(#REF!="მაღალი",5))),FALSE),2)</f>
        <v>#REF!</v>
      </c>
      <c r="G280" s="14" t="e">
        <f t="shared" ref="G280" si="71">ROUND(E280*F280,2)</f>
        <v>#REF!</v>
      </c>
      <c r="H280" s="2"/>
      <c r="I280" s="2"/>
      <c r="J280" s="2"/>
      <c r="K280" s="2"/>
      <c r="L280" s="14" t="e">
        <f t="shared" si="68"/>
        <v>#REF!</v>
      </c>
      <c r="M280" s="23" t="str">
        <f>(IF(ISNUMBER(MATCH(B280,E!$B$6:$B$197,0)),VLOOKUP(B280,E!$B$6:$E$197,4,FALSE),VLOOKUP(B280,M!$B$6:$I$733,7,FALSE)))</f>
        <v>ს.რ.ფ</v>
      </c>
    </row>
    <row r="281" spans="1:13" ht="39.75" customHeight="1" x14ac:dyDescent="0.25">
      <c r="A281" s="16"/>
      <c r="B281" s="2"/>
      <c r="C281" s="2"/>
      <c r="D281" s="2"/>
      <c r="E281" s="14"/>
      <c r="F281" s="31"/>
      <c r="G281" s="14"/>
      <c r="H281" s="2"/>
      <c r="I281" s="2"/>
      <c r="J281" s="35"/>
      <c r="K281" s="14"/>
      <c r="L281" s="14"/>
      <c r="M281" s="23"/>
    </row>
    <row r="282" spans="1:13" ht="79.5" customHeight="1" x14ac:dyDescent="0.25">
      <c r="A282" s="59">
        <v>12</v>
      </c>
      <c r="B282" s="60" t="s">
        <v>615</v>
      </c>
      <c r="C282" s="10"/>
      <c r="D282" s="10"/>
      <c r="E282" s="10"/>
      <c r="F282" s="30"/>
      <c r="G282" s="10"/>
      <c r="H282" s="26"/>
      <c r="I282" s="10"/>
      <c r="J282" s="30"/>
      <c r="K282" s="30"/>
      <c r="L282" s="11"/>
      <c r="M282" s="22"/>
    </row>
    <row r="283" spans="1:13" s="45" customFormat="1" ht="39.950000000000003" customHeight="1" x14ac:dyDescent="0.25">
      <c r="A283" s="39">
        <v>1.1000000000000001</v>
      </c>
      <c r="B283" s="40" t="s">
        <v>1039</v>
      </c>
      <c r="C283" s="41" t="s">
        <v>842</v>
      </c>
      <c r="D283" s="41"/>
      <c r="E283" s="52">
        <v>100</v>
      </c>
      <c r="F283" s="42"/>
      <c r="G283" s="42"/>
      <c r="H283" s="42"/>
      <c r="I283" s="42"/>
      <c r="J283" s="42"/>
      <c r="K283" s="42"/>
      <c r="L283" s="43" t="e">
        <f>SUM(L284:L292)</f>
        <v>#REF!</v>
      </c>
      <c r="M283" s="44" t="s">
        <v>1040</v>
      </c>
    </row>
    <row r="284" spans="1:13" ht="39.950000000000003" customHeight="1" x14ac:dyDescent="0.25">
      <c r="A284" s="16" t="s">
        <v>668</v>
      </c>
      <c r="B284" s="17" t="s">
        <v>669</v>
      </c>
      <c r="C284" s="2" t="s">
        <v>670</v>
      </c>
      <c r="D284" s="2">
        <v>81</v>
      </c>
      <c r="E284" s="14">
        <f>D284*E283/100</f>
        <v>81</v>
      </c>
      <c r="F284" s="13"/>
      <c r="G284" s="13"/>
      <c r="H284" s="27">
        <f>IF((ISNUMBER(--LEFT(M283,2))),VLOOKUP(--LEFT(M283,2),N!$A$5:$C$54,3,FALSE),VLOOKUP(--LEFT(M283,1),N!$A$5:$C$54,3,FALSE))</f>
        <v>7.8</v>
      </c>
      <c r="I284" s="14">
        <f>ROUND(E284*H284,2)</f>
        <v>631.79999999999995</v>
      </c>
      <c r="J284" s="13"/>
      <c r="K284" s="13"/>
      <c r="L284" s="14">
        <f>G284+I284+K284</f>
        <v>631.79999999999995</v>
      </c>
      <c r="M284" s="23" t="str">
        <f>(IF(ISNUMBER(MATCH(B284,E!$B$6:$B$197,0)),VLOOKUP(B284,E!$B$6:$E$197,4,FALSE),VLOOKUP(B284,M!$B$6:$I$733,7,FALSE)))</f>
        <v>მ.ც</v>
      </c>
    </row>
    <row r="285" spans="1:13" ht="39.950000000000003" customHeight="1" x14ac:dyDescent="0.25">
      <c r="A285" s="16" t="s">
        <v>671</v>
      </c>
      <c r="B285" s="17" t="s">
        <v>654</v>
      </c>
      <c r="C285" s="2" t="s">
        <v>393</v>
      </c>
      <c r="D285" s="2">
        <v>3.2</v>
      </c>
      <c r="E285" s="14">
        <f>D285*E283/100</f>
        <v>3.2</v>
      </c>
      <c r="F285" s="13"/>
      <c r="G285" s="13"/>
      <c r="H285" s="13"/>
      <c r="I285" s="13"/>
      <c r="J285" s="35">
        <f>ROUND(IF(ISNUMBER(MATCH(B285,E!$B$6:$B$197,0)),VLOOKUP(B285,E!$B$6:$E$197,2,FALSE),IF(#REF!="დიახ",IF(VLOOKUP(B285,M!$B$6:$I$733,8,FALSE)="ლ",VLOOKUP(B285,M!$B$6:$I$733,3,FALSE)*0.001*#REF!*#REF!,IF(VLOOKUP(B285,M!$B$6:$I$733,8,FALSE)="მბ",VLOOKUP(B285,M!$B$6:$I$733,3,FALSE)*0.001*#REF!*#REF!,IF(VLOOKUP(B285,M!$B$6:$I$733,8,FALSE)="აბ",VLOOKUP(B285,M!$B$6:$I$733,3,FALSE)*0.001*#REF!*#REF!,IF(VLOOKUP(B285,M!$B$6:$I$733,8,FALSE)="ინ",VLOOKUP(B285,M!$B$6:$I$733,3,FALSE)*0.001*#REF!*#REF!,IF(VLOOKUP(B285,M!$B$6:$I$733,8,FALSE)="ას",VLOOKUP(B285,M!$B$6:$I$733,3,FALSE)*0.001*#REF!*#REF!,IF(VLOOKUP(B285,M!$B$6:$I$733,8,FALSE)="სხ",VLOOKUP(B285,M!$B$6:$I$733,3,FALSE)*0.001*#REF!*#REF!,IF(VLOOKUP(B285,M!$B$6:$I$733,8,FALSE)="ხმ",VLOOKUP(B285,M!$B$6:$I$733,3,FALSE)*0.001*#REF!*#REF!))))))))),2)</f>
        <v>3.2</v>
      </c>
      <c r="K285" s="14">
        <f>ROUND(E285*J285,2)</f>
        <v>10.24</v>
      </c>
      <c r="L285" s="14">
        <f t="shared" ref="L285:L292" si="72">G285+I285+K285</f>
        <v>10.24</v>
      </c>
      <c r="M285" s="23" t="str">
        <f>(IF(ISNUMBER(MATCH(B285,E!$B$6:$B$197,0)),VLOOKUP(B285,E!$B$6:$E$197,4,FALSE),VLOOKUP(B285,M!$B$6:$I$733,7,FALSE)))</f>
        <v>ს.რ.ფ</v>
      </c>
    </row>
    <row r="286" spans="1:13" ht="39.75" customHeight="1" x14ac:dyDescent="0.25">
      <c r="A286" s="16" t="s">
        <v>673</v>
      </c>
      <c r="B286" s="2" t="s">
        <v>1041</v>
      </c>
      <c r="C286" s="2" t="s">
        <v>66</v>
      </c>
      <c r="D286" s="2">
        <v>1550</v>
      </c>
      <c r="E286" s="14">
        <f>D286*E283/100</f>
        <v>1550</v>
      </c>
      <c r="F286" s="13">
        <v>1.4</v>
      </c>
      <c r="G286" s="14">
        <f t="shared" ref="G286:G292" si="73">ROUND(E286*F286,2)</f>
        <v>2170</v>
      </c>
      <c r="H286" s="2"/>
      <c r="I286" s="2"/>
      <c r="J286" s="35" t="e">
        <f>ROUND(IF(ISNUMBER(MATCH(B286,E!$B$6:$B$197,0)),VLOOKUP(B286,E!$B$6:$E$197,2,FALSE),IF(#REF!="დიახ",IF(VLOOKUP(B286,M!$B$6:$I$733,8,FALSE)="ლ",VLOOKUP(B286,M!$B$6:$I$733,3,FALSE)*0.001*#REF!*#REF!,IF(VLOOKUP(B286,M!$B$6:$I$733,8,FALSE)="მბ",VLOOKUP(B286,M!$B$6:$I$733,3,FALSE)*0.001*#REF!*#REF!,IF(VLOOKUP(B286,M!$B$6:$I$733,8,FALSE)="აბ",VLOOKUP(B286,M!$B$6:$I$733,3,FALSE)*0.001*#REF!*#REF!,IF(VLOOKUP(B286,M!$B$6:$I$733,8,FALSE)="ინ",VLOOKUP(B286,M!$B$6:$I$733,3,FALSE)*0.001*#REF!*#REF!,IF(VLOOKUP(B286,M!$B$6:$I$733,8,FALSE)="ას",VLOOKUP(B286,M!$B$6:$I$733,3,FALSE)*0.001*#REF!*#REF!,IF(VLOOKUP(B286,M!$B$6:$I$733,8,FALSE)="სხ",VLOOKUP(B286,M!$B$6:$I$733,3,FALSE)*0.001*#REF!*#REF!,IF(VLOOKUP(B286,M!$B$6:$I$733,8,FALSE)="ხმ",VLOOKUP(B286,M!$B$6:$I$733,3,FALSE)*0.001*#REF!*#REF!))))))))),2)</f>
        <v>#REF!</v>
      </c>
      <c r="K286" s="14" t="e">
        <f t="shared" ref="K286:K291" si="74">ROUND(E286*J286,2)</f>
        <v>#REF!</v>
      </c>
      <c r="L286" s="14" t="e">
        <f t="shared" si="72"/>
        <v>#REF!</v>
      </c>
      <c r="M286" s="23" t="str">
        <f>(IF(ISNUMBER(MATCH(B286,E!$B$6:$B$197,0)),VLOOKUP(B286,E!$B$6:$E$197,4,FALSE),VLOOKUP(B286,M!$B$6:$I$733,7,FALSE)))</f>
        <v>4.1-24</v>
      </c>
    </row>
    <row r="287" spans="1:13" ht="39.75" customHeight="1" x14ac:dyDescent="0.25">
      <c r="A287" s="16" t="s">
        <v>675</v>
      </c>
      <c r="B287" s="2" t="s">
        <v>550</v>
      </c>
      <c r="C287" s="2" t="s">
        <v>674</v>
      </c>
      <c r="D287" s="2">
        <v>0.81</v>
      </c>
      <c r="E287" s="14">
        <f>D287*E283/100</f>
        <v>0.81</v>
      </c>
      <c r="F287" s="31" t="e">
        <f>ROUND(VLOOKUP(B287,M!$B$6:$H$733,IF(#REF!="დაბალი",4,IF(#REF!="საშუალო",6,IF(#REF!="მაღალი",5))),FALSE),2)</f>
        <v>#REF!</v>
      </c>
      <c r="G287" s="14" t="e">
        <f t="shared" si="73"/>
        <v>#REF!</v>
      </c>
      <c r="H287" s="2"/>
      <c r="I287" s="2"/>
      <c r="J287" s="35" t="e">
        <f>ROUND(IF(ISNUMBER(MATCH(B287,E!$B$6:$B$197,0)),VLOOKUP(B287,E!$B$6:$E$197,2,FALSE),IF(#REF!="დიახ",IF(VLOOKUP(B287,M!$B$6:$I$733,8,FALSE)="ლ",VLOOKUP(B287,M!$B$6:$I$733,3,FALSE)*0.001*#REF!*#REF!,IF(VLOOKUP(B287,M!$B$6:$I$733,8,FALSE)="მბ",VLOOKUP(B287,M!$B$6:$I$733,3,FALSE)*0.001*#REF!*#REF!,IF(VLOOKUP(B287,M!$B$6:$I$733,8,FALSE)="აბ",VLOOKUP(B287,M!$B$6:$I$733,3,FALSE)*0.001*#REF!*#REF!,IF(VLOOKUP(B287,M!$B$6:$I$733,8,FALSE)="ინ",VLOOKUP(B287,M!$B$6:$I$733,3,FALSE)*0.001*#REF!*#REF!,IF(VLOOKUP(B287,M!$B$6:$I$733,8,FALSE)="ას",VLOOKUP(B287,M!$B$6:$I$733,3,FALSE)*0.001*#REF!*#REF!,IF(VLOOKUP(B287,M!$B$6:$I$733,8,FALSE)="სხ",VLOOKUP(B287,M!$B$6:$I$733,3,FALSE)*0.001*#REF!*#REF!,IF(VLOOKUP(B287,M!$B$6:$I$733,8,FALSE)="ხმ",VLOOKUP(B287,M!$B$6:$I$733,3,FALSE)*0.001*#REF!*#REF!))))))))),2)</f>
        <v>#REF!</v>
      </c>
      <c r="K287" s="14" t="e">
        <f t="shared" si="74"/>
        <v>#REF!</v>
      </c>
      <c r="L287" s="14" t="e">
        <f t="shared" si="72"/>
        <v>#REF!</v>
      </c>
      <c r="M287" s="23" t="str">
        <f>(IF(ISNUMBER(MATCH(B287,E!$B$6:$B$197,0)),VLOOKUP(B287,E!$B$6:$E$197,4,FALSE),VLOOKUP(B287,M!$B$6:$I$733,7,FALSE)))</f>
        <v>5.1-21</v>
      </c>
    </row>
    <row r="288" spans="1:13" ht="39.75" customHeight="1" x14ac:dyDescent="0.25">
      <c r="A288" s="16" t="s">
        <v>695</v>
      </c>
      <c r="B288" s="2" t="s">
        <v>566</v>
      </c>
      <c r="C288" s="2" t="s">
        <v>674</v>
      </c>
      <c r="D288" s="2">
        <v>0.56000000000000005</v>
      </c>
      <c r="E288" s="14">
        <f>D288*E283/100</f>
        <v>0.56000000000000005</v>
      </c>
      <c r="F288" s="31" t="e">
        <f>ROUND(VLOOKUP(B288,M!$B$6:$H$733,IF(#REF!="დაბალი",4,IF(#REF!="საშუალო",6,IF(#REF!="მაღალი",5))),FALSE),2)</f>
        <v>#REF!</v>
      </c>
      <c r="G288" s="14" t="e">
        <f t="shared" si="73"/>
        <v>#REF!</v>
      </c>
      <c r="H288" s="2"/>
      <c r="I288" s="2"/>
      <c r="J288" s="35" t="e">
        <f>ROUND(IF(ISNUMBER(MATCH(B288,E!$B$6:$B$197,0)),VLOOKUP(B288,E!$B$6:$E$197,2,FALSE),IF(#REF!="დიახ",IF(VLOOKUP(B288,M!$B$6:$I$733,8,FALSE)="ლ",VLOOKUP(B288,M!$B$6:$I$733,3,FALSE)*0.001*#REF!*#REF!,IF(VLOOKUP(B288,M!$B$6:$I$733,8,FALSE)="მბ",VLOOKUP(B288,M!$B$6:$I$733,3,FALSE)*0.001*#REF!*#REF!,IF(VLOOKUP(B288,M!$B$6:$I$733,8,FALSE)="აბ",VLOOKUP(B288,M!$B$6:$I$733,3,FALSE)*0.001*#REF!*#REF!,IF(VLOOKUP(B288,M!$B$6:$I$733,8,FALSE)="ინ",VLOOKUP(B288,M!$B$6:$I$733,3,FALSE)*0.001*#REF!*#REF!,IF(VLOOKUP(B288,M!$B$6:$I$733,8,FALSE)="ას",VLOOKUP(B288,M!$B$6:$I$733,3,FALSE)*0.001*#REF!*#REF!,IF(VLOOKUP(B288,M!$B$6:$I$733,8,FALSE)="სხ",VLOOKUP(B288,M!$B$6:$I$733,3,FALSE)*0.001*#REF!*#REF!,IF(VLOOKUP(B288,M!$B$6:$I$733,8,FALSE)="ხმ",VLOOKUP(B288,M!$B$6:$I$733,3,FALSE)*0.001*#REF!*#REF!))))))))),2)</f>
        <v>#REF!</v>
      </c>
      <c r="K288" s="14" t="e">
        <f t="shared" si="74"/>
        <v>#REF!</v>
      </c>
      <c r="L288" s="14" t="e">
        <f t="shared" si="72"/>
        <v>#REF!</v>
      </c>
      <c r="M288" s="23" t="str">
        <f>(IF(ISNUMBER(MATCH(B288,E!$B$6:$B$197,0)),VLOOKUP(B288,E!$B$6:$E$197,4,FALSE),VLOOKUP(B288,M!$B$6:$I$733,7,FALSE)))</f>
        <v>5.1-37</v>
      </c>
    </row>
    <row r="289" spans="1:13" ht="39.75" customHeight="1" x14ac:dyDescent="0.25">
      <c r="A289" s="16" t="s">
        <v>696</v>
      </c>
      <c r="B289" s="2" t="s">
        <v>400</v>
      </c>
      <c r="C289" s="2" t="s">
        <v>674</v>
      </c>
      <c r="D289" s="2">
        <v>0.27</v>
      </c>
      <c r="E289" s="14">
        <f>D289*E283/100</f>
        <v>0.27</v>
      </c>
      <c r="F289" s="31" t="e">
        <f>ROUND(VLOOKUP(B289,M!$B$6:$H$733,IF(#REF!="დაბალი",4,IF(#REF!="საშუალო",6,IF(#REF!="მაღალი",5))),FALSE),2)</f>
        <v>#REF!</v>
      </c>
      <c r="G289" s="14" t="e">
        <f t="shared" si="73"/>
        <v>#REF!</v>
      </c>
      <c r="H289" s="2"/>
      <c r="I289" s="2"/>
      <c r="J289" s="35" t="e">
        <f>ROUND(IF(ISNUMBER(MATCH(B289,E!$B$6:$B$197,0)),VLOOKUP(B289,E!$B$6:$E$197,2,FALSE),IF(#REF!="დიახ",IF(VLOOKUP(B289,M!$B$6:$I$733,8,FALSE)="ლ",VLOOKUP(B289,M!$B$6:$I$733,3,FALSE)*0.001*#REF!*#REF!,IF(VLOOKUP(B289,M!$B$6:$I$733,8,FALSE)="მბ",VLOOKUP(B289,M!$B$6:$I$733,3,FALSE)*0.001*#REF!*#REF!,IF(VLOOKUP(B289,M!$B$6:$I$733,8,FALSE)="აბ",VLOOKUP(B289,M!$B$6:$I$733,3,FALSE)*0.001*#REF!*#REF!,IF(VLOOKUP(B289,M!$B$6:$I$733,8,FALSE)="ინ",VLOOKUP(B289,M!$B$6:$I$733,3,FALSE)*0.001*#REF!*#REF!,IF(VLOOKUP(B289,M!$B$6:$I$733,8,FALSE)="ას",VLOOKUP(B289,M!$B$6:$I$733,3,FALSE)*0.001*#REF!*#REF!,IF(VLOOKUP(B289,M!$B$6:$I$733,8,FALSE)="სხ",VLOOKUP(B289,M!$B$6:$I$733,3,FALSE)*0.001*#REF!*#REF!,IF(VLOOKUP(B289,M!$B$6:$I$733,8,FALSE)="ხმ",VLOOKUP(B289,M!$B$6:$I$733,3,FALSE)*0.001*#REF!*#REF!))))))))),2)</f>
        <v>#REF!</v>
      </c>
      <c r="K289" s="14" t="e">
        <f t="shared" si="74"/>
        <v>#REF!</v>
      </c>
      <c r="L289" s="14" t="e">
        <f t="shared" si="72"/>
        <v>#REF!</v>
      </c>
      <c r="M289" s="23" t="str">
        <f>(IF(ISNUMBER(MATCH(B289,E!$B$6:$B$197,0)),VLOOKUP(B289,E!$B$6:$E$197,4,FALSE),VLOOKUP(B289,M!$B$6:$I$733,7,FALSE)))</f>
        <v>4.1-371</v>
      </c>
    </row>
    <row r="290" spans="1:13" ht="39.75" customHeight="1" x14ac:dyDescent="0.25">
      <c r="A290" s="16" t="s">
        <v>733</v>
      </c>
      <c r="B290" s="2" t="s">
        <v>134</v>
      </c>
      <c r="C290" s="2" t="s">
        <v>28</v>
      </c>
      <c r="D290" s="2">
        <v>7</v>
      </c>
      <c r="E290" s="14">
        <f>D290*E283/100</f>
        <v>7</v>
      </c>
      <c r="F290" s="31" t="e">
        <f>ROUND(VLOOKUP(B290,M!$B$6:$H$733,IF(#REF!="დაბალი",4,IF(#REF!="საშუალო",6,IF(#REF!="მაღალი",5))),FALSE),2)</f>
        <v>#REF!</v>
      </c>
      <c r="G290" s="14" t="e">
        <f t="shared" si="73"/>
        <v>#REF!</v>
      </c>
      <c r="H290" s="2"/>
      <c r="I290" s="2"/>
      <c r="J290" s="35" t="e">
        <f>ROUND(IF(ISNUMBER(MATCH(B290,E!$B$6:$B$197,0)),VLOOKUP(B290,E!$B$6:$E$197,2,FALSE),IF(#REF!="დიახ",IF(VLOOKUP(B290,M!$B$6:$I$733,8,FALSE)="ლ",VLOOKUP(B290,M!$B$6:$I$733,3,FALSE)*0.001*#REF!*#REF!,IF(VLOOKUP(B290,M!$B$6:$I$733,8,FALSE)="მბ",VLOOKUP(B290,M!$B$6:$I$733,3,FALSE)*0.001*#REF!*#REF!,IF(VLOOKUP(B290,M!$B$6:$I$733,8,FALSE)="აბ",VLOOKUP(B290,M!$B$6:$I$733,3,FALSE)*0.001*#REF!*#REF!,IF(VLOOKUP(B290,M!$B$6:$I$733,8,FALSE)="ინ",VLOOKUP(B290,M!$B$6:$I$733,3,FALSE)*0.001*#REF!*#REF!,IF(VLOOKUP(B290,M!$B$6:$I$733,8,FALSE)="ას",VLOOKUP(B290,M!$B$6:$I$733,3,FALSE)*0.001*#REF!*#REF!,IF(VLOOKUP(B290,M!$B$6:$I$733,8,FALSE)="სხ",VLOOKUP(B290,M!$B$6:$I$733,3,FALSE)*0.001*#REF!*#REF!,IF(VLOOKUP(B290,M!$B$6:$I$733,8,FALSE)="ხმ",VLOOKUP(B290,M!$B$6:$I$733,3,FALSE)*0.001*#REF!*#REF!))))))))),2)</f>
        <v>#REF!</v>
      </c>
      <c r="K290" s="14" t="e">
        <f t="shared" si="74"/>
        <v>#REF!</v>
      </c>
      <c r="L290" s="14" t="e">
        <f t="shared" si="72"/>
        <v>#REF!</v>
      </c>
      <c r="M290" s="23" t="str">
        <f>(IF(ISNUMBER(MATCH(B290,E!$B$6:$B$197,0)),VLOOKUP(B290,E!$B$6:$E$197,4,FALSE),VLOOKUP(B290,M!$B$6:$I$733,7,FALSE)))</f>
        <v>1.10-2</v>
      </c>
    </row>
    <row r="291" spans="1:13" ht="39.950000000000003" customHeight="1" x14ac:dyDescent="0.25">
      <c r="A291" s="16" t="s">
        <v>734</v>
      </c>
      <c r="B291" s="2" t="s">
        <v>128</v>
      </c>
      <c r="C291" s="2" t="s">
        <v>28</v>
      </c>
      <c r="D291" s="2">
        <v>5</v>
      </c>
      <c r="E291" s="14">
        <f>D291*E283/100</f>
        <v>5</v>
      </c>
      <c r="F291" s="31" t="e">
        <f>ROUND(VLOOKUP(B291,M!$B$6:$H$733,IF(#REF!="დაბალი",4,IF(#REF!="საშუალო",6,IF(#REF!="მაღალი",5))),FALSE),2)</f>
        <v>#REF!</v>
      </c>
      <c r="G291" s="14" t="e">
        <f t="shared" si="73"/>
        <v>#REF!</v>
      </c>
      <c r="H291" s="13"/>
      <c r="I291" s="13"/>
      <c r="J291" s="35" t="e">
        <f>ROUND(IF(ISNUMBER(MATCH(B291,E!$B$6:$B$197,0)),VLOOKUP(B291,E!$B$6:$E$197,2,FALSE),IF(#REF!="დიახ",IF(VLOOKUP(B291,M!$B$6:$I$733,8,FALSE)="ლ",VLOOKUP(B291,M!$B$6:$I$733,3,FALSE)*0.001*#REF!*#REF!,IF(VLOOKUP(B291,M!$B$6:$I$733,8,FALSE)="მბ",VLOOKUP(B291,M!$B$6:$I$733,3,FALSE)*0.001*#REF!*#REF!,IF(VLOOKUP(B291,M!$B$6:$I$733,8,FALSE)="აბ",VLOOKUP(B291,M!$B$6:$I$733,3,FALSE)*0.001*#REF!*#REF!,IF(VLOOKUP(B291,M!$B$6:$I$733,8,FALSE)="ინ",VLOOKUP(B291,M!$B$6:$I$733,3,FALSE)*0.001*#REF!*#REF!,IF(VLOOKUP(B291,M!$B$6:$I$733,8,FALSE)="ას",VLOOKUP(B291,M!$B$6:$I$733,3,FALSE)*0.001*#REF!*#REF!,IF(VLOOKUP(B291,M!$B$6:$I$733,8,FALSE)="სხ",VLOOKUP(B291,M!$B$6:$I$733,3,FALSE)*0.001*#REF!*#REF!,IF(VLOOKUP(B291,M!$B$6:$I$733,8,FALSE)="ხმ",VLOOKUP(B291,M!$B$6:$I$733,3,FALSE)*0.001*#REF!*#REF!))))))))),2)</f>
        <v>#REF!</v>
      </c>
      <c r="K291" s="14" t="e">
        <f t="shared" si="74"/>
        <v>#REF!</v>
      </c>
      <c r="L291" s="14" t="e">
        <f t="shared" si="72"/>
        <v>#REF!</v>
      </c>
      <c r="M291" s="23" t="str">
        <f>(IF(ISNUMBER(MATCH(B291,E!$B$6:$B$197,0)),VLOOKUP(B291,E!$B$6:$E$197,4,FALSE),VLOOKUP(B291,M!$B$6:$I$733,7,FALSE)))</f>
        <v>1.9-68</v>
      </c>
    </row>
    <row r="292" spans="1:13" ht="39.950000000000003" customHeight="1" x14ac:dyDescent="0.25">
      <c r="A292" s="16" t="s">
        <v>735</v>
      </c>
      <c r="B292" s="17" t="s">
        <v>677</v>
      </c>
      <c r="C292" s="2" t="s">
        <v>393</v>
      </c>
      <c r="D292" s="2">
        <v>2.42</v>
      </c>
      <c r="E292" s="14">
        <f>D292*E283/100</f>
        <v>2.42</v>
      </c>
      <c r="F292" s="31" t="e">
        <f>ROUND(VLOOKUP(B292,M!$B$6:$H$733,IF(#REF!="დაბალი",4,IF(#REF!="საშუალო",6,IF(#REF!="მაღალი",5))),FALSE),2)</f>
        <v>#REF!</v>
      </c>
      <c r="G292" s="14" t="e">
        <f t="shared" si="73"/>
        <v>#REF!</v>
      </c>
      <c r="H292" s="2"/>
      <c r="I292" s="2"/>
      <c r="J292" s="35"/>
      <c r="K292" s="14"/>
      <c r="L292" s="14" t="e">
        <f t="shared" si="72"/>
        <v>#REF!</v>
      </c>
      <c r="M292" s="23" t="str">
        <f>(IF(ISNUMBER(MATCH(B292,E!$B$6:$B$197,0)),VLOOKUP(B292,E!$B$6:$E$197,4,FALSE),VLOOKUP(B292,M!$B$6:$I$733,7,FALSE)))</f>
        <v>ს.რ.ფ</v>
      </c>
    </row>
    <row r="293" spans="1:13" ht="39.950000000000003" customHeight="1" x14ac:dyDescent="0.25">
      <c r="A293" s="16"/>
      <c r="B293" s="17"/>
      <c r="C293" s="2"/>
      <c r="D293" s="2"/>
      <c r="E293" s="14"/>
      <c r="F293" s="69"/>
      <c r="G293" s="14"/>
      <c r="H293" s="13"/>
      <c r="I293" s="13"/>
      <c r="J293" s="35"/>
      <c r="K293" s="31"/>
      <c r="L293" s="14"/>
      <c r="M293" s="23"/>
    </row>
    <row r="294" spans="1:13" ht="39.950000000000003" customHeight="1" x14ac:dyDescent="0.25">
      <c r="A294" s="16"/>
      <c r="B294" s="2"/>
      <c r="C294" s="2"/>
      <c r="D294" s="2"/>
      <c r="E294" s="14"/>
      <c r="F294" s="31"/>
      <c r="G294" s="14"/>
      <c r="H294" s="13"/>
      <c r="I294" s="13"/>
      <c r="J294" s="35"/>
      <c r="K294" s="31"/>
      <c r="L294" s="14"/>
      <c r="M294" s="23"/>
    </row>
    <row r="295" spans="1:13" ht="39.950000000000003" customHeight="1" x14ac:dyDescent="0.25">
      <c r="A295" s="16"/>
      <c r="B295" s="17"/>
      <c r="C295" s="2"/>
      <c r="D295" s="2"/>
      <c r="E295" s="14"/>
      <c r="F295" s="31"/>
      <c r="G295" s="14"/>
      <c r="H295" s="13"/>
      <c r="I295" s="13"/>
      <c r="J295" s="35"/>
      <c r="K295" s="31"/>
      <c r="L295" s="14"/>
      <c r="M295" s="23"/>
    </row>
    <row r="296" spans="1:13" ht="80.099999999999994" customHeight="1" x14ac:dyDescent="0.25">
      <c r="A296" s="87">
        <v>27</v>
      </c>
      <c r="B296" s="88" t="s">
        <v>618</v>
      </c>
      <c r="C296" s="10"/>
      <c r="D296" s="10"/>
      <c r="E296" s="10"/>
      <c r="F296" s="30"/>
      <c r="G296" s="10"/>
      <c r="H296" s="26"/>
      <c r="I296" s="10"/>
      <c r="J296" s="30"/>
      <c r="K296" s="30"/>
      <c r="L296" s="11"/>
      <c r="M296" s="22"/>
    </row>
    <row r="297" spans="1:13" s="45" customFormat="1" ht="39.75" customHeight="1" x14ac:dyDescent="0.25">
      <c r="A297" s="39">
        <v>1.1000000000000001</v>
      </c>
      <c r="B297" s="40" t="s">
        <v>1002</v>
      </c>
      <c r="C297" s="41" t="s">
        <v>842</v>
      </c>
      <c r="D297" s="41"/>
      <c r="E297" s="52">
        <v>100</v>
      </c>
      <c r="F297" s="42"/>
      <c r="G297" s="42"/>
      <c r="H297" s="42"/>
      <c r="I297" s="42"/>
      <c r="J297" s="46"/>
      <c r="K297" s="46"/>
      <c r="L297" s="43" t="e">
        <f>SUM(L298:L302)</f>
        <v>#REF!</v>
      </c>
      <c r="M297" s="44" t="s">
        <v>1003</v>
      </c>
    </row>
    <row r="298" spans="1:13" ht="39.950000000000003" customHeight="1" x14ac:dyDescent="0.25">
      <c r="A298" s="16" t="s">
        <v>668</v>
      </c>
      <c r="B298" s="17" t="s">
        <v>669</v>
      </c>
      <c r="C298" s="2" t="s">
        <v>670</v>
      </c>
      <c r="D298" s="2">
        <v>13.9</v>
      </c>
      <c r="E298" s="14">
        <f>D298*E297/100</f>
        <v>13.9</v>
      </c>
      <c r="F298" s="13"/>
      <c r="G298" s="13"/>
      <c r="H298" s="27">
        <f>IF((ISNUMBER(--LEFT(M297,2))),VLOOKUP(--LEFT(M297,2),N!$A$5:$C$54,3,FALSE),VLOOKUP(--LEFT(M297,1),N!$A$5:$C$54,3,FALSE))</f>
        <v>7.8</v>
      </c>
      <c r="I298" s="14">
        <f>ROUND(E298*H298,2)</f>
        <v>108.42</v>
      </c>
      <c r="J298" s="31"/>
      <c r="K298" s="31"/>
      <c r="L298" s="14">
        <f t="shared" ref="L298:L302" si="75">G298+I298+K298</f>
        <v>108.42</v>
      </c>
      <c r="M298" s="23" t="str">
        <f>(IF(ISNUMBER(MATCH(B298,E!$B$6:$B$197,0)),VLOOKUP(B298,E!$B$6:$E$197,4,FALSE),VLOOKUP(B298,M!$B$6:$I$733,7,FALSE)))</f>
        <v>მ.ც</v>
      </c>
    </row>
    <row r="299" spans="1:13" ht="39.950000000000003" customHeight="1" x14ac:dyDescent="0.25">
      <c r="A299" s="16" t="s">
        <v>671</v>
      </c>
      <c r="B299" s="17" t="s">
        <v>654</v>
      </c>
      <c r="C299" s="2" t="s">
        <v>393</v>
      </c>
      <c r="D299" s="2">
        <v>0.7</v>
      </c>
      <c r="E299" s="14">
        <f>D299*E297/100</f>
        <v>0.7</v>
      </c>
      <c r="F299" s="13"/>
      <c r="G299" s="13"/>
      <c r="H299" s="13"/>
      <c r="I299" s="13"/>
      <c r="J299" s="35">
        <f>ROUND(IF(ISNUMBER(MATCH(B299,E!$B$6:$B$197,0)),VLOOKUP(B299,E!$B$6:$E$197,2,FALSE),IF(#REF!="დიახ",IF(VLOOKUP(B299,M!$B$6:$I$733,8,FALSE)="ლ",VLOOKUP(B299,M!$B$6:$I$733,3,FALSE)*0.001*#REF!*#REF!,IF(VLOOKUP(B299,M!$B$6:$I$733,8,FALSE)="მბ",VLOOKUP(B299,M!$B$6:$I$733,3,FALSE)*0.001*#REF!*#REF!,IF(VLOOKUP(B299,M!$B$6:$I$733,8,FALSE)="აბ",VLOOKUP(B299,M!$B$6:$I$733,3,FALSE)*0.001*#REF!*#REF!,IF(VLOOKUP(B299,M!$B$6:$I$733,8,FALSE)="ინ",VLOOKUP(B299,M!$B$6:$I$733,3,FALSE)*0.001*#REF!*#REF!,IF(VLOOKUP(B299,M!$B$6:$I$733,8,FALSE)="ას",VLOOKUP(B299,M!$B$6:$I$733,3,FALSE)*0.001*#REF!*#REF!,IF(VLOOKUP(B299,M!$B$6:$I$733,8,FALSE)="სხ",VLOOKUP(B299,M!$B$6:$I$733,3,FALSE)*0.001*#REF!*#REF!,IF(VLOOKUP(B299,M!$B$6:$I$733,8,FALSE)="ხმ",VLOOKUP(B299,M!$B$6:$I$733,3,FALSE)*0.001*#REF!*#REF!))))))))),2)</f>
        <v>3.2</v>
      </c>
      <c r="K299" s="31">
        <f t="shared" ref="K299" si="76">ROUND(E299*J299,2)</f>
        <v>2.2400000000000002</v>
      </c>
      <c r="L299" s="14">
        <f t="shared" si="75"/>
        <v>2.2400000000000002</v>
      </c>
      <c r="M299" s="23" t="str">
        <f>(IF(ISNUMBER(MATCH(B299,E!$B$6:$B$197,0)),VLOOKUP(B299,E!$B$6:$E$197,4,FALSE),VLOOKUP(B299,M!$B$6:$I$733,7,FALSE)))</f>
        <v>ს.რ.ფ</v>
      </c>
    </row>
    <row r="300" spans="1:13" ht="39.950000000000003" customHeight="1" x14ac:dyDescent="0.25">
      <c r="A300" s="16" t="s">
        <v>673</v>
      </c>
      <c r="B300" s="2" t="s">
        <v>473</v>
      </c>
      <c r="C300" s="2" t="s">
        <v>28</v>
      </c>
      <c r="D300" s="2">
        <v>59</v>
      </c>
      <c r="E300" s="14">
        <f>D300*E297/100</f>
        <v>59</v>
      </c>
      <c r="F300" s="31" t="e">
        <f>ROUND(VLOOKUP(B300,M!$B$6:$H$733,IF(#REF!="დაბალი",4,IF(#REF!="საშუალო",6,IF(#REF!="მაღალი",5))),FALSE),2)</f>
        <v>#REF!</v>
      </c>
      <c r="G300" s="14" t="e">
        <f>ROUND(E300*F300,2)</f>
        <v>#REF!</v>
      </c>
      <c r="H300" s="13"/>
      <c r="I300" s="13"/>
      <c r="J300" s="31"/>
      <c r="K300" s="31"/>
      <c r="L300" s="14" t="e">
        <f t="shared" si="75"/>
        <v>#REF!</v>
      </c>
      <c r="M300" s="23" t="str">
        <f>(IF(ISNUMBER(MATCH(B300,E!$B$6:$B$197,0)),VLOOKUP(B300,E!$B$6:$E$197,4,FALSE),VLOOKUP(B300,M!$B$6:$I$733,7,FALSE)))</f>
        <v>4.2-69</v>
      </c>
    </row>
    <row r="301" spans="1:13" ht="39.950000000000003" customHeight="1" x14ac:dyDescent="0.25">
      <c r="A301" s="16" t="s">
        <v>675</v>
      </c>
      <c r="B301" s="2" t="s">
        <v>477</v>
      </c>
      <c r="C301" s="2" t="s">
        <v>28</v>
      </c>
      <c r="D301" s="2">
        <v>10</v>
      </c>
      <c r="E301" s="14">
        <f>D301*E297/100</f>
        <v>10</v>
      </c>
      <c r="F301" s="31" t="e">
        <f>ROUND(VLOOKUP(B301,M!$B$6:$H$733,IF(#REF!="დაბალი",4,IF(#REF!="საშუალო",6,IF(#REF!="მაღალი",5))),FALSE),2)</f>
        <v>#REF!</v>
      </c>
      <c r="G301" s="14" t="e">
        <f>ROUND(E301*F301,2)</f>
        <v>#REF!</v>
      </c>
      <c r="H301" s="13"/>
      <c r="I301" s="13"/>
      <c r="J301" s="31"/>
      <c r="K301" s="31"/>
      <c r="L301" s="14" t="e">
        <f t="shared" si="75"/>
        <v>#REF!</v>
      </c>
      <c r="M301" s="23" t="str">
        <f>(IF(ISNUMBER(MATCH(B301,E!$B$6:$B$197,0)),VLOOKUP(B301,E!$B$6:$E$197,4,FALSE),VLOOKUP(B301,M!$B$6:$I$733,7,FALSE)))</f>
        <v>4.2-80</v>
      </c>
    </row>
    <row r="302" spans="1:13" ht="39.950000000000003" customHeight="1" x14ac:dyDescent="0.25">
      <c r="A302" s="16" t="s">
        <v>695</v>
      </c>
      <c r="B302" s="17" t="s">
        <v>677</v>
      </c>
      <c r="C302" s="2" t="s">
        <v>393</v>
      </c>
      <c r="D302" s="2">
        <v>61.4</v>
      </c>
      <c r="E302" s="14">
        <f>D302*E297/100</f>
        <v>61.4</v>
      </c>
      <c r="F302" s="31" t="e">
        <f>ROUND(VLOOKUP(B302,M!$B$6:$H$733,IF(#REF!="დაბალი",4,IF(#REF!="საშუალო",6,IF(#REF!="მაღალი",5))),FALSE),2)</f>
        <v>#REF!</v>
      </c>
      <c r="G302" s="14" t="e">
        <f t="shared" ref="G302" si="77">ROUND(E302*F302,2)</f>
        <v>#REF!</v>
      </c>
      <c r="H302" s="13"/>
      <c r="I302" s="13"/>
      <c r="J302" s="31"/>
      <c r="K302" s="31"/>
      <c r="L302" s="14" t="e">
        <f t="shared" si="75"/>
        <v>#REF!</v>
      </c>
      <c r="M302" s="23" t="str">
        <f>(IF(ISNUMBER(MATCH(B302,E!$B$6:$B$197,0)),VLOOKUP(B302,E!$B$6:$E$197,4,FALSE),VLOOKUP(B302,M!$B$6:$I$733,7,FALSE)))</f>
        <v>ს.რ.ფ</v>
      </c>
    </row>
    <row r="303" spans="1:13" s="45" customFormat="1" ht="39.950000000000003" customHeight="1" x14ac:dyDescent="0.25">
      <c r="A303" s="39">
        <v>1.1000000000000001</v>
      </c>
      <c r="B303" s="40" t="s">
        <v>835</v>
      </c>
      <c r="C303" s="41" t="s">
        <v>741</v>
      </c>
      <c r="D303" s="41"/>
      <c r="E303" s="52">
        <v>100</v>
      </c>
      <c r="F303" s="42"/>
      <c r="G303" s="42"/>
      <c r="H303" s="42"/>
      <c r="I303" s="42"/>
      <c r="J303" s="42"/>
      <c r="K303" s="46"/>
      <c r="L303" s="43" t="e">
        <f>SUM(L304:L307)</f>
        <v>#REF!</v>
      </c>
      <c r="M303" s="44" t="s">
        <v>833</v>
      </c>
    </row>
    <row r="304" spans="1:13" ht="39.950000000000003" customHeight="1" x14ac:dyDescent="0.25">
      <c r="A304" s="16" t="s">
        <v>668</v>
      </c>
      <c r="B304" s="17" t="s">
        <v>669</v>
      </c>
      <c r="C304" s="2" t="s">
        <v>670</v>
      </c>
      <c r="D304" s="2">
        <v>93</v>
      </c>
      <c r="E304" s="14">
        <f>D304*E303/100</f>
        <v>93</v>
      </c>
      <c r="F304" s="13"/>
      <c r="G304" s="13"/>
      <c r="H304" s="27">
        <f>IF((ISNUMBER(--LEFT(M303,2))),VLOOKUP(--LEFT(M303,2),N!$A$5:$C$54,3,FALSE),VLOOKUP(--LEFT(M303,1),N!$A$5:$C$54,3,FALSE))</f>
        <v>7.8</v>
      </c>
      <c r="I304" s="14">
        <f>ROUND(E304*H304,2)</f>
        <v>725.4</v>
      </c>
      <c r="J304" s="13"/>
      <c r="K304" s="31"/>
      <c r="L304" s="14">
        <f t="shared" ref="L304:L307" si="78">G304+I304+K304</f>
        <v>725.4</v>
      </c>
      <c r="M304" s="23" t="str">
        <f>(IF(ISNUMBER(MATCH(B304,E!$B$6:$B$197,0)),VLOOKUP(B304,E!$B$6:$E$197,4,FALSE),VLOOKUP(B304,M!$B$6:$I$733,7,FALSE)))</f>
        <v>მ.ც</v>
      </c>
    </row>
    <row r="305" spans="1:14" ht="39.950000000000003" customHeight="1" x14ac:dyDescent="0.25">
      <c r="A305" s="16" t="s">
        <v>671</v>
      </c>
      <c r="B305" s="2" t="s">
        <v>834</v>
      </c>
      <c r="C305" s="2" t="s">
        <v>672</v>
      </c>
      <c r="D305" s="2">
        <v>2.4</v>
      </c>
      <c r="E305" s="14">
        <f>D305*E303/100</f>
        <v>2.4</v>
      </c>
      <c r="F305" s="13"/>
      <c r="G305" s="13"/>
      <c r="H305" s="13"/>
      <c r="I305" s="13"/>
      <c r="J305" s="35">
        <f>ROUND(IF(ISNUMBER(MATCH(B305,E!$B$6:$B$193,0)),VLOOKUP(B305,E!$B$6:$E$193,2,FALSE),IF(#REF!="დიახ",IF(VLOOKUP(B305,M!$B$6:$I$665,8,FALSE)="ლ",VLOOKUP(B305,M!$B$6:$I$665,3,FALSE)*0.001*#REF!*#REF!,IF(VLOOKUP(B305,M!$B$6:$I$665,8,FALSE)="მბ",VLOOKUP(B305,M!$B$6:$I$665,3,FALSE)*0.001*#REF!*#REF!,IF(VLOOKUP(B305,M!$B$6:$I$665,8,FALSE)="აბ",VLOOKUP(B305,M!$B$6:$I$665,3,FALSE)*0.001*#REF!*#REF!,IF(VLOOKUP(B305,M!$B$6:$I$665,8,FALSE)="ინ",VLOOKUP(B305,M!$B$6:$I$665,3,FALSE)*0.001*#REF!*#REF!,IF(VLOOKUP(B305,M!$B$6:$I$665,8,FALSE)="ას",VLOOKUP(B305,M!$B$6:$I$665,3,FALSE)*0.001*#REF!*#REF!,IF(VLOOKUP(B305,M!$B$6:$I$665,8,FALSE)="სხ",VLOOKUP(B305,M!$B$6:$I$665,3,FALSE)*0.001*#REF!*#REF!)))))))),2)</f>
        <v>4.17</v>
      </c>
      <c r="K305" s="31">
        <f>ROUND(E305*J305,2)</f>
        <v>10.01</v>
      </c>
      <c r="L305" s="14">
        <f t="shared" si="78"/>
        <v>10.01</v>
      </c>
      <c r="M305" s="23" t="str">
        <f>(IF(ISNUMBER(MATCH(B305,E!$B$6:$B$193,0)),VLOOKUP(B305,E!$B$6:$E$193,4,FALSE),VLOOKUP(B305,M!$B$6:$I$665,7,FALSE)))</f>
        <v>14-306</v>
      </c>
    </row>
    <row r="306" spans="1:14" ht="39.950000000000003" customHeight="1" x14ac:dyDescent="0.25">
      <c r="A306" s="16" t="s">
        <v>673</v>
      </c>
      <c r="B306" s="17" t="s">
        <v>654</v>
      </c>
      <c r="C306" s="2" t="s">
        <v>393</v>
      </c>
      <c r="D306" s="2">
        <v>2.6</v>
      </c>
      <c r="E306" s="14">
        <f>D306*E303/100</f>
        <v>2.6</v>
      </c>
      <c r="F306" s="13"/>
      <c r="G306" s="13"/>
      <c r="H306" s="13"/>
      <c r="I306" s="13"/>
      <c r="J306" s="35">
        <f>ROUND(IF(ISNUMBER(MATCH(B306,E!$B$6:$B$193,0)),VLOOKUP(B306,E!$B$6:$E$193,2,FALSE),IF(#REF!="დიახ",IF(VLOOKUP(B306,M!$B$6:$I$665,8,FALSE)="ლ",VLOOKUP(B306,M!$B$6:$I$665,3,FALSE)*0.001*#REF!*#REF!,IF(VLOOKUP(B306,M!$B$6:$I$665,8,FALSE)="მბ",VLOOKUP(B306,M!$B$6:$I$665,3,FALSE)*0.001*#REF!*#REF!,IF(VLOOKUP(B306,M!$B$6:$I$665,8,FALSE)="აბ",VLOOKUP(B306,M!$B$6:$I$665,3,FALSE)*0.001*#REF!*#REF!,IF(VLOOKUP(B306,M!$B$6:$I$665,8,FALSE)="ინ",VLOOKUP(B306,M!$B$6:$I$665,3,FALSE)*0.001*#REF!*#REF!,IF(VLOOKUP(B306,M!$B$6:$I$665,8,FALSE)="ას",VLOOKUP(B306,M!$B$6:$I$665,3,FALSE)*0.001*#REF!*#REF!,IF(VLOOKUP(B306,M!$B$6:$I$665,8,FALSE)="სხ",VLOOKUP(B306,M!$B$6:$I$665,3,FALSE)*0.001*#REF!*#REF!)))))))),2)</f>
        <v>3.2</v>
      </c>
      <c r="K306" s="14">
        <f t="shared" ref="K306" si="79">ROUND(E306*J306,2)</f>
        <v>8.32</v>
      </c>
      <c r="L306" s="14">
        <f t="shared" si="78"/>
        <v>8.32</v>
      </c>
      <c r="M306" s="23" t="str">
        <f>(IF(ISNUMBER(MATCH(B306,E!$B$6:$B$193,0)),VLOOKUP(B306,E!$B$6:$E$193,4,FALSE),VLOOKUP(B306,M!$B$6:$I$665,7,FALSE)))</f>
        <v>ს.რ.ფ</v>
      </c>
    </row>
    <row r="307" spans="1:14" ht="39.950000000000003" customHeight="1" x14ac:dyDescent="0.25">
      <c r="A307" s="16" t="s">
        <v>675</v>
      </c>
      <c r="B307" s="2" t="s">
        <v>406</v>
      </c>
      <c r="C307" s="2" t="s">
        <v>674</v>
      </c>
      <c r="D307" s="2" t="s">
        <v>827</v>
      </c>
      <c r="E307" s="14">
        <v>22.1</v>
      </c>
      <c r="F307" s="31" t="e">
        <f>ROUND(VLOOKUP(B307,M!$B$6:$H$665,IF(#REF!="დაბალი",4,IF(#REF!="საშუალო",6,IF(#REF!="მაღალი",5))),FALSE),2)</f>
        <v>#REF!</v>
      </c>
      <c r="G307" s="14" t="e">
        <f>ROUND(E307*F307,2)</f>
        <v>#REF!</v>
      </c>
      <c r="H307" s="13"/>
      <c r="I307" s="13"/>
      <c r="J307" s="35" t="e">
        <f>ROUND(IF(ISNUMBER(MATCH(B307,E!$B$6:$B$193,0)),VLOOKUP(B307,E!$B$6:$E$193,2,FALSE),IF(#REF!="დიახ",IF(VLOOKUP(B307,M!$B$6:$I$665,8,FALSE)="ლ",VLOOKUP(B307,M!$B$6:$I$665,3,FALSE)*0.001*#REF!*#REF!,IF(VLOOKUP(B307,M!$B$6:$I$665,8,FALSE)="მბ",VLOOKUP(B307,M!$B$6:$I$665,3,FALSE)*0.001*#REF!*#REF!,IF(VLOOKUP(B307,M!$B$6:$I$665,8,FALSE)="აბ",VLOOKUP(B307,M!$B$6:$I$665,3,FALSE)*0.001*#REF!*#REF!,IF(VLOOKUP(B307,M!$B$6:$I$665,8,FALSE)="ინ",VLOOKUP(B307,M!$B$6:$I$665,3,FALSE)*0.001*#REF!*#REF!,IF(VLOOKUP(B307,M!$B$6:$I$665,8,FALSE)="ას",VLOOKUP(B307,M!$B$6:$I$665,3,FALSE)*0.001*#REF!*#REF!,IF(VLOOKUP(B307,M!$B$6:$I$665,8,FALSE)="სხ",VLOOKUP(B307,M!$B$6:$I$665,3,FALSE)*0.001*#REF!*#REF!)))))))),2)</f>
        <v>#REF!</v>
      </c>
      <c r="K307" s="31" t="e">
        <f>ROUND(E307*J307,2)</f>
        <v>#REF!</v>
      </c>
      <c r="L307" s="14" t="e">
        <f t="shared" si="78"/>
        <v>#REF!</v>
      </c>
      <c r="M307" s="23" t="str">
        <f>(IF(ISNUMBER(MATCH(B307,E!$B$6:$B$193,0)),VLOOKUP(B307,E!$B$6:$E$193,4,FALSE),VLOOKUP(B307,M!$B$6:$I$665,7,FALSE)))</f>
        <v>4.1-377</v>
      </c>
    </row>
    <row r="308" spans="1:14" s="45" customFormat="1" ht="39.950000000000003" customHeight="1" x14ac:dyDescent="0.25">
      <c r="A308" s="39">
        <v>1.1000000000000001</v>
      </c>
      <c r="B308" s="40" t="s">
        <v>1199</v>
      </c>
      <c r="C308" s="41" t="s">
        <v>741</v>
      </c>
      <c r="D308" s="41"/>
      <c r="E308" s="52">
        <v>100</v>
      </c>
      <c r="F308" s="42"/>
      <c r="G308" s="42"/>
      <c r="H308" s="42"/>
      <c r="I308" s="42"/>
      <c r="J308" s="42"/>
      <c r="K308" s="46"/>
      <c r="L308" s="43" t="e">
        <f>SUM(L309:L312)</f>
        <v>#REF!</v>
      </c>
      <c r="M308" s="44" t="s">
        <v>1200</v>
      </c>
    </row>
    <row r="309" spans="1:14" ht="39.950000000000003" customHeight="1" x14ac:dyDescent="0.25">
      <c r="A309" s="16" t="s">
        <v>668</v>
      </c>
      <c r="B309" s="17" t="s">
        <v>669</v>
      </c>
      <c r="C309" s="2" t="s">
        <v>670</v>
      </c>
      <c r="D309" s="2">
        <v>101</v>
      </c>
      <c r="E309" s="14">
        <f>D309*E308/100</f>
        <v>101</v>
      </c>
      <c r="F309" s="13"/>
      <c r="G309" s="13"/>
      <c r="H309" s="27">
        <f>IF((ISNUMBER(--LEFT(M308,2))),VLOOKUP(--LEFT(M308,2),N!$A$5:$C$54,3,FALSE),VLOOKUP(--LEFT(M308,1),N!$A$5:$C$54,3,FALSE))</f>
        <v>7.8</v>
      </c>
      <c r="I309" s="14">
        <f>ROUND(E309*H309,2)</f>
        <v>787.8</v>
      </c>
      <c r="J309" s="13"/>
      <c r="K309" s="31"/>
      <c r="L309" s="14">
        <f t="shared" ref="L309:L313" si="80">G309+I309+K309</f>
        <v>787.8</v>
      </c>
      <c r="M309" s="23" t="str">
        <f>(IF(ISNUMBER(MATCH(B309,E!$B$6:$B$197,0)),VLOOKUP(B309,E!$B$6:$E$197,4,FALSE),VLOOKUP(B309,M!$B$6:$I$733,7,FALSE)))</f>
        <v>მ.ც</v>
      </c>
    </row>
    <row r="310" spans="1:14" ht="39.950000000000003" customHeight="1" x14ac:dyDescent="0.25">
      <c r="A310" s="16" t="s">
        <v>671</v>
      </c>
      <c r="B310" s="2" t="s">
        <v>834</v>
      </c>
      <c r="C310" s="2" t="s">
        <v>672</v>
      </c>
      <c r="D310" s="2">
        <v>4.0999999999999996</v>
      </c>
      <c r="E310" s="14">
        <f>D310*E308/100</f>
        <v>4.0999999999999996</v>
      </c>
      <c r="F310" s="13"/>
      <c r="G310" s="13"/>
      <c r="H310" s="13"/>
      <c r="I310" s="13"/>
      <c r="J310" s="35">
        <f>ROUND(IF(ISNUMBER(MATCH(B310,E!$B$6:$B$193,0)),VLOOKUP(B310,E!$B$6:$E$193,2,FALSE),IF(#REF!="დიახ",IF(VLOOKUP(B310,M!$B$6:$I$665,8,FALSE)="ლ",VLOOKUP(B310,M!$B$6:$I$665,3,FALSE)*0.001*#REF!*#REF!,IF(VLOOKUP(B310,M!$B$6:$I$665,8,FALSE)="მბ",VLOOKUP(B310,M!$B$6:$I$665,3,FALSE)*0.001*#REF!*#REF!,IF(VLOOKUP(B310,M!$B$6:$I$665,8,FALSE)="აბ",VLOOKUP(B310,M!$B$6:$I$665,3,FALSE)*0.001*#REF!*#REF!,IF(VLOOKUP(B310,M!$B$6:$I$665,8,FALSE)="ინ",VLOOKUP(B310,M!$B$6:$I$665,3,FALSE)*0.001*#REF!*#REF!,IF(VLOOKUP(B310,M!$B$6:$I$665,8,FALSE)="ას",VLOOKUP(B310,M!$B$6:$I$665,3,FALSE)*0.001*#REF!*#REF!,IF(VLOOKUP(B310,M!$B$6:$I$665,8,FALSE)="სხ",VLOOKUP(B310,M!$B$6:$I$665,3,FALSE)*0.001*#REF!*#REF!)))))))),2)</f>
        <v>4.17</v>
      </c>
      <c r="K310" s="31">
        <f>ROUND(E310*J310,2)</f>
        <v>17.100000000000001</v>
      </c>
      <c r="L310" s="14">
        <f t="shared" si="80"/>
        <v>17.100000000000001</v>
      </c>
      <c r="M310" s="23" t="str">
        <f>(IF(ISNUMBER(MATCH(B310,E!$B$6:$B$193,0)),VLOOKUP(B310,E!$B$6:$E$193,4,FALSE),VLOOKUP(B310,M!$B$6:$I$665,7,FALSE)))</f>
        <v>14-306</v>
      </c>
    </row>
    <row r="311" spans="1:14" ht="39.950000000000003" customHeight="1" x14ac:dyDescent="0.25">
      <c r="A311" s="16" t="s">
        <v>673</v>
      </c>
      <c r="B311" s="17" t="s">
        <v>654</v>
      </c>
      <c r="C311" s="2" t="s">
        <v>393</v>
      </c>
      <c r="D311" s="2">
        <v>2.7</v>
      </c>
      <c r="E311" s="14">
        <f>D311*E308/100</f>
        <v>2.7</v>
      </c>
      <c r="F311" s="13"/>
      <c r="G311" s="13"/>
      <c r="H311" s="13"/>
      <c r="I311" s="13"/>
      <c r="J311" s="35">
        <f>ROUND(IF(ISNUMBER(MATCH(B311,E!$B$6:$B$193,0)),VLOOKUP(B311,E!$B$6:$E$193,2,FALSE),IF(#REF!="დიახ",IF(VLOOKUP(B311,M!$B$6:$I$665,8,FALSE)="ლ",VLOOKUP(B311,M!$B$6:$I$665,3,FALSE)*0.001*#REF!*#REF!,IF(VLOOKUP(B311,M!$B$6:$I$665,8,FALSE)="მბ",VLOOKUP(B311,M!$B$6:$I$665,3,FALSE)*0.001*#REF!*#REF!,IF(VLOOKUP(B311,M!$B$6:$I$665,8,FALSE)="აბ",VLOOKUP(B311,M!$B$6:$I$665,3,FALSE)*0.001*#REF!*#REF!,IF(VLOOKUP(B311,M!$B$6:$I$665,8,FALSE)="ინ",VLOOKUP(B311,M!$B$6:$I$665,3,FALSE)*0.001*#REF!*#REF!,IF(VLOOKUP(B311,M!$B$6:$I$665,8,FALSE)="ას",VLOOKUP(B311,M!$B$6:$I$665,3,FALSE)*0.001*#REF!*#REF!,IF(VLOOKUP(B311,M!$B$6:$I$665,8,FALSE)="სხ",VLOOKUP(B311,M!$B$6:$I$665,3,FALSE)*0.001*#REF!*#REF!)))))))),2)</f>
        <v>3.2</v>
      </c>
      <c r="K311" s="14">
        <f t="shared" ref="K311:K312" si="81">ROUND(E311*J311,2)</f>
        <v>8.64</v>
      </c>
      <c r="L311" s="14">
        <f t="shared" si="80"/>
        <v>8.64</v>
      </c>
      <c r="M311" s="23" t="str">
        <f>(IF(ISNUMBER(MATCH(B311,E!$B$6:$B$193,0)),VLOOKUP(B311,E!$B$6:$E$193,4,FALSE),VLOOKUP(B311,M!$B$6:$I$665,7,FALSE)))</f>
        <v>ს.რ.ფ</v>
      </c>
    </row>
    <row r="312" spans="1:14" ht="39.950000000000003" customHeight="1" x14ac:dyDescent="0.25">
      <c r="A312" s="16" t="s">
        <v>675</v>
      </c>
      <c r="B312" s="2" t="s">
        <v>406</v>
      </c>
      <c r="C312" s="2" t="s">
        <v>674</v>
      </c>
      <c r="D312" s="2" t="s">
        <v>827</v>
      </c>
      <c r="E312" s="14">
        <v>0</v>
      </c>
      <c r="F312" s="31" t="e">
        <f>ROUND(VLOOKUP(B312,M!$B$6:$H$665,IF(#REF!="დაბალი",4,IF(#REF!="საშუალო",6,IF(#REF!="მაღალი",5))),FALSE),2)</f>
        <v>#REF!</v>
      </c>
      <c r="G312" s="14" t="e">
        <f>ROUND(E312*F312,2)</f>
        <v>#REF!</v>
      </c>
      <c r="H312" s="13"/>
      <c r="I312" s="13"/>
      <c r="J312" s="35" t="e">
        <f>ROUND(IF(ISNUMBER(MATCH(B312,E!$B$6:$B$193,0)),VLOOKUP(B312,E!$B$6:$E$193,2,FALSE),IF(#REF!="დიახ",IF(VLOOKUP(B312,M!$B$6:$I$665,8,FALSE)="ლ",VLOOKUP(B312,M!$B$6:$I$665,3,FALSE)*0.001*#REF!*#REF!,IF(VLOOKUP(B312,M!$B$6:$I$665,8,FALSE)="მბ",VLOOKUP(B312,M!$B$6:$I$665,3,FALSE)*0.001*#REF!*#REF!,IF(VLOOKUP(B312,M!$B$6:$I$665,8,FALSE)="აბ",VLOOKUP(B312,M!$B$6:$I$665,3,FALSE)*0.001*#REF!*#REF!,IF(VLOOKUP(B312,M!$B$6:$I$665,8,FALSE)="ინ",VLOOKUP(B312,M!$B$6:$I$665,3,FALSE)*0.001*#REF!*#REF!,IF(VLOOKUP(B312,M!$B$6:$I$665,8,FALSE)="ას",VLOOKUP(B312,M!$B$6:$I$665,3,FALSE)*0.001*#REF!*#REF!,IF(VLOOKUP(B312,M!$B$6:$I$665,8,FALSE)="სხ",VLOOKUP(B312,M!$B$6:$I$665,3,FALSE)*0.001*#REF!*#REF!)))))))),2)</f>
        <v>#REF!</v>
      </c>
      <c r="K312" s="14" t="e">
        <f t="shared" si="81"/>
        <v>#REF!</v>
      </c>
      <c r="L312" s="14" t="e">
        <f t="shared" si="80"/>
        <v>#REF!</v>
      </c>
      <c r="M312" s="23" t="str">
        <f>(IF(ISNUMBER(MATCH(B312,E!$B$6:$B$193,0)),VLOOKUP(B312,E!$B$6:$E$193,4,FALSE),VLOOKUP(B312,M!$B$6:$I$665,7,FALSE)))</f>
        <v>4.1-377</v>
      </c>
    </row>
    <row r="313" spans="1:14" ht="39.950000000000003" customHeight="1" x14ac:dyDescent="0.25">
      <c r="A313" s="16" t="s">
        <v>695</v>
      </c>
      <c r="B313" s="17" t="s">
        <v>677</v>
      </c>
      <c r="C313" s="2" t="s">
        <v>393</v>
      </c>
      <c r="D313" s="2">
        <v>0.3</v>
      </c>
      <c r="E313" s="14">
        <f>D313*E308/100</f>
        <v>0.3</v>
      </c>
      <c r="F313" s="31" t="e">
        <f>ROUND(VLOOKUP(B313,M!$B$6:$H$733,IF(#REF!="დაბალი",4,IF(#REF!="საშუალო",6,IF(#REF!="მაღალი",5))),FALSE),2)</f>
        <v>#REF!</v>
      </c>
      <c r="G313" s="14" t="e">
        <f>ROUND(E313*F313,2)</f>
        <v>#REF!</v>
      </c>
      <c r="H313" s="2"/>
      <c r="I313" s="2"/>
      <c r="J313" s="2"/>
      <c r="K313" s="2"/>
      <c r="L313" s="14" t="e">
        <f t="shared" si="80"/>
        <v>#REF!</v>
      </c>
      <c r="M313" s="23" t="str">
        <f>(IF(ISNUMBER(MATCH(B313,E!$B$6:$B$197,0)),VLOOKUP(B313,E!$B$6:$E$197,4,FALSE),VLOOKUP(B313,M!$B$6:$I$733,7,FALSE)))</f>
        <v>ს.რ.ფ</v>
      </c>
    </row>
    <row r="314" spans="1:14" s="45" customFormat="1" ht="39.950000000000003" customHeight="1" x14ac:dyDescent="0.25">
      <c r="A314" s="39">
        <v>1.1000000000000001</v>
      </c>
      <c r="B314" s="40" t="s">
        <v>1013</v>
      </c>
      <c r="C314" s="41" t="s">
        <v>842</v>
      </c>
      <c r="D314" s="41"/>
      <c r="E314" s="52">
        <v>100</v>
      </c>
      <c r="F314" s="41"/>
      <c r="G314" s="41"/>
      <c r="H314" s="42"/>
      <c r="I314" s="42"/>
      <c r="J314" s="41"/>
      <c r="K314" s="41"/>
      <c r="L314" s="43" t="e">
        <f>SUM(L315:L319)</f>
        <v>#REF!</v>
      </c>
      <c r="M314" s="44" t="s">
        <v>1059</v>
      </c>
      <c r="N314" s="68"/>
    </row>
    <row r="315" spans="1:14" ht="39.950000000000003" customHeight="1" x14ac:dyDescent="0.25">
      <c r="A315" s="16" t="s">
        <v>668</v>
      </c>
      <c r="B315" s="17" t="s">
        <v>669</v>
      </c>
      <c r="C315" s="2" t="s">
        <v>670</v>
      </c>
      <c r="D315" s="2">
        <v>9.3000000000000007</v>
      </c>
      <c r="E315" s="14">
        <f>D315*E314/100</f>
        <v>9.3000000000000007</v>
      </c>
      <c r="F315" s="13"/>
      <c r="G315" s="13"/>
      <c r="H315" s="27">
        <f>IF((ISNUMBER(--LEFT(M314,2))),VLOOKUP(--LEFT(M314,2),N!$A$5:$C$54,3,FALSE),VLOOKUP(--LEFT(M314,1),N!$A$5:$C$54,3,FALSE))</f>
        <v>7.8</v>
      </c>
      <c r="I315" s="14">
        <f>ROUND(E315*H315,2)</f>
        <v>72.540000000000006</v>
      </c>
      <c r="J315" s="2"/>
      <c r="K315" s="2"/>
      <c r="L315" s="14">
        <f>G315+I315+K315</f>
        <v>72.540000000000006</v>
      </c>
      <c r="M315" s="23" t="str">
        <f>(IF(ISNUMBER(MATCH(B315,E!$B$6:$B$197,0)),VLOOKUP(B315,E!$B$6:$E$197,4,FALSE),VLOOKUP(B315,M!$B$6:$I$733,7,FALSE)))</f>
        <v>მ.ც</v>
      </c>
    </row>
    <row r="316" spans="1:14" ht="39.950000000000003" customHeight="1" x14ac:dyDescent="0.25">
      <c r="A316" s="16" t="s">
        <v>671</v>
      </c>
      <c r="B316" s="17" t="s">
        <v>654</v>
      </c>
      <c r="C316" s="2" t="s">
        <v>393</v>
      </c>
      <c r="D316" s="2">
        <v>0.52</v>
      </c>
      <c r="E316" s="14">
        <f>D316*E314/100</f>
        <v>0.52</v>
      </c>
      <c r="F316" s="13"/>
      <c r="G316" s="13"/>
      <c r="H316" s="2"/>
      <c r="I316" s="2"/>
      <c r="J316" s="13">
        <v>3.2</v>
      </c>
      <c r="K316" s="14">
        <f>ROUND(E316*J316,2)</f>
        <v>1.66</v>
      </c>
      <c r="L316" s="14">
        <f>G316+I316+K316</f>
        <v>1.66</v>
      </c>
      <c r="M316" s="23" t="str">
        <f>(IF(ISNUMBER(MATCH(B316,E!$B$6:$B$193,0)),VLOOKUP(B316,E!$B$6:$E$193,4,FALSE),VLOOKUP(B316,M!$B$6:$I$665,7,FALSE)))</f>
        <v>ს.რ.ფ</v>
      </c>
    </row>
    <row r="317" spans="1:14" ht="39.950000000000003" customHeight="1" x14ac:dyDescent="0.25">
      <c r="A317" s="16" t="s">
        <v>673</v>
      </c>
      <c r="B317" s="17" t="s">
        <v>467</v>
      </c>
      <c r="C317" s="2" t="s">
        <v>28</v>
      </c>
      <c r="D317" s="2">
        <v>3.2</v>
      </c>
      <c r="E317" s="14">
        <f>D317*E314/100</f>
        <v>3.2</v>
      </c>
      <c r="F317" s="31" t="e">
        <f>ROUND(VLOOKUP(B317,M!$B$6:$H$665,IF(#REF!="დაბალი",4,IF(#REF!="საშუალო",6,IF(#REF!="მაღალი",5))),FALSE),2)</f>
        <v>#REF!</v>
      </c>
      <c r="G317" s="14" t="e">
        <f>ROUND(E317*F317,2)</f>
        <v>#REF!</v>
      </c>
      <c r="H317" s="2"/>
      <c r="I317" s="2"/>
      <c r="J317" s="2"/>
      <c r="K317" s="2"/>
      <c r="L317" s="14" t="e">
        <f>G317+I317+K317</f>
        <v>#REF!</v>
      </c>
      <c r="M317" s="23" t="str">
        <f>(IF(ISNUMBER(MATCH(B317,E!$B$6:$B$193,0)),VLOOKUP(B317,E!$B$6:$E$193,4,FALSE),VLOOKUP(B317,M!$B$6:$I$665,7,FALSE)))</f>
        <v>4.2-16</v>
      </c>
    </row>
    <row r="318" spans="1:14" ht="39.950000000000003" customHeight="1" x14ac:dyDescent="0.25">
      <c r="A318" s="16" t="s">
        <v>675</v>
      </c>
      <c r="B318" s="17" t="s">
        <v>468</v>
      </c>
      <c r="C318" s="2" t="s">
        <v>28</v>
      </c>
      <c r="D318" s="2">
        <v>42</v>
      </c>
      <c r="E318" s="14">
        <f>D318*E314/100</f>
        <v>42</v>
      </c>
      <c r="F318" s="31" t="e">
        <f>ROUND(VLOOKUP(B318,M!$B$6:$H$665,IF(#REF!="დაბალი",4,IF(#REF!="საშუალო",6,IF(#REF!="მაღალი",5))),FALSE),2)</f>
        <v>#REF!</v>
      </c>
      <c r="G318" s="14" t="e">
        <f>ROUND(E318*F318,2)</f>
        <v>#REF!</v>
      </c>
      <c r="H318" s="2"/>
      <c r="I318" s="2"/>
      <c r="J318" s="2"/>
      <c r="K318" s="2"/>
      <c r="L318" s="14" t="e">
        <f>G318+I318+K318</f>
        <v>#REF!</v>
      </c>
      <c r="M318" s="23" t="str">
        <f>(IF(ISNUMBER(MATCH(B318,E!$B$6:$B$193,0)),VLOOKUP(B318,E!$B$6:$E$193,4,FALSE),VLOOKUP(B318,M!$B$6:$I$665,7,FALSE)))</f>
        <v>4.2-25</v>
      </c>
    </row>
    <row r="319" spans="1:14" ht="39.950000000000003" customHeight="1" x14ac:dyDescent="0.25">
      <c r="A319" s="16" t="s">
        <v>695</v>
      </c>
      <c r="B319" s="17" t="s">
        <v>677</v>
      </c>
      <c r="C319" s="2" t="s">
        <v>393</v>
      </c>
      <c r="D319" s="2">
        <v>26.5</v>
      </c>
      <c r="E319" s="14">
        <f>D319*E314/100</f>
        <v>26.5</v>
      </c>
      <c r="F319" s="31" t="e">
        <f>ROUND(VLOOKUP(B319,M!$B$6:$H$733,IF(#REF!="დაბალი",4,IF(#REF!="საშუალო",6,IF(#REF!="მაღალი",5))),FALSE),2)</f>
        <v>#REF!</v>
      </c>
      <c r="G319" s="14" t="e">
        <f>ROUND(E319*F319,2)</f>
        <v>#REF!</v>
      </c>
      <c r="H319" s="2"/>
      <c r="I319" s="2"/>
      <c r="J319" s="2"/>
      <c r="K319" s="2"/>
      <c r="L319" s="14" t="e">
        <f t="shared" ref="L319" si="82">G319+I319+K319</f>
        <v>#REF!</v>
      </c>
      <c r="M319" s="23" t="str">
        <f>(IF(ISNUMBER(MATCH(B319,E!$B$6:$B$197,0)),VLOOKUP(B319,E!$B$6:$E$197,4,FALSE),VLOOKUP(B319,M!$B$6:$I$733,7,FALSE)))</f>
        <v>ს.რ.ფ</v>
      </c>
    </row>
    <row r="320" spans="1:14" s="45" customFormat="1" ht="39.950000000000003" customHeight="1" x14ac:dyDescent="0.25">
      <c r="A320" s="39">
        <v>1.1000000000000001</v>
      </c>
      <c r="B320" s="40" t="s">
        <v>1060</v>
      </c>
      <c r="C320" s="41" t="s">
        <v>842</v>
      </c>
      <c r="D320" s="41"/>
      <c r="E320" s="52">
        <v>100</v>
      </c>
      <c r="F320" s="42"/>
      <c r="G320" s="42"/>
      <c r="H320" s="42"/>
      <c r="I320" s="42"/>
      <c r="J320" s="42"/>
      <c r="K320" s="42"/>
      <c r="L320" s="43" t="e">
        <f>SUM(L321:L323)</f>
        <v>#REF!</v>
      </c>
      <c r="M320" s="44" t="s">
        <v>1061</v>
      </c>
    </row>
    <row r="321" spans="1:14" ht="39.950000000000003" customHeight="1" x14ac:dyDescent="0.25">
      <c r="A321" s="16" t="s">
        <v>668</v>
      </c>
      <c r="B321" s="17" t="s">
        <v>669</v>
      </c>
      <c r="C321" s="2" t="s">
        <v>670</v>
      </c>
      <c r="D321" s="2">
        <v>11.8</v>
      </c>
      <c r="E321" s="14">
        <f>D321*E320/100</f>
        <v>11.8</v>
      </c>
      <c r="F321" s="13"/>
      <c r="G321" s="13"/>
      <c r="H321" s="27">
        <f>IF((ISNUMBER(--LEFT(M320,2))),VLOOKUP(--LEFT(M320,2),N!$A$5:$C$54,3,FALSE),VLOOKUP(--LEFT(M320,1),N!$A$5:$C$54,3,FALSE))</f>
        <v>7.8</v>
      </c>
      <c r="I321" s="14">
        <f>ROUND(E321*H321,2)</f>
        <v>92.04</v>
      </c>
      <c r="J321" s="13"/>
      <c r="K321" s="13"/>
      <c r="L321" s="14">
        <f>G321+I321+K321</f>
        <v>92.04</v>
      </c>
      <c r="M321" s="23" t="str">
        <f>(IF(ISNUMBER(MATCH(B321,E!$B$6:$B$197,0)),VLOOKUP(B321,E!$B$6:$E$197,4,FALSE),VLOOKUP(B321,M!$B$6:$I$733,7,FALSE)))</f>
        <v>მ.ც</v>
      </c>
    </row>
    <row r="322" spans="1:14" ht="39.75" customHeight="1" x14ac:dyDescent="0.25">
      <c r="A322" s="16" t="s">
        <v>671</v>
      </c>
      <c r="B322" s="2" t="s">
        <v>472</v>
      </c>
      <c r="C322" s="2" t="s">
        <v>28</v>
      </c>
      <c r="D322" s="2">
        <v>20.8</v>
      </c>
      <c r="E322" s="14">
        <f>D322*E320/100</f>
        <v>20.8</v>
      </c>
      <c r="F322" s="31" t="e">
        <f>ROUND(VLOOKUP(B322,M!$B$6:$H$733,IF(#REF!="დაბალი",4,IF(#REF!="საშუალო",6,IF(#REF!="მაღალი",5))),FALSE),2)</f>
        <v>#REF!</v>
      </c>
      <c r="G322" s="14" t="e">
        <f t="shared" ref="G322" si="83">ROUND(E322*F322,2)</f>
        <v>#REF!</v>
      </c>
      <c r="H322" s="2"/>
      <c r="I322" s="2"/>
      <c r="J322" s="2"/>
      <c r="K322" s="2"/>
      <c r="L322" s="14" t="e">
        <f t="shared" ref="L322:L323" si="84">G322+I322+K322</f>
        <v>#REF!</v>
      </c>
      <c r="M322" s="23" t="str">
        <f>(IF(ISNUMBER(MATCH(B322,E!$B$6:$B$193,0)),VLOOKUP(B322,E!$B$6:$E$193,4,FALSE),VLOOKUP(B322,M!$B$6:$I$665,7,FALSE)))</f>
        <v>4.2-64</v>
      </c>
    </row>
    <row r="323" spans="1:14" ht="39.950000000000003" customHeight="1" x14ac:dyDescent="0.25">
      <c r="A323" s="16" t="s">
        <v>673</v>
      </c>
      <c r="B323" s="17" t="s">
        <v>677</v>
      </c>
      <c r="C323" s="2" t="s">
        <v>393</v>
      </c>
      <c r="D323" s="2">
        <v>0.12</v>
      </c>
      <c r="E323" s="14">
        <f>D323*E320/100</f>
        <v>0.12</v>
      </c>
      <c r="F323" s="31" t="e">
        <f>ROUND(VLOOKUP(B323,M!$B$6:$H$733,IF(#REF!="დაბალი",4,IF(#REF!="საშუალო",6,IF(#REF!="მაღალი",5))),FALSE),2)</f>
        <v>#REF!</v>
      </c>
      <c r="G323" s="14" t="e">
        <f>ROUND(E323*F323,2)</f>
        <v>#REF!</v>
      </c>
      <c r="H323" s="2"/>
      <c r="I323" s="2"/>
      <c r="J323" s="2"/>
      <c r="K323" s="2"/>
      <c r="L323" s="14" t="e">
        <f t="shared" si="84"/>
        <v>#REF!</v>
      </c>
      <c r="M323" s="23" t="str">
        <f>(IF(ISNUMBER(MATCH(B323,E!$B$6:$B$197,0)),VLOOKUP(B323,E!$B$6:$E$197,4,FALSE),VLOOKUP(B323,M!$B$6:$I$733,7,FALSE)))</f>
        <v>ს.რ.ფ</v>
      </c>
    </row>
    <row r="324" spans="1:14" s="45" customFormat="1" ht="39.950000000000003" customHeight="1" x14ac:dyDescent="0.25">
      <c r="A324" s="39">
        <v>1.1000000000000001</v>
      </c>
      <c r="B324" s="40" t="s">
        <v>1203</v>
      </c>
      <c r="C324" s="41" t="s">
        <v>842</v>
      </c>
      <c r="D324" s="41"/>
      <c r="E324" s="52">
        <v>100</v>
      </c>
      <c r="F324" s="41"/>
      <c r="G324" s="41"/>
      <c r="H324" s="42"/>
      <c r="I324" s="42"/>
      <c r="J324" s="41"/>
      <c r="K324" s="41"/>
      <c r="L324" s="43" t="e">
        <f>SUM(L325:L329)</f>
        <v>#REF!</v>
      </c>
      <c r="M324" s="44" t="s">
        <v>1201</v>
      </c>
      <c r="N324" s="68"/>
    </row>
    <row r="325" spans="1:14" ht="39.950000000000003" customHeight="1" x14ac:dyDescent="0.25">
      <c r="A325" s="16" t="s">
        <v>668</v>
      </c>
      <c r="B325" s="17" t="s">
        <v>669</v>
      </c>
      <c r="C325" s="2" t="s">
        <v>670</v>
      </c>
      <c r="D325" s="2">
        <v>65.8</v>
      </c>
      <c r="E325" s="14">
        <f>D325*E324/100</f>
        <v>65.8</v>
      </c>
      <c r="F325" s="13"/>
      <c r="G325" s="13"/>
      <c r="H325" s="27">
        <f>IF((ISNUMBER(--LEFT(M324,2))),VLOOKUP(--LEFT(M324,2),N!$A$5:$C$54,3,FALSE),VLOOKUP(--LEFT(M324,1),N!$A$5:$C$54,3,FALSE))</f>
        <v>7.8</v>
      </c>
      <c r="I325" s="14">
        <f>ROUND(E325*H325,2)</f>
        <v>513.24</v>
      </c>
      <c r="J325" s="2"/>
      <c r="K325" s="2"/>
      <c r="L325" s="14">
        <f>G325+I325+K325</f>
        <v>513.24</v>
      </c>
      <c r="M325" s="23" t="str">
        <f>(IF(ISNUMBER(MATCH(B325,E!$B$6:$B$197,0)),VLOOKUP(B325,E!$B$6:$E$197,4,FALSE),VLOOKUP(B325,M!$B$6:$I$733,7,FALSE)))</f>
        <v>მ.ც</v>
      </c>
    </row>
    <row r="326" spans="1:14" ht="39.950000000000003" customHeight="1" x14ac:dyDescent="0.25">
      <c r="A326" s="16" t="s">
        <v>671</v>
      </c>
      <c r="B326" s="17" t="s">
        <v>654</v>
      </c>
      <c r="C326" s="2" t="s">
        <v>393</v>
      </c>
      <c r="D326" s="2">
        <v>1</v>
      </c>
      <c r="E326" s="14">
        <f>D326*E324/100</f>
        <v>1</v>
      </c>
      <c r="F326" s="13"/>
      <c r="G326" s="13"/>
      <c r="H326" s="2"/>
      <c r="I326" s="2"/>
      <c r="J326" s="13">
        <v>3.2</v>
      </c>
      <c r="K326" s="14">
        <f>ROUND(E326*J326,2)</f>
        <v>3.2</v>
      </c>
      <c r="L326" s="14">
        <f>G326+I326+K326</f>
        <v>3.2</v>
      </c>
      <c r="M326" s="23" t="str">
        <f>(IF(ISNUMBER(MATCH(B326,E!$B$6:$B$193,0)),VLOOKUP(B326,E!$B$6:$E$193,4,FALSE),VLOOKUP(B326,M!$B$6:$I$665,7,FALSE)))</f>
        <v>ს.რ.ფ</v>
      </c>
    </row>
    <row r="327" spans="1:14" ht="39.950000000000003" customHeight="1" x14ac:dyDescent="0.25">
      <c r="A327" s="16" t="s">
        <v>673</v>
      </c>
      <c r="B327" s="17" t="s">
        <v>471</v>
      </c>
      <c r="C327" s="2" t="s">
        <v>28</v>
      </c>
      <c r="D327" s="2">
        <v>63</v>
      </c>
      <c r="E327" s="14">
        <f>D327*E324/100</f>
        <v>63</v>
      </c>
      <c r="F327" s="31" t="e">
        <f>ROUND(VLOOKUP(B327,M!$B$6:$H$665,IF(#REF!="დაბალი",4,IF(#REF!="საშუალო",6,IF(#REF!="მაღალი",5))),FALSE),2)</f>
        <v>#REF!</v>
      </c>
      <c r="G327" s="14" t="e">
        <f>ROUND(E327*F327,2)</f>
        <v>#REF!</v>
      </c>
      <c r="H327" s="2"/>
      <c r="I327" s="2"/>
      <c r="J327" s="2"/>
      <c r="K327" s="2"/>
      <c r="L327" s="14" t="e">
        <f>G327+I327+K327</f>
        <v>#REF!</v>
      </c>
      <c r="M327" s="23" t="str">
        <f>(IF(ISNUMBER(MATCH(B327,E!$B$6:$B$193,0)),VLOOKUP(B327,E!$B$6:$E$193,4,FALSE),VLOOKUP(B327,M!$B$6:$I$665,7,FALSE)))</f>
        <v>4.2-42</v>
      </c>
    </row>
    <row r="328" spans="1:14" ht="39.950000000000003" customHeight="1" x14ac:dyDescent="0.25">
      <c r="A328" s="16" t="s">
        <v>675</v>
      </c>
      <c r="B328" s="17" t="s">
        <v>1202</v>
      </c>
      <c r="C328" s="2" t="s">
        <v>28</v>
      </c>
      <c r="D328" s="2">
        <v>79</v>
      </c>
      <c r="E328" s="14">
        <f>D328*E324/100</f>
        <v>79</v>
      </c>
      <c r="F328" s="31" t="e">
        <f>ROUND(VLOOKUP(B328,M!$B$6:$H$665,IF(#REF!="დაბალი",4,IF(#REF!="საშუალო",6,IF(#REF!="მაღალი",5))),FALSE),2)</f>
        <v>#REF!</v>
      </c>
      <c r="G328" s="14" t="e">
        <f>ROUND(E328*F328,2)</f>
        <v>#REF!</v>
      </c>
      <c r="H328" s="2"/>
      <c r="I328" s="2"/>
      <c r="J328" s="2"/>
      <c r="K328" s="2"/>
      <c r="L328" s="14" t="e">
        <f>G328+I328+K328</f>
        <v>#REF!</v>
      </c>
      <c r="M328" s="23" t="str">
        <f>(IF(ISNUMBER(MATCH(B328,E!$B$6:$B$193,0)),VLOOKUP(B328,E!$B$6:$E$193,4,FALSE),VLOOKUP(B328,M!$B$6:$I$665,7,FALSE)))</f>
        <v>4.2-91</v>
      </c>
    </row>
    <row r="329" spans="1:14" ht="39.950000000000003" customHeight="1" x14ac:dyDescent="0.25">
      <c r="A329" s="16" t="s">
        <v>695</v>
      </c>
      <c r="B329" s="17" t="s">
        <v>677</v>
      </c>
      <c r="C329" s="2" t="s">
        <v>393</v>
      </c>
      <c r="D329" s="2">
        <v>1.6</v>
      </c>
      <c r="E329" s="14">
        <f>D329*E324/100</f>
        <v>1.6</v>
      </c>
      <c r="F329" s="31" t="e">
        <f>ROUND(VLOOKUP(B329,M!$B$6:$H$733,IF(#REF!="დაბალი",4,IF(#REF!="საშუალო",6,IF(#REF!="მაღალი",5))),FALSE),2)</f>
        <v>#REF!</v>
      </c>
      <c r="G329" s="14" t="e">
        <f>ROUND(E329*F329,2)</f>
        <v>#REF!</v>
      </c>
      <c r="H329" s="2"/>
      <c r="I329" s="2"/>
      <c r="J329" s="2"/>
      <c r="K329" s="2"/>
      <c r="L329" s="14" t="e">
        <f t="shared" ref="L329" si="85">G329+I329+K329</f>
        <v>#REF!</v>
      </c>
      <c r="M329" s="23" t="str">
        <f>(IF(ISNUMBER(MATCH(B329,E!$B$6:$B$197,0)),VLOOKUP(B329,E!$B$6:$E$197,4,FALSE),VLOOKUP(B329,M!$B$6:$I$733,7,FALSE)))</f>
        <v>ს.რ.ფ</v>
      </c>
    </row>
    <row r="330" spans="1:14" ht="79.5" customHeight="1" x14ac:dyDescent="0.25">
      <c r="A330" s="100">
        <v>22</v>
      </c>
      <c r="B330" s="101" t="s">
        <v>625</v>
      </c>
      <c r="C330" s="10"/>
      <c r="D330" s="10"/>
      <c r="E330" s="10"/>
      <c r="F330" s="30"/>
      <c r="G330" s="10"/>
      <c r="H330" s="26"/>
      <c r="I330" s="10"/>
      <c r="J330" s="30"/>
      <c r="K330" s="30"/>
      <c r="L330" s="11"/>
      <c r="M330" s="22"/>
    </row>
    <row r="331" spans="1:14" s="45" customFormat="1" ht="39.950000000000003" customHeight="1" x14ac:dyDescent="0.25">
      <c r="A331" s="39">
        <v>1.1000000000000001</v>
      </c>
      <c r="B331" s="40" t="s">
        <v>1312</v>
      </c>
      <c r="C331" s="41" t="s">
        <v>847</v>
      </c>
      <c r="D331" s="41"/>
      <c r="E331" s="51">
        <v>1000</v>
      </c>
      <c r="F331" s="42"/>
      <c r="G331" s="42"/>
      <c r="H331" s="42"/>
      <c r="I331" s="42"/>
      <c r="J331" s="42"/>
      <c r="K331" s="42"/>
      <c r="L331" s="43" t="e">
        <f>SUM(L332:L335)</f>
        <v>#REF!</v>
      </c>
      <c r="M331" s="144" t="str">
        <f>"22-5-"&amp;IF(ISNUMBER(--MID(B331,25,4)),HLOOKUP(--MID(B331,25,4),SN!$D$24:$Y$30,2,FALSE),IF(ISNUMBER(--LEFT(B331,1)),HLOOKUP(--LEFT(B331,1),SN!$D$24:$Y$30,2,FALSE)))</f>
        <v>22-5-11</v>
      </c>
      <c r="N331" s="68"/>
    </row>
    <row r="332" spans="1:14" ht="39.950000000000003" customHeight="1" x14ac:dyDescent="0.25">
      <c r="A332" s="16" t="s">
        <v>668</v>
      </c>
      <c r="B332" s="17" t="s">
        <v>669</v>
      </c>
      <c r="C332" s="2" t="s">
        <v>670</v>
      </c>
      <c r="D332" s="2">
        <f>IF(ISNUMBER(--MID(B331,25,4)),HLOOKUP(--MID(B331,25,4),SN!$D$24:$Y$30,3,FALSE),IF(ISNUMBER(--LEFT(B331,1)),HLOOKUP(--LEFT(B331,1),SN!$D$24:$Y$30,3,FALSE)))</f>
        <v>973</v>
      </c>
      <c r="E332" s="14">
        <f>D332*E331/1000</f>
        <v>973</v>
      </c>
      <c r="F332" s="13"/>
      <c r="G332" s="13"/>
      <c r="H332" s="27">
        <f>IF((ISNUMBER(--LEFT(M331,2))),VLOOKUP(--LEFT(M331,2),N!$A$5:$C$54,3,FALSE),VLOOKUP(--LEFT(M331,1),N!$A$5:$C$54,3,FALSE))</f>
        <v>6</v>
      </c>
      <c r="I332" s="14">
        <f>ROUND(E332*H332,2)</f>
        <v>5838</v>
      </c>
      <c r="J332" s="13"/>
      <c r="K332" s="13"/>
      <c r="L332" s="14">
        <f>G332+I332+K332</f>
        <v>5838</v>
      </c>
      <c r="M332" s="23" t="str">
        <f>(IF(ISNUMBER(MATCH(B332,E!$B$6:$B$197,0)),VLOOKUP(B332,E!$B$6:$E$197,4,FALSE),VLOOKUP(B332,M!$B$6:$I$733,7,FALSE)))</f>
        <v>მ.ც</v>
      </c>
    </row>
    <row r="333" spans="1:14" ht="39.950000000000003" customHeight="1" x14ac:dyDescent="0.25">
      <c r="A333" s="16" t="s">
        <v>671</v>
      </c>
      <c r="B333" s="17" t="s">
        <v>654</v>
      </c>
      <c r="C333" s="2" t="s">
        <v>393</v>
      </c>
      <c r="D333" s="2">
        <f>IF(ISNUMBER(--MID(B331,25,4)),HLOOKUP(--MID(B331,25,4),SN!$D$24:$Y$30,5,FALSE),IF(ISNUMBER(--LEFT(B331,1)),HLOOKUP(--LEFT(B331,1),SN!$D$24:$Y$30,5,FALSE)))</f>
        <v>483</v>
      </c>
      <c r="E333" s="14">
        <f>D333*E331/1000</f>
        <v>483</v>
      </c>
      <c r="F333" s="69"/>
      <c r="G333" s="14"/>
      <c r="H333" s="13"/>
      <c r="I333" s="13"/>
      <c r="J333" s="35">
        <f>ROUND(IF(ISNUMBER(MATCH(B333,E!$B$6:$B$197,0)),VLOOKUP(B333,E!$B$6:$E$197,2,FALSE),IF(#REF!="დიახ",IF(VLOOKUP(B333,M!$B$6:$I$733,8,FALSE)="ლ",VLOOKUP(B333,M!$B$6:$I$733,3,FALSE)*0.001*#REF!*#REF!,IF(VLOOKUP(B333,M!$B$6:$I$733,8,FALSE)="მბ",VLOOKUP(B333,M!$B$6:$I$733,3,FALSE)*0.001*#REF!*#REF!,IF(VLOOKUP(B333,M!$B$6:$I$733,8,FALSE)="აბ",VLOOKUP(B333,M!$B$6:$I$733,3,FALSE)*0.001*#REF!*#REF!,IF(VLOOKUP(B333,M!$B$6:$I$733,8,FALSE)="ინ",VLOOKUP(B333,M!$B$6:$I$733,3,FALSE)*0.001*#REF!*#REF!,IF(VLOOKUP(B333,M!$B$6:$I$733,8,FALSE)="ას",VLOOKUP(B333,M!$B$6:$I$733,3,FALSE)*0.001*#REF!*#REF!,IF(VLOOKUP(B333,M!$B$6:$I$733,8,FALSE)="სხ",VLOOKUP(B333,M!$B$6:$I$733,3,FALSE)*0.001*#REF!*#REF!,IF(VLOOKUP(B333,M!$B$6:$I$733,8,FALSE)="ხმ",VLOOKUP(B333,M!$B$6:$I$733,3,FALSE)*0.001*#REF!*#REF!))))))))),2)</f>
        <v>3.2</v>
      </c>
      <c r="K333" s="14">
        <f>ROUND(E333*J333,2)</f>
        <v>1545.6</v>
      </c>
      <c r="L333" s="14">
        <f>G333+I333+K333</f>
        <v>1545.6</v>
      </c>
      <c r="M333" s="23" t="str">
        <f>(IF(ISNUMBER(MATCH(B333,E!$B$6:$B$197,0)),VLOOKUP(B333,E!$B$6:$E$197,4,FALSE),VLOOKUP(B333,M!$B$6:$I$733,7,FALSE)))</f>
        <v>ს.რ.ფ</v>
      </c>
    </row>
    <row r="334" spans="1:14" ht="39.950000000000003" customHeight="1" x14ac:dyDescent="0.25">
      <c r="A334" s="16" t="s">
        <v>673</v>
      </c>
      <c r="B334" s="2" t="s">
        <v>1303</v>
      </c>
      <c r="C334" s="2" t="s">
        <v>595</v>
      </c>
      <c r="D334" s="2">
        <f>IF(ISNUMBER(--MID(B331,25,4)),HLOOKUP(--MID(B331,25,4),SN!$D$24:$Y$30,6,FALSE),IF(ISNUMBER(--LEFT(B331,1)),HLOOKUP(--LEFT(B331,1),SN!$D$24:$Y$30,6,FALSE)))</f>
        <v>995</v>
      </c>
      <c r="E334" s="14">
        <f>D334*E331/1000</f>
        <v>995</v>
      </c>
      <c r="F334" s="31" t="e">
        <f>ROUND(VLOOKUP(B334,M!$B$6:$H$733,IF(#REF!="დაბალი",4,IF(#REF!="საშუალო",6,IF(#REF!="მაღალი",5))),FALSE),2)</f>
        <v>#REF!</v>
      </c>
      <c r="G334" s="14" t="e">
        <f>ROUND(E334*F334,2)</f>
        <v>#REF!</v>
      </c>
      <c r="H334" s="13"/>
      <c r="I334" s="13"/>
      <c r="J334" s="35" t="e">
        <f>ROUND(IF(ISNUMBER(MATCH(B334,E!$B$6:$B$197,0)),VLOOKUP(B334,E!$B$6:$E$197,2,FALSE),IF(#REF!="დიახ",IF(VLOOKUP(B334,M!$B$6:$I$733,8,FALSE)="ლ",VLOOKUP(B334,M!$B$6:$I$733,3,FALSE)*0.001*#REF!*#REF!,IF(VLOOKUP(B334,M!$B$6:$I$733,8,FALSE)="მბ",VLOOKUP(B334,M!$B$6:$I$733,3,FALSE)*0.001*#REF!*#REF!,IF(VLOOKUP(B334,M!$B$6:$I$733,8,FALSE)="აბ",VLOOKUP(B334,M!$B$6:$I$733,3,FALSE)*0.001*#REF!*#REF!,IF(VLOOKUP(B334,M!$B$6:$I$733,8,FALSE)="ინ",VLOOKUP(B334,M!$B$6:$I$733,3,FALSE)*0.001*#REF!*#REF!,IF(VLOOKUP(B334,M!$B$6:$I$733,8,FALSE)="ას",VLOOKUP(B334,M!$B$6:$I$733,3,FALSE)*0.001*#REF!*#REF!,IF(VLOOKUP(B334,M!$B$6:$I$733,8,FALSE)="სხ",VLOOKUP(B334,M!$B$6:$I$733,3,FALSE)*0.001*#REF!*#REF!,IF(VLOOKUP(B334,M!$B$6:$I$733,8,FALSE)="ხმ",VLOOKUP(B334,M!$B$6:$I$733,3,FALSE)*0.001*#REF!*#REF!))))))))),2)</f>
        <v>#REF!</v>
      </c>
      <c r="K334" s="14" t="e">
        <f>ROUND(E334*J334,2)</f>
        <v>#REF!</v>
      </c>
      <c r="L334" s="14" t="e">
        <f>G334+I334+K334</f>
        <v>#REF!</v>
      </c>
      <c r="M334" s="23" t="str">
        <f>(IF(ISNUMBER(MATCH(B334,E!$B$6:$B$197,0)),VLOOKUP(B334,E!$B$6:$E$197,4,FALSE),VLOOKUP(B334,M!$B$6:$I$733,7,FALSE)))</f>
        <v>2.1-116</v>
      </c>
    </row>
    <row r="335" spans="1:14" ht="39.950000000000003" customHeight="1" x14ac:dyDescent="0.25">
      <c r="A335" s="16" t="s">
        <v>675</v>
      </c>
      <c r="B335" s="17" t="s">
        <v>677</v>
      </c>
      <c r="C335" s="2" t="s">
        <v>393</v>
      </c>
      <c r="D335" s="2">
        <f>IF(ISNUMBER(--MID(B331,25,4)),HLOOKUP(--MID(B331,25,4),SN!$D$24:$Y$30,7,FALSE),IF(ISNUMBER(--LEFT(B331,1)),HLOOKUP(--LEFT(B331,1),SN!$D$24:$Y$30,7,FALSE)))</f>
        <v>220</v>
      </c>
      <c r="E335" s="14">
        <f>D335*E331/1000</f>
        <v>220</v>
      </c>
      <c r="F335" s="31" t="e">
        <f>ROUND(VLOOKUP(B335,M!$B$6:$H$733,IF(#REF!="დაბალი",4,IF(#REF!="საშუალო",6,IF(#REF!="მაღალი",5))),FALSE),2)</f>
        <v>#REF!</v>
      </c>
      <c r="G335" s="14" t="e">
        <f>ROUND(E335*F335,2)</f>
        <v>#REF!</v>
      </c>
      <c r="H335" s="13"/>
      <c r="I335" s="13"/>
      <c r="J335" s="13"/>
      <c r="K335" s="13"/>
      <c r="L335" s="14" t="e">
        <f>G335+I335+K335</f>
        <v>#REF!</v>
      </c>
      <c r="M335" s="23" t="str">
        <f>(IF(ISNUMBER(MATCH(B335,E!$B$6:$B$197,0)),VLOOKUP(B335,E!$B$6:$E$197,4,FALSE),VLOOKUP(B335,M!$B$6:$I$733,7,FALSE)))</f>
        <v>ს.რ.ფ</v>
      </c>
    </row>
    <row r="336" spans="1:14" ht="39.950000000000003" customHeight="1" x14ac:dyDescent="0.25">
      <c r="A336" s="16"/>
      <c r="B336" s="2"/>
      <c r="C336" s="2"/>
      <c r="D336" s="2"/>
      <c r="E336" s="14"/>
      <c r="F336" s="31"/>
      <c r="G336" s="14"/>
      <c r="H336" s="13"/>
      <c r="I336" s="13"/>
      <c r="J336" s="35"/>
      <c r="K336" s="31"/>
      <c r="L336" s="14"/>
      <c r="M336" s="23"/>
    </row>
    <row r="337" spans="1:13" ht="79.5" customHeight="1" x14ac:dyDescent="0.25">
      <c r="A337" s="98">
        <v>23</v>
      </c>
      <c r="B337" s="99" t="s">
        <v>626</v>
      </c>
      <c r="C337" s="10"/>
      <c r="D337" s="10"/>
      <c r="E337" s="10"/>
      <c r="F337" s="30"/>
      <c r="G337" s="10"/>
      <c r="H337" s="26"/>
      <c r="I337" s="10"/>
      <c r="J337" s="30"/>
      <c r="K337" s="30"/>
      <c r="L337" s="11"/>
      <c r="M337" s="22"/>
    </row>
    <row r="338" spans="1:13" s="45" customFormat="1" ht="39.950000000000003" customHeight="1" x14ac:dyDescent="0.25">
      <c r="A338" s="39">
        <v>1.1000000000000001</v>
      </c>
      <c r="B338" s="40" t="s">
        <v>909</v>
      </c>
      <c r="C338" s="41" t="s">
        <v>792</v>
      </c>
      <c r="D338" s="41"/>
      <c r="E338" s="41">
        <v>1</v>
      </c>
      <c r="F338" s="42"/>
      <c r="G338" s="42"/>
      <c r="H338" s="42"/>
      <c r="I338" s="42"/>
      <c r="J338" s="46"/>
      <c r="K338" s="46"/>
      <c r="L338" s="43"/>
      <c r="M338" s="44" t="s">
        <v>908</v>
      </c>
    </row>
    <row r="339" spans="1:13" ht="39.950000000000003" customHeight="1" x14ac:dyDescent="0.25">
      <c r="A339" s="16" t="s">
        <v>668</v>
      </c>
      <c r="B339" s="17" t="s">
        <v>669</v>
      </c>
      <c r="C339" s="2" t="s">
        <v>670</v>
      </c>
      <c r="D339" s="2">
        <v>1.78</v>
      </c>
      <c r="E339" s="14">
        <f>D339*E338</f>
        <v>1.78</v>
      </c>
      <c r="F339" s="13"/>
      <c r="G339" s="13"/>
      <c r="H339" s="27">
        <f>IF((ISNUMBER(--LEFT(M338,2))),VLOOKUP(--LEFT(M338,2),N!$A$5:$C$54,3,FALSE),VLOOKUP(--LEFT(M338,1),N!$A$5:$C$54,3,FALSE))</f>
        <v>6</v>
      </c>
      <c r="I339" s="14">
        <f>ROUND(E339*H339,2)</f>
        <v>10.68</v>
      </c>
      <c r="J339" s="31"/>
      <c r="K339" s="31"/>
      <c r="L339" s="14">
        <f>G339+I339+K339</f>
        <v>10.68</v>
      </c>
      <c r="M339" s="23" t="str">
        <f>(IF(ISNUMBER(MATCH(B339,E!$B$6:$B$197,0)),VLOOKUP(B339,E!$B$6:$E$197,4,FALSE),VLOOKUP(B339,M!$B$6:$I$733,7,FALSE)))</f>
        <v>მ.ც</v>
      </c>
    </row>
    <row r="340" spans="1:13" ht="39.950000000000003" customHeight="1" x14ac:dyDescent="0.25">
      <c r="A340" s="16" t="s">
        <v>671</v>
      </c>
      <c r="B340" s="2" t="s">
        <v>331</v>
      </c>
      <c r="C340" s="2" t="s">
        <v>674</v>
      </c>
      <c r="D340" s="2">
        <v>1.1000000000000001</v>
      </c>
      <c r="E340" s="14">
        <f>D340*E338</f>
        <v>1.1000000000000001</v>
      </c>
      <c r="F340" s="31" t="e">
        <f>ROUND(VLOOKUP(B340,M!$B$6:$H$733,IF(#REF!="დაბალი",4,IF(#REF!="საშუალო",6,IF(#REF!="მაღალი",5))),FALSE),2)</f>
        <v>#REF!</v>
      </c>
      <c r="G340" s="14" t="e">
        <f>ROUND(E340*F340,2)</f>
        <v>#REF!</v>
      </c>
      <c r="H340" s="13"/>
      <c r="I340" s="13"/>
      <c r="J340" s="35" t="e">
        <f>ROUND(IF(ISNUMBER(MATCH(B340,E!$B$6:$B$197,0)),VLOOKUP(B340,E!$B$6:$E$197,2,FALSE),IF(#REF!="დიახ",IF(VLOOKUP(B340,M!$B$6:$I$733,8,FALSE)="ლ",VLOOKUP(B340,M!$B$6:$I$733,3,FALSE)*0.001*#REF!*#REF!,IF(VLOOKUP(B340,M!$B$6:$I$733,8,FALSE)="მბ",VLOOKUP(B340,M!$B$6:$I$733,3,FALSE)*0.001*#REF!*#REF!,IF(VLOOKUP(B340,M!$B$6:$I$733,8,FALSE)="აბ",VLOOKUP(B340,M!$B$6:$I$733,3,FALSE)*0.001*#REF!*#REF!,IF(VLOOKUP(B340,M!$B$6:$I$733,8,FALSE)="ინ",VLOOKUP(B340,M!$B$6:$I$733,3,FALSE)*0.001*#REF!*#REF!,IF(VLOOKUP(B340,M!$B$6:$I$733,8,FALSE)="ას",VLOOKUP(B340,M!$B$6:$I$733,3,FALSE)*0.001*#REF!*#REF!,IF(VLOOKUP(B340,M!$B$6:$I$733,8,FALSE)="სხ",VLOOKUP(B340,M!$B$6:$I$733,3,FALSE)*0.001*#REF!*#REF!,IF(VLOOKUP(B340,M!$B$6:$I$733,8,FALSE)="ხმ",VLOOKUP(B340,M!$B$6:$I$733,3,FALSE)*0.001*#REF!*#REF!))))))))),2)</f>
        <v>#REF!</v>
      </c>
      <c r="K340" s="31" t="e">
        <f>ROUND(E340*J340,2)</f>
        <v>#REF!</v>
      </c>
      <c r="L340" s="14" t="e">
        <f>G340+I340+K340</f>
        <v>#REF!</v>
      </c>
      <c r="M340" s="23" t="str">
        <f>(IF(ISNUMBER(MATCH(B340,E!$B$6:$B$197,0)),VLOOKUP(B340,E!$B$6:$E$197,4,FALSE),VLOOKUP(B340,M!$B$6:$I$733,7,FALSE)))</f>
        <v>4.1-228</v>
      </c>
    </row>
    <row r="341" spans="1:13" s="45" customFormat="1" ht="39.950000000000003" customHeight="1" x14ac:dyDescent="0.25">
      <c r="A341" s="39">
        <v>1.1000000000000001</v>
      </c>
      <c r="B341" s="40" t="s">
        <v>951</v>
      </c>
      <c r="C341" s="41" t="s">
        <v>808</v>
      </c>
      <c r="D341" s="41"/>
      <c r="E341" s="52">
        <v>100</v>
      </c>
      <c r="F341" s="46"/>
      <c r="G341" s="43"/>
      <c r="H341" s="42"/>
      <c r="I341" s="42"/>
      <c r="J341" s="65"/>
      <c r="K341" s="46"/>
      <c r="L341" s="43" t="e">
        <f>SUM(L342:L348)</f>
        <v>#REF!</v>
      </c>
      <c r="M341" s="84" t="s">
        <v>910</v>
      </c>
    </row>
    <row r="342" spans="1:13" ht="39.950000000000003" customHeight="1" x14ac:dyDescent="0.25">
      <c r="A342" s="16" t="s">
        <v>668</v>
      </c>
      <c r="B342" s="17" t="s">
        <v>669</v>
      </c>
      <c r="C342" s="2" t="s">
        <v>670</v>
      </c>
      <c r="D342" s="2">
        <v>44.87</v>
      </c>
      <c r="E342" s="14">
        <f>D342*E341/100</f>
        <v>44.87</v>
      </c>
      <c r="F342" s="31"/>
      <c r="G342" s="14"/>
      <c r="H342" s="27">
        <f>IF((ISNUMBER(--LEFT(M341,2))),VLOOKUP(--LEFT(M341,2),N!$A$5:$C$54,3,FALSE),VLOOKUP(--LEFT(M341,1),N!$A$5:$C$54,3,FALSE))</f>
        <v>6</v>
      </c>
      <c r="I342" s="14">
        <f>ROUND(E342*H342,2)</f>
        <v>269.22000000000003</v>
      </c>
      <c r="J342" s="35"/>
      <c r="K342" s="31"/>
      <c r="L342" s="14">
        <f>G342+I342+K342</f>
        <v>269.22000000000003</v>
      </c>
      <c r="M342" s="23" t="str">
        <f>(IF(ISNUMBER(MATCH(B342,E!$B$6:$B$197,0)),VLOOKUP(B342,E!$B$6:$E$197,4,FALSE),VLOOKUP(B342,M!$B$6:$I$733,7,FALSE)))</f>
        <v>მ.ც</v>
      </c>
    </row>
    <row r="343" spans="1:13" ht="39.950000000000003" customHeight="1" x14ac:dyDescent="0.25">
      <c r="A343" s="16" t="s">
        <v>671</v>
      </c>
      <c r="B343" s="2" t="s">
        <v>169</v>
      </c>
      <c r="C343" s="2" t="s">
        <v>672</v>
      </c>
      <c r="D343" s="2">
        <v>0.21</v>
      </c>
      <c r="E343" s="14">
        <f>D343*E341/100</f>
        <v>0.21</v>
      </c>
      <c r="F343" s="31"/>
      <c r="G343" s="14"/>
      <c r="H343" s="13"/>
      <c r="I343" s="13"/>
      <c r="J343" s="35">
        <f>ROUND(IF(ISNUMBER(MATCH(B343,E!$B$6:$B$197,0)),VLOOKUP(B343,E!$B$6:$E$197,2,FALSE),IF(#REF!="დიახ",IF(VLOOKUP(B343,M!$B$6:$I$733,8,FALSE)="ლ",VLOOKUP(B343,M!$B$6:$I$733,3,FALSE)*0.001*#REF!*#REF!,IF(VLOOKUP(B343,M!$B$6:$I$733,8,FALSE)="მბ",VLOOKUP(B343,M!$B$6:$I$733,3,FALSE)*0.001*#REF!*#REF!,IF(VLOOKUP(B343,M!$B$6:$I$733,8,FALSE)="აბ",VLOOKUP(B343,M!$B$6:$I$733,3,FALSE)*0.001*#REF!*#REF!,IF(VLOOKUP(B343,M!$B$6:$I$733,8,FALSE)="ინ",VLOOKUP(B343,M!$B$6:$I$733,3,FALSE)*0.001*#REF!*#REF!,IF(VLOOKUP(B343,M!$B$6:$I$733,8,FALSE)="ას",VLOOKUP(B343,M!$B$6:$I$733,3,FALSE)*0.001*#REF!*#REF!,IF(VLOOKUP(B343,M!$B$6:$I$733,8,FALSE)="სხ",VLOOKUP(B343,M!$B$6:$I$733,3,FALSE)*0.001*#REF!*#REF!,IF(VLOOKUP(B343,M!$B$6:$I$733,8,FALSE)="ხმ",VLOOKUP(B343,M!$B$6:$I$733,3,FALSE)*0.001*#REF!*#REF!))))))))),2)</f>
        <v>15.06</v>
      </c>
      <c r="K343" s="31">
        <f>ROUND(E343*J343,2)</f>
        <v>3.16</v>
      </c>
      <c r="L343" s="14">
        <f>G343+I343+K343</f>
        <v>3.16</v>
      </c>
      <c r="M343" s="23" t="str">
        <f>(IF(ISNUMBER(MATCH(B343,E!$B$6:$B$197,0)),VLOOKUP(B343,E!$B$6:$E$197,4,FALSE),VLOOKUP(B343,M!$B$6:$I$733,7,FALSE)))</f>
        <v>14-43</v>
      </c>
    </row>
    <row r="344" spans="1:13" ht="39.950000000000003" customHeight="1" x14ac:dyDescent="0.25">
      <c r="A344" s="16" t="s">
        <v>673</v>
      </c>
      <c r="B344" s="2" t="s">
        <v>601</v>
      </c>
      <c r="C344" s="2" t="s">
        <v>672</v>
      </c>
      <c r="D344" s="2">
        <v>22.02</v>
      </c>
      <c r="E344" s="14">
        <f>D344*E341/100</f>
        <v>22.02</v>
      </c>
      <c r="F344" s="31"/>
      <c r="G344" s="14"/>
      <c r="H344" s="13"/>
      <c r="I344" s="13"/>
      <c r="J344" s="35">
        <f>ROUND(IF(ISNUMBER(MATCH(B344,E!$B$6:$B$197,0)),VLOOKUP(B344,E!$B$6:$E$197,2,FALSE),IF(#REF!="დიახ",IF(VLOOKUP(B344,M!$B$6:$I$733,8,FALSE)="ლ",VLOOKUP(B344,M!$B$6:$I$733,3,FALSE)*0.001*#REF!*#REF!,IF(VLOOKUP(B344,M!$B$6:$I$733,8,FALSE)="მბ",VLOOKUP(B344,M!$B$6:$I$733,3,FALSE)*0.001*#REF!*#REF!,IF(VLOOKUP(B344,M!$B$6:$I$733,8,FALSE)="აბ",VLOOKUP(B344,M!$B$6:$I$733,3,FALSE)*0.001*#REF!*#REF!,IF(VLOOKUP(B344,M!$B$6:$I$733,8,FALSE)="ინ",VLOOKUP(B344,M!$B$6:$I$733,3,FALSE)*0.001*#REF!*#REF!,IF(VLOOKUP(B344,M!$B$6:$I$733,8,FALSE)="ას",VLOOKUP(B344,M!$B$6:$I$733,3,FALSE)*0.001*#REF!*#REF!,IF(VLOOKUP(B344,M!$B$6:$I$733,8,FALSE)="სხ",VLOOKUP(B344,M!$B$6:$I$733,3,FALSE)*0.001*#REF!*#REF!,IF(VLOOKUP(B344,M!$B$6:$I$733,8,FALSE)="ხმ",VLOOKUP(B344,M!$B$6:$I$733,3,FALSE)*0.001*#REF!*#REF!))))))))),2)</f>
        <v>45.75</v>
      </c>
      <c r="K344" s="31">
        <f t="shared" ref="K344:K346" si="86">ROUND(E344*J344,2)</f>
        <v>1007.42</v>
      </c>
      <c r="L344" s="14">
        <f>G344+I344+K344</f>
        <v>1007.42</v>
      </c>
      <c r="M344" s="23" t="str">
        <f>(IF(ISNUMBER(MATCH(B344,E!$B$6:$B$197,0)),VLOOKUP(B344,E!$B$6:$E$197,4,FALSE),VLOOKUP(B344,M!$B$6:$I$733,7,FALSE)))</f>
        <v>14-265</v>
      </c>
    </row>
    <row r="345" spans="1:13" ht="39.950000000000003" customHeight="1" x14ac:dyDescent="0.25">
      <c r="A345" s="16" t="s">
        <v>675</v>
      </c>
      <c r="B345" s="2" t="s">
        <v>911</v>
      </c>
      <c r="C345" s="2" t="s">
        <v>672</v>
      </c>
      <c r="D345" s="2">
        <v>12.22</v>
      </c>
      <c r="E345" s="14">
        <f>D345*E341/100</f>
        <v>12.22</v>
      </c>
      <c r="F345" s="31"/>
      <c r="G345" s="14"/>
      <c r="H345" s="13"/>
      <c r="I345" s="13"/>
      <c r="J345" s="35">
        <f>ROUND(IF(ISNUMBER(MATCH(B345,E!$B$6:$B$197,0)),VLOOKUP(B345,E!$B$6:$E$197,2,FALSE),IF(#REF!="დიახ",IF(VLOOKUP(B345,M!$B$6:$I$733,8,FALSE)="ლ",VLOOKUP(B345,M!$B$6:$I$733,3,FALSE)*0.001*#REF!*#REF!,IF(VLOOKUP(B345,M!$B$6:$I$733,8,FALSE)="მბ",VLOOKUP(B345,M!$B$6:$I$733,3,FALSE)*0.001*#REF!*#REF!,IF(VLOOKUP(B345,M!$B$6:$I$733,8,FALSE)="აბ",VLOOKUP(B345,M!$B$6:$I$733,3,FALSE)*0.001*#REF!*#REF!,IF(VLOOKUP(B345,M!$B$6:$I$733,8,FALSE)="ინ",VLOOKUP(B345,M!$B$6:$I$733,3,FALSE)*0.001*#REF!*#REF!,IF(VLOOKUP(B345,M!$B$6:$I$733,8,FALSE)="ას",VLOOKUP(B345,M!$B$6:$I$733,3,FALSE)*0.001*#REF!*#REF!,IF(VLOOKUP(B345,M!$B$6:$I$733,8,FALSE)="სხ",VLOOKUP(B345,M!$B$6:$I$733,3,FALSE)*0.001*#REF!*#REF!,IF(VLOOKUP(B345,M!$B$6:$I$733,8,FALSE)="ხმ",VLOOKUP(B345,M!$B$6:$I$733,3,FALSE)*0.001*#REF!*#REF!))))))))),2)</f>
        <v>25.1</v>
      </c>
      <c r="K345" s="31">
        <f t="shared" si="86"/>
        <v>306.72000000000003</v>
      </c>
      <c r="L345" s="14">
        <f t="shared" ref="L345:L348" si="87">G345+I345+K345</f>
        <v>306.72000000000003</v>
      </c>
      <c r="M345" s="23" t="str">
        <f>(IF(ISNUMBER(MATCH(B345,E!$B$6:$B$197,0)),VLOOKUP(B345,E!$B$6:$E$197,4,FALSE),VLOOKUP(B345,M!$B$6:$I$733,7,FALSE)))</f>
        <v>14-257</v>
      </c>
    </row>
    <row r="346" spans="1:13" ht="39.950000000000003" customHeight="1" x14ac:dyDescent="0.25">
      <c r="A346" s="16" t="s">
        <v>695</v>
      </c>
      <c r="B346" s="2" t="s">
        <v>775</v>
      </c>
      <c r="C346" s="2" t="s">
        <v>672</v>
      </c>
      <c r="D346" s="2">
        <v>0.21</v>
      </c>
      <c r="E346" s="14">
        <f>D346*E341/100</f>
        <v>0.21</v>
      </c>
      <c r="F346" s="31"/>
      <c r="G346" s="14"/>
      <c r="H346" s="13"/>
      <c r="I346" s="13"/>
      <c r="J346" s="35">
        <f>ROUND(IF(ISNUMBER(MATCH(B346,E!$B$6:$B$197,0)),VLOOKUP(B346,E!$B$6:$E$197,2,FALSE),IF(#REF!="დიახ",IF(VLOOKUP(B346,M!$B$6:$I$733,8,FALSE)="ლ",VLOOKUP(B346,M!$B$6:$I$733,3,FALSE)*0.001*#REF!*#REF!,IF(VLOOKUP(B346,M!$B$6:$I$733,8,FALSE)="მბ",VLOOKUP(B346,M!$B$6:$I$733,3,FALSE)*0.001*#REF!*#REF!,IF(VLOOKUP(B346,M!$B$6:$I$733,8,FALSE)="აბ",VLOOKUP(B346,M!$B$6:$I$733,3,FALSE)*0.001*#REF!*#REF!,IF(VLOOKUP(B346,M!$B$6:$I$733,8,FALSE)="ინ",VLOOKUP(B346,M!$B$6:$I$733,3,FALSE)*0.001*#REF!*#REF!,IF(VLOOKUP(B346,M!$B$6:$I$733,8,FALSE)="ას",VLOOKUP(B346,M!$B$6:$I$733,3,FALSE)*0.001*#REF!*#REF!,IF(VLOOKUP(B346,M!$B$6:$I$733,8,FALSE)="სხ",VLOOKUP(B346,M!$B$6:$I$733,3,FALSE)*0.001*#REF!*#REF!,IF(VLOOKUP(B346,M!$B$6:$I$733,8,FALSE)="ხმ",VLOOKUP(B346,M!$B$6:$I$733,3,FALSE)*0.001*#REF!*#REF!))))))))),2)</f>
        <v>17.72</v>
      </c>
      <c r="K346" s="31">
        <f t="shared" si="86"/>
        <v>3.72</v>
      </c>
      <c r="L346" s="14">
        <f t="shared" si="87"/>
        <v>3.72</v>
      </c>
      <c r="M346" s="23" t="str">
        <f>(IF(ISNUMBER(MATCH(B346,E!$B$6:$B$197,0)),VLOOKUP(B346,E!$B$6:$E$197,4,FALSE),VLOOKUP(B346,M!$B$6:$I$733,7,FALSE)))</f>
        <v>14-314</v>
      </c>
    </row>
    <row r="347" spans="1:13" ht="39.950000000000003" customHeight="1" x14ac:dyDescent="0.25">
      <c r="A347" s="16" t="s">
        <v>696</v>
      </c>
      <c r="B347" s="2" t="s">
        <v>939</v>
      </c>
      <c r="C347" s="2" t="s">
        <v>595</v>
      </c>
      <c r="D347" s="2">
        <v>101</v>
      </c>
      <c r="E347" s="14">
        <f>D347*E341/100</f>
        <v>101</v>
      </c>
      <c r="F347" s="31" t="e">
        <f>ROUND(VLOOKUP(B347,M!$B$6:$H$733,IF(#REF!="დაბალი",4,IF(#REF!="საშუალო",6,IF(#REF!="მაღალი",5))),FALSE),2)</f>
        <v>#REF!</v>
      </c>
      <c r="G347" s="14" t="e">
        <f>ROUND(E347*F347,2)</f>
        <v>#REF!</v>
      </c>
      <c r="H347" s="13"/>
      <c r="I347" s="13"/>
      <c r="J347" s="35"/>
      <c r="K347" s="31"/>
      <c r="L347" s="14" t="e">
        <f t="shared" si="87"/>
        <v>#REF!</v>
      </c>
      <c r="M347" s="23" t="str">
        <f>(IF(ISNUMBER(MATCH(B347,E!$B$6:$B$197,0)),VLOOKUP(B347,E!$B$6:$E$197,4,FALSE),VLOOKUP(B347,M!$B$6:$I$733,7,FALSE)))</f>
        <v>2.6-120</v>
      </c>
    </row>
    <row r="348" spans="1:13" ht="39.950000000000003" customHeight="1" x14ac:dyDescent="0.25">
      <c r="A348" s="16" t="s">
        <v>733</v>
      </c>
      <c r="B348" s="2" t="s">
        <v>693</v>
      </c>
      <c r="C348" s="2" t="s">
        <v>460</v>
      </c>
      <c r="D348" s="2">
        <v>7.1</v>
      </c>
      <c r="E348" s="14">
        <f>D348*E341/100</f>
        <v>7.1</v>
      </c>
      <c r="F348" s="31" t="e">
        <f>ROUND(VLOOKUP(B348,M!$B$6:$H$733,IF(#REF!="დაბალი",4,IF(#REF!="საშუალო",6,IF(#REF!="მაღალი",5))),FALSE),2)</f>
        <v>#REF!</v>
      </c>
      <c r="G348" s="14" t="e">
        <f>ROUND(E348*F348,2)</f>
        <v>#REF!</v>
      </c>
      <c r="H348" s="13"/>
      <c r="I348" s="13"/>
      <c r="J348" s="35"/>
      <c r="K348" s="31"/>
      <c r="L348" s="14" t="e">
        <f t="shared" si="87"/>
        <v>#REF!</v>
      </c>
      <c r="M348" s="23" t="str">
        <f>(IF(ISNUMBER(MATCH(B348,E!$B$6:$B$197,0)),VLOOKUP(B348,E!$B$6:$E$197,4,FALSE),VLOOKUP(B348,M!$B$6:$I$733,7,FALSE)))</f>
        <v>საბ.</v>
      </c>
    </row>
    <row r="349" spans="1:13" s="45" customFormat="1" ht="39.950000000000003" customHeight="1" x14ac:dyDescent="0.25">
      <c r="A349" s="39">
        <v>1.1000000000000001</v>
      </c>
      <c r="B349" s="40" t="s">
        <v>952</v>
      </c>
      <c r="C349" s="41" t="s">
        <v>808</v>
      </c>
      <c r="D349" s="41"/>
      <c r="E349" s="52">
        <v>100</v>
      </c>
      <c r="F349" s="46"/>
      <c r="G349" s="43"/>
      <c r="H349" s="42"/>
      <c r="I349" s="42"/>
      <c r="J349" s="65"/>
      <c r="K349" s="46"/>
      <c r="L349" s="43" t="e">
        <f>SUM(L350:L356)</f>
        <v>#REF!</v>
      </c>
      <c r="M349" s="84" t="s">
        <v>910</v>
      </c>
    </row>
    <row r="350" spans="1:13" ht="39.950000000000003" customHeight="1" x14ac:dyDescent="0.25">
      <c r="A350" s="16" t="s">
        <v>668</v>
      </c>
      <c r="B350" s="17" t="s">
        <v>669</v>
      </c>
      <c r="C350" s="2" t="s">
        <v>670</v>
      </c>
      <c r="D350" s="2">
        <v>57.96</v>
      </c>
      <c r="E350" s="14">
        <f>D350*E349/100</f>
        <v>57.96</v>
      </c>
      <c r="F350" s="31"/>
      <c r="G350" s="14"/>
      <c r="H350" s="27">
        <f>IF((ISNUMBER(--LEFT(M349,2))),VLOOKUP(--LEFT(M349,2),N!$A$5:$C$54,3,FALSE),VLOOKUP(--LEFT(M349,1),N!$A$5:$C$54,3,FALSE))</f>
        <v>6</v>
      </c>
      <c r="I350" s="14">
        <f>ROUND(E350*H350,2)</f>
        <v>347.76</v>
      </c>
      <c r="J350" s="35"/>
      <c r="K350" s="31"/>
      <c r="L350" s="14">
        <f>G350+I350+K350</f>
        <v>347.76</v>
      </c>
      <c r="M350" s="23" t="str">
        <f>(IF(ISNUMBER(MATCH(B350,E!$B$6:$B$197,0)),VLOOKUP(B350,E!$B$6:$E$197,4,FALSE),VLOOKUP(B350,M!$B$6:$I$733,7,FALSE)))</f>
        <v>მ.ც</v>
      </c>
    </row>
    <row r="351" spans="1:13" ht="39.950000000000003" customHeight="1" x14ac:dyDescent="0.25">
      <c r="A351" s="16" t="s">
        <v>671</v>
      </c>
      <c r="B351" s="2" t="s">
        <v>169</v>
      </c>
      <c r="C351" s="2" t="s">
        <v>672</v>
      </c>
      <c r="D351" s="2">
        <v>0.33</v>
      </c>
      <c r="E351" s="14">
        <f>D351*E349/100</f>
        <v>0.33</v>
      </c>
      <c r="F351" s="31"/>
      <c r="G351" s="14"/>
      <c r="H351" s="13"/>
      <c r="I351" s="13"/>
      <c r="J351" s="35">
        <f>ROUND(IF(ISNUMBER(MATCH(B351,E!$B$6:$B$197,0)),VLOOKUP(B351,E!$B$6:$E$197,2,FALSE),IF(#REF!="დიახ",IF(VLOOKUP(B351,M!$B$6:$I$733,8,FALSE)="ლ",VLOOKUP(B351,M!$B$6:$I$733,3,FALSE)*0.001*#REF!*#REF!,IF(VLOOKUP(B351,M!$B$6:$I$733,8,FALSE)="მბ",VLOOKUP(B351,M!$B$6:$I$733,3,FALSE)*0.001*#REF!*#REF!,IF(VLOOKUP(B351,M!$B$6:$I$733,8,FALSE)="აბ",VLOOKUP(B351,M!$B$6:$I$733,3,FALSE)*0.001*#REF!*#REF!,IF(VLOOKUP(B351,M!$B$6:$I$733,8,FALSE)="ინ",VLOOKUP(B351,M!$B$6:$I$733,3,FALSE)*0.001*#REF!*#REF!,IF(VLOOKUP(B351,M!$B$6:$I$733,8,FALSE)="ას",VLOOKUP(B351,M!$B$6:$I$733,3,FALSE)*0.001*#REF!*#REF!,IF(VLOOKUP(B351,M!$B$6:$I$733,8,FALSE)="სხ",VLOOKUP(B351,M!$B$6:$I$733,3,FALSE)*0.001*#REF!*#REF!,IF(VLOOKUP(B351,M!$B$6:$I$733,8,FALSE)="ხმ",VLOOKUP(B351,M!$B$6:$I$733,3,FALSE)*0.001*#REF!*#REF!))))))))),2)</f>
        <v>15.06</v>
      </c>
      <c r="K351" s="31">
        <f>ROUND(E351*J351,2)</f>
        <v>4.97</v>
      </c>
      <c r="L351" s="14">
        <f>G351+I351+K351</f>
        <v>4.97</v>
      </c>
      <c r="M351" s="23" t="str">
        <f>(IF(ISNUMBER(MATCH(B351,E!$B$6:$B$197,0)),VLOOKUP(B351,E!$B$6:$E$197,4,FALSE),VLOOKUP(B351,M!$B$6:$I$733,7,FALSE)))</f>
        <v>14-43</v>
      </c>
    </row>
    <row r="352" spans="1:13" ht="39.950000000000003" customHeight="1" x14ac:dyDescent="0.25">
      <c r="A352" s="16" t="s">
        <v>673</v>
      </c>
      <c r="B352" s="2" t="s">
        <v>601</v>
      </c>
      <c r="C352" s="2" t="s">
        <v>672</v>
      </c>
      <c r="D352" s="2">
        <v>32.89</v>
      </c>
      <c r="E352" s="14">
        <f>D352*E349/100</f>
        <v>32.89</v>
      </c>
      <c r="F352" s="31"/>
      <c r="G352" s="14"/>
      <c r="H352" s="13"/>
      <c r="I352" s="13"/>
      <c r="J352" s="35">
        <f>ROUND(IF(ISNUMBER(MATCH(B352,E!$B$6:$B$197,0)),VLOOKUP(B352,E!$B$6:$E$197,2,FALSE),IF(#REF!="დიახ",IF(VLOOKUP(B352,M!$B$6:$I$733,8,FALSE)="ლ",VLOOKUP(B352,M!$B$6:$I$733,3,FALSE)*0.001*#REF!*#REF!,IF(VLOOKUP(B352,M!$B$6:$I$733,8,FALSE)="მბ",VLOOKUP(B352,M!$B$6:$I$733,3,FALSE)*0.001*#REF!*#REF!,IF(VLOOKUP(B352,M!$B$6:$I$733,8,FALSE)="აბ",VLOOKUP(B352,M!$B$6:$I$733,3,FALSE)*0.001*#REF!*#REF!,IF(VLOOKUP(B352,M!$B$6:$I$733,8,FALSE)="ინ",VLOOKUP(B352,M!$B$6:$I$733,3,FALSE)*0.001*#REF!*#REF!,IF(VLOOKUP(B352,M!$B$6:$I$733,8,FALSE)="ას",VLOOKUP(B352,M!$B$6:$I$733,3,FALSE)*0.001*#REF!*#REF!,IF(VLOOKUP(B352,M!$B$6:$I$733,8,FALSE)="სხ",VLOOKUP(B352,M!$B$6:$I$733,3,FALSE)*0.001*#REF!*#REF!,IF(VLOOKUP(B352,M!$B$6:$I$733,8,FALSE)="ხმ",VLOOKUP(B352,M!$B$6:$I$733,3,FALSE)*0.001*#REF!*#REF!))))))))),2)</f>
        <v>45.75</v>
      </c>
      <c r="K352" s="31">
        <f t="shared" ref="K352:K354" si="88">ROUND(E352*J352,2)</f>
        <v>1504.72</v>
      </c>
      <c r="L352" s="14">
        <f>G352+I352+K352</f>
        <v>1504.72</v>
      </c>
      <c r="M352" s="23" t="str">
        <f>(IF(ISNUMBER(MATCH(B352,E!$B$6:$B$197,0)),VLOOKUP(B352,E!$B$6:$E$197,4,FALSE),VLOOKUP(B352,M!$B$6:$I$733,7,FALSE)))</f>
        <v>14-265</v>
      </c>
    </row>
    <row r="353" spans="1:13" ht="39.950000000000003" customHeight="1" x14ac:dyDescent="0.25">
      <c r="A353" s="16" t="s">
        <v>675</v>
      </c>
      <c r="B353" s="2" t="s">
        <v>911</v>
      </c>
      <c r="C353" s="2" t="s">
        <v>672</v>
      </c>
      <c r="D353" s="2">
        <v>14.89</v>
      </c>
      <c r="E353" s="14">
        <f>D353*E349/100</f>
        <v>14.89</v>
      </c>
      <c r="F353" s="31"/>
      <c r="G353" s="14"/>
      <c r="H353" s="13"/>
      <c r="I353" s="13"/>
      <c r="J353" s="35">
        <f>ROUND(IF(ISNUMBER(MATCH(B353,E!$B$6:$B$197,0)),VLOOKUP(B353,E!$B$6:$E$197,2,FALSE),IF(#REF!="დიახ",IF(VLOOKUP(B353,M!$B$6:$I$733,8,FALSE)="ლ",VLOOKUP(B353,M!$B$6:$I$733,3,FALSE)*0.001*#REF!*#REF!,IF(VLOOKUP(B353,M!$B$6:$I$733,8,FALSE)="მბ",VLOOKUP(B353,M!$B$6:$I$733,3,FALSE)*0.001*#REF!*#REF!,IF(VLOOKUP(B353,M!$B$6:$I$733,8,FALSE)="აბ",VLOOKUP(B353,M!$B$6:$I$733,3,FALSE)*0.001*#REF!*#REF!,IF(VLOOKUP(B353,M!$B$6:$I$733,8,FALSE)="ინ",VLOOKUP(B353,M!$B$6:$I$733,3,FALSE)*0.001*#REF!*#REF!,IF(VLOOKUP(B353,M!$B$6:$I$733,8,FALSE)="ას",VLOOKUP(B353,M!$B$6:$I$733,3,FALSE)*0.001*#REF!*#REF!,IF(VLOOKUP(B353,M!$B$6:$I$733,8,FALSE)="სხ",VLOOKUP(B353,M!$B$6:$I$733,3,FALSE)*0.001*#REF!*#REF!,IF(VLOOKUP(B353,M!$B$6:$I$733,8,FALSE)="ხმ",VLOOKUP(B353,M!$B$6:$I$733,3,FALSE)*0.001*#REF!*#REF!))))))))),2)</f>
        <v>25.1</v>
      </c>
      <c r="K353" s="31">
        <f t="shared" si="88"/>
        <v>373.74</v>
      </c>
      <c r="L353" s="14">
        <f t="shared" ref="L353:L356" si="89">G353+I353+K353</f>
        <v>373.74</v>
      </c>
      <c r="M353" s="23" t="str">
        <f>(IF(ISNUMBER(MATCH(B353,E!$B$6:$B$197,0)),VLOOKUP(B353,E!$B$6:$E$197,4,FALSE),VLOOKUP(B353,M!$B$6:$I$733,7,FALSE)))</f>
        <v>14-257</v>
      </c>
    </row>
    <row r="354" spans="1:13" ht="39.950000000000003" customHeight="1" x14ac:dyDescent="0.25">
      <c r="A354" s="16" t="s">
        <v>695</v>
      </c>
      <c r="B354" s="2" t="s">
        <v>775</v>
      </c>
      <c r="C354" s="2" t="s">
        <v>672</v>
      </c>
      <c r="D354" s="2">
        <v>0.33</v>
      </c>
      <c r="E354" s="14">
        <f>D354*E349/100</f>
        <v>0.33</v>
      </c>
      <c r="F354" s="31"/>
      <c r="G354" s="14"/>
      <c r="H354" s="13"/>
      <c r="I354" s="13"/>
      <c r="J354" s="35">
        <f>ROUND(IF(ISNUMBER(MATCH(B354,E!$B$6:$B$197,0)),VLOOKUP(B354,E!$B$6:$E$197,2,FALSE),IF(#REF!="დიახ",IF(VLOOKUP(B354,M!$B$6:$I$733,8,FALSE)="ლ",VLOOKUP(B354,M!$B$6:$I$733,3,FALSE)*0.001*#REF!*#REF!,IF(VLOOKUP(B354,M!$B$6:$I$733,8,FALSE)="მბ",VLOOKUP(B354,M!$B$6:$I$733,3,FALSE)*0.001*#REF!*#REF!,IF(VLOOKUP(B354,M!$B$6:$I$733,8,FALSE)="აბ",VLOOKUP(B354,M!$B$6:$I$733,3,FALSE)*0.001*#REF!*#REF!,IF(VLOOKUP(B354,M!$B$6:$I$733,8,FALSE)="ინ",VLOOKUP(B354,M!$B$6:$I$733,3,FALSE)*0.001*#REF!*#REF!,IF(VLOOKUP(B354,M!$B$6:$I$733,8,FALSE)="ას",VLOOKUP(B354,M!$B$6:$I$733,3,FALSE)*0.001*#REF!*#REF!,IF(VLOOKUP(B354,M!$B$6:$I$733,8,FALSE)="სხ",VLOOKUP(B354,M!$B$6:$I$733,3,FALSE)*0.001*#REF!*#REF!,IF(VLOOKUP(B354,M!$B$6:$I$733,8,FALSE)="ხმ",VLOOKUP(B354,M!$B$6:$I$733,3,FALSE)*0.001*#REF!*#REF!))))))))),2)</f>
        <v>17.72</v>
      </c>
      <c r="K354" s="31">
        <f t="shared" si="88"/>
        <v>5.85</v>
      </c>
      <c r="L354" s="14">
        <f t="shared" si="89"/>
        <v>5.85</v>
      </c>
      <c r="M354" s="23" t="str">
        <f>(IF(ISNUMBER(MATCH(B354,E!$B$6:$B$197,0)),VLOOKUP(B354,E!$B$6:$E$197,4,FALSE),VLOOKUP(B354,M!$B$6:$I$733,7,FALSE)))</f>
        <v>14-314</v>
      </c>
    </row>
    <row r="355" spans="1:13" ht="39.950000000000003" customHeight="1" x14ac:dyDescent="0.25">
      <c r="A355" s="16" t="s">
        <v>696</v>
      </c>
      <c r="B355" s="2" t="s">
        <v>943</v>
      </c>
      <c r="C355" s="2" t="s">
        <v>595</v>
      </c>
      <c r="D355" s="2">
        <v>101</v>
      </c>
      <c r="E355" s="14">
        <f>D355*E349/100</f>
        <v>101</v>
      </c>
      <c r="F355" s="31" t="e">
        <f>ROUND(VLOOKUP(B355,M!$B$6:$H$733,IF(#REF!="დაბალი",4,IF(#REF!="საშუალო",6,IF(#REF!="მაღალი",5))),FALSE),2)</f>
        <v>#REF!</v>
      </c>
      <c r="G355" s="14" t="e">
        <f>ROUND(E355*F355,2)</f>
        <v>#REF!</v>
      </c>
      <c r="H355" s="13"/>
      <c r="I355" s="13"/>
      <c r="J355" s="35"/>
      <c r="K355" s="31"/>
      <c r="L355" s="14" t="e">
        <f t="shared" si="89"/>
        <v>#REF!</v>
      </c>
      <c r="M355" s="23" t="str">
        <f>(IF(ISNUMBER(MATCH(B355,E!$B$6:$B$197,0)),VLOOKUP(B355,E!$B$6:$E$197,4,FALSE),VLOOKUP(B355,M!$B$6:$I$733,7,FALSE)))</f>
        <v>2.6-122</v>
      </c>
    </row>
    <row r="356" spans="1:13" ht="39.950000000000003" customHeight="1" x14ac:dyDescent="0.25">
      <c r="A356" s="16" t="s">
        <v>733</v>
      </c>
      <c r="B356" s="2" t="s">
        <v>693</v>
      </c>
      <c r="C356" s="2" t="s">
        <v>460</v>
      </c>
      <c r="D356" s="2">
        <v>12.6</v>
      </c>
      <c r="E356" s="14">
        <f>D356*E349/100</f>
        <v>12.6</v>
      </c>
      <c r="F356" s="31" t="e">
        <f>ROUND(VLOOKUP(B356,M!$B$6:$H$733,IF(#REF!="დაბალი",4,IF(#REF!="საშუალო",6,IF(#REF!="მაღალი",5))),FALSE),2)</f>
        <v>#REF!</v>
      </c>
      <c r="G356" s="14" t="e">
        <f>ROUND(E356*F356,2)</f>
        <v>#REF!</v>
      </c>
      <c r="H356" s="13"/>
      <c r="I356" s="13"/>
      <c r="J356" s="35"/>
      <c r="K356" s="31"/>
      <c r="L356" s="14" t="e">
        <f t="shared" si="89"/>
        <v>#REF!</v>
      </c>
      <c r="M356" s="23" t="str">
        <f>(IF(ISNUMBER(MATCH(B356,E!$B$6:$B$197,0)),VLOOKUP(B356,E!$B$6:$E$197,4,FALSE),VLOOKUP(B356,M!$B$6:$I$733,7,FALSE)))</f>
        <v>საბ.</v>
      </c>
    </row>
    <row r="357" spans="1:13" s="45" customFormat="1" ht="39.950000000000003" customHeight="1" x14ac:dyDescent="0.25">
      <c r="A357" s="39">
        <v>1.1000000000000001</v>
      </c>
      <c r="B357" s="40" t="s">
        <v>953</v>
      </c>
      <c r="C357" s="41" t="s">
        <v>808</v>
      </c>
      <c r="D357" s="41"/>
      <c r="E357" s="52">
        <v>100</v>
      </c>
      <c r="F357" s="46"/>
      <c r="G357" s="43"/>
      <c r="H357" s="42"/>
      <c r="I357" s="42"/>
      <c r="J357" s="65"/>
      <c r="K357" s="46"/>
      <c r="L357" s="43" t="e">
        <f>SUM(L358:L364)</f>
        <v>#REF!</v>
      </c>
      <c r="M357" s="84" t="s">
        <v>910</v>
      </c>
    </row>
    <row r="358" spans="1:13" ht="39.950000000000003" customHeight="1" x14ac:dyDescent="0.25">
      <c r="A358" s="16" t="s">
        <v>668</v>
      </c>
      <c r="B358" s="17" t="s">
        <v>669</v>
      </c>
      <c r="C358" s="2" t="s">
        <v>670</v>
      </c>
      <c r="D358" s="2">
        <v>70.88</v>
      </c>
      <c r="E358" s="14">
        <f>D358*E357/100</f>
        <v>70.88</v>
      </c>
      <c r="F358" s="31"/>
      <c r="G358" s="14"/>
      <c r="H358" s="27">
        <f>IF((ISNUMBER(--LEFT(M357,2))),VLOOKUP(--LEFT(M357,2),N!$A$5:$C$54,3,FALSE),VLOOKUP(--LEFT(M357,1),N!$A$5:$C$54,3,FALSE))</f>
        <v>6</v>
      </c>
      <c r="I358" s="14">
        <f>ROUND(E358*H358,2)</f>
        <v>425.28</v>
      </c>
      <c r="J358" s="35"/>
      <c r="K358" s="31"/>
      <c r="L358" s="14">
        <f>G358+I358+K358</f>
        <v>425.28</v>
      </c>
      <c r="M358" s="23" t="str">
        <f>(IF(ISNUMBER(MATCH(B358,E!$B$6:$B$197,0)),VLOOKUP(B358,E!$B$6:$E$197,4,FALSE),VLOOKUP(B358,M!$B$6:$I$733,7,FALSE)))</f>
        <v>მ.ც</v>
      </c>
    </row>
    <row r="359" spans="1:13" ht="39.950000000000003" customHeight="1" x14ac:dyDescent="0.25">
      <c r="A359" s="16" t="s">
        <v>671</v>
      </c>
      <c r="B359" s="2" t="s">
        <v>169</v>
      </c>
      <c r="C359" s="2" t="s">
        <v>672</v>
      </c>
      <c r="D359" s="2">
        <v>0.39</v>
      </c>
      <c r="E359" s="14">
        <f>D359*E357/100</f>
        <v>0.39</v>
      </c>
      <c r="F359" s="31"/>
      <c r="G359" s="14"/>
      <c r="H359" s="13"/>
      <c r="I359" s="13"/>
      <c r="J359" s="35">
        <f>ROUND(IF(ISNUMBER(MATCH(B359,E!$B$6:$B$197,0)),VLOOKUP(B359,E!$B$6:$E$197,2,FALSE),IF(#REF!="დიახ",IF(VLOOKUP(B359,M!$B$6:$I$733,8,FALSE)="ლ",VLOOKUP(B359,M!$B$6:$I$733,3,FALSE)*0.001*#REF!*#REF!,IF(VLOOKUP(B359,M!$B$6:$I$733,8,FALSE)="მბ",VLOOKUP(B359,M!$B$6:$I$733,3,FALSE)*0.001*#REF!*#REF!,IF(VLOOKUP(B359,M!$B$6:$I$733,8,FALSE)="აბ",VLOOKUP(B359,M!$B$6:$I$733,3,FALSE)*0.001*#REF!*#REF!,IF(VLOOKUP(B359,M!$B$6:$I$733,8,FALSE)="ინ",VLOOKUP(B359,M!$B$6:$I$733,3,FALSE)*0.001*#REF!*#REF!,IF(VLOOKUP(B359,M!$B$6:$I$733,8,FALSE)="ას",VLOOKUP(B359,M!$B$6:$I$733,3,FALSE)*0.001*#REF!*#REF!,IF(VLOOKUP(B359,M!$B$6:$I$733,8,FALSE)="სხ",VLOOKUP(B359,M!$B$6:$I$733,3,FALSE)*0.001*#REF!*#REF!,IF(VLOOKUP(B359,M!$B$6:$I$733,8,FALSE)="ხმ",VLOOKUP(B359,M!$B$6:$I$733,3,FALSE)*0.001*#REF!*#REF!))))))))),2)</f>
        <v>15.06</v>
      </c>
      <c r="K359" s="31">
        <f>ROUND(E359*J359,2)</f>
        <v>5.87</v>
      </c>
      <c r="L359" s="14">
        <f>G359+I359+K359</f>
        <v>5.87</v>
      </c>
      <c r="M359" s="23" t="str">
        <f>(IF(ISNUMBER(MATCH(B359,E!$B$6:$B$197,0)),VLOOKUP(B359,E!$B$6:$E$197,4,FALSE),VLOOKUP(B359,M!$B$6:$I$733,7,FALSE)))</f>
        <v>14-43</v>
      </c>
    </row>
    <row r="360" spans="1:13" ht="39.950000000000003" customHeight="1" x14ac:dyDescent="0.25">
      <c r="A360" s="16" t="s">
        <v>673</v>
      </c>
      <c r="B360" s="2" t="s">
        <v>601</v>
      </c>
      <c r="C360" s="2" t="s">
        <v>672</v>
      </c>
      <c r="D360" s="2">
        <v>42.02</v>
      </c>
      <c r="E360" s="14">
        <f>D360*E357/100</f>
        <v>42.02</v>
      </c>
      <c r="F360" s="31"/>
      <c r="G360" s="14"/>
      <c r="H360" s="13"/>
      <c r="I360" s="13"/>
      <c r="J360" s="35">
        <f>ROUND(IF(ISNUMBER(MATCH(B360,E!$B$6:$B$197,0)),VLOOKUP(B360,E!$B$6:$E$197,2,FALSE),IF(#REF!="დიახ",IF(VLOOKUP(B360,M!$B$6:$I$733,8,FALSE)="ლ",VLOOKUP(B360,M!$B$6:$I$733,3,FALSE)*0.001*#REF!*#REF!,IF(VLOOKUP(B360,M!$B$6:$I$733,8,FALSE)="მბ",VLOOKUP(B360,M!$B$6:$I$733,3,FALSE)*0.001*#REF!*#REF!,IF(VLOOKUP(B360,M!$B$6:$I$733,8,FALSE)="აბ",VLOOKUP(B360,M!$B$6:$I$733,3,FALSE)*0.001*#REF!*#REF!,IF(VLOOKUP(B360,M!$B$6:$I$733,8,FALSE)="ინ",VLOOKUP(B360,M!$B$6:$I$733,3,FALSE)*0.001*#REF!*#REF!,IF(VLOOKUP(B360,M!$B$6:$I$733,8,FALSE)="ას",VLOOKUP(B360,M!$B$6:$I$733,3,FALSE)*0.001*#REF!*#REF!,IF(VLOOKUP(B360,M!$B$6:$I$733,8,FALSE)="სხ",VLOOKUP(B360,M!$B$6:$I$733,3,FALSE)*0.001*#REF!*#REF!,IF(VLOOKUP(B360,M!$B$6:$I$733,8,FALSE)="ხმ",VLOOKUP(B360,M!$B$6:$I$733,3,FALSE)*0.001*#REF!*#REF!))))))))),2)</f>
        <v>45.75</v>
      </c>
      <c r="K360" s="31">
        <f t="shared" ref="K360:K362" si="90">ROUND(E360*J360,2)</f>
        <v>1922.42</v>
      </c>
      <c r="L360" s="14">
        <f>G360+I360+K360</f>
        <v>1922.42</v>
      </c>
      <c r="M360" s="23" t="str">
        <f>(IF(ISNUMBER(MATCH(B360,E!$B$6:$B$197,0)),VLOOKUP(B360,E!$B$6:$E$197,4,FALSE),VLOOKUP(B360,M!$B$6:$I$733,7,FALSE)))</f>
        <v>14-265</v>
      </c>
    </row>
    <row r="361" spans="1:13" ht="39.950000000000003" customHeight="1" x14ac:dyDescent="0.25">
      <c r="A361" s="16" t="s">
        <v>675</v>
      </c>
      <c r="B361" s="2" t="s">
        <v>911</v>
      </c>
      <c r="C361" s="2" t="s">
        <v>672</v>
      </c>
      <c r="D361" s="2">
        <v>18.02</v>
      </c>
      <c r="E361" s="14">
        <f>D361*E357/100</f>
        <v>18.02</v>
      </c>
      <c r="F361" s="31"/>
      <c r="G361" s="14"/>
      <c r="H361" s="13"/>
      <c r="I361" s="13"/>
      <c r="J361" s="35">
        <f>ROUND(IF(ISNUMBER(MATCH(B361,E!$B$6:$B$197,0)),VLOOKUP(B361,E!$B$6:$E$197,2,FALSE),IF(#REF!="დიახ",IF(VLOOKUP(B361,M!$B$6:$I$733,8,FALSE)="ლ",VLOOKUP(B361,M!$B$6:$I$733,3,FALSE)*0.001*#REF!*#REF!,IF(VLOOKUP(B361,M!$B$6:$I$733,8,FALSE)="მბ",VLOOKUP(B361,M!$B$6:$I$733,3,FALSE)*0.001*#REF!*#REF!,IF(VLOOKUP(B361,M!$B$6:$I$733,8,FALSE)="აბ",VLOOKUP(B361,M!$B$6:$I$733,3,FALSE)*0.001*#REF!*#REF!,IF(VLOOKUP(B361,M!$B$6:$I$733,8,FALSE)="ინ",VLOOKUP(B361,M!$B$6:$I$733,3,FALSE)*0.001*#REF!*#REF!,IF(VLOOKUP(B361,M!$B$6:$I$733,8,FALSE)="ას",VLOOKUP(B361,M!$B$6:$I$733,3,FALSE)*0.001*#REF!*#REF!,IF(VLOOKUP(B361,M!$B$6:$I$733,8,FALSE)="სხ",VLOOKUP(B361,M!$B$6:$I$733,3,FALSE)*0.001*#REF!*#REF!,IF(VLOOKUP(B361,M!$B$6:$I$733,8,FALSE)="ხმ",VLOOKUP(B361,M!$B$6:$I$733,3,FALSE)*0.001*#REF!*#REF!))))))))),2)</f>
        <v>25.1</v>
      </c>
      <c r="K361" s="31">
        <f t="shared" si="90"/>
        <v>452.3</v>
      </c>
      <c r="L361" s="14">
        <f t="shared" ref="L361:L364" si="91">G361+I361+K361</f>
        <v>452.3</v>
      </c>
      <c r="M361" s="23" t="str">
        <f>(IF(ISNUMBER(MATCH(B361,E!$B$6:$B$197,0)),VLOOKUP(B361,E!$B$6:$E$197,4,FALSE),VLOOKUP(B361,M!$B$6:$I$733,7,FALSE)))</f>
        <v>14-257</v>
      </c>
    </row>
    <row r="362" spans="1:13" ht="39.950000000000003" customHeight="1" x14ac:dyDescent="0.25">
      <c r="A362" s="16" t="s">
        <v>695</v>
      </c>
      <c r="B362" s="2" t="s">
        <v>775</v>
      </c>
      <c r="C362" s="2" t="s">
        <v>672</v>
      </c>
      <c r="D362" s="2">
        <v>0.39</v>
      </c>
      <c r="E362" s="14">
        <f>D362*E357/100</f>
        <v>0.39</v>
      </c>
      <c r="F362" s="31"/>
      <c r="G362" s="14"/>
      <c r="H362" s="13"/>
      <c r="I362" s="13"/>
      <c r="J362" s="35">
        <f>ROUND(IF(ISNUMBER(MATCH(B362,E!$B$6:$B$197,0)),VLOOKUP(B362,E!$B$6:$E$197,2,FALSE),IF(#REF!="დიახ",IF(VLOOKUP(B362,M!$B$6:$I$733,8,FALSE)="ლ",VLOOKUP(B362,M!$B$6:$I$733,3,FALSE)*0.001*#REF!*#REF!,IF(VLOOKUP(B362,M!$B$6:$I$733,8,FALSE)="მბ",VLOOKUP(B362,M!$B$6:$I$733,3,FALSE)*0.001*#REF!*#REF!,IF(VLOOKUP(B362,M!$B$6:$I$733,8,FALSE)="აბ",VLOOKUP(B362,M!$B$6:$I$733,3,FALSE)*0.001*#REF!*#REF!,IF(VLOOKUP(B362,M!$B$6:$I$733,8,FALSE)="ინ",VLOOKUP(B362,M!$B$6:$I$733,3,FALSE)*0.001*#REF!*#REF!,IF(VLOOKUP(B362,M!$B$6:$I$733,8,FALSE)="ას",VLOOKUP(B362,M!$B$6:$I$733,3,FALSE)*0.001*#REF!*#REF!,IF(VLOOKUP(B362,M!$B$6:$I$733,8,FALSE)="სხ",VLOOKUP(B362,M!$B$6:$I$733,3,FALSE)*0.001*#REF!*#REF!,IF(VLOOKUP(B362,M!$B$6:$I$733,8,FALSE)="ხმ",VLOOKUP(B362,M!$B$6:$I$733,3,FALSE)*0.001*#REF!*#REF!))))))))),2)</f>
        <v>17.72</v>
      </c>
      <c r="K362" s="31">
        <f t="shared" si="90"/>
        <v>6.91</v>
      </c>
      <c r="L362" s="14">
        <f t="shared" si="91"/>
        <v>6.91</v>
      </c>
      <c r="M362" s="23" t="str">
        <f>(IF(ISNUMBER(MATCH(B362,E!$B$6:$B$197,0)),VLOOKUP(B362,E!$B$6:$E$197,4,FALSE),VLOOKUP(B362,M!$B$6:$I$733,7,FALSE)))</f>
        <v>14-314</v>
      </c>
    </row>
    <row r="363" spans="1:13" ht="39.950000000000003" customHeight="1" x14ac:dyDescent="0.25">
      <c r="A363" s="16" t="s">
        <v>696</v>
      </c>
      <c r="B363" s="2" t="s">
        <v>945</v>
      </c>
      <c r="C363" s="2" t="s">
        <v>595</v>
      </c>
      <c r="D363" s="2">
        <v>101</v>
      </c>
      <c r="E363" s="14">
        <f>D363*E357/100</f>
        <v>101</v>
      </c>
      <c r="F363" s="31" t="e">
        <f>ROUND(VLOOKUP(B363,M!$B$6:$H$733,IF(#REF!="დაბალი",4,IF(#REF!="საშუალო",6,IF(#REF!="მაღალი",5))),FALSE),2)</f>
        <v>#REF!</v>
      </c>
      <c r="G363" s="14" t="e">
        <f>ROUND(E363*F363,2)</f>
        <v>#REF!</v>
      </c>
      <c r="H363" s="13"/>
      <c r="I363" s="13"/>
      <c r="J363" s="35"/>
      <c r="K363" s="31"/>
      <c r="L363" s="14" t="e">
        <f t="shared" si="91"/>
        <v>#REF!</v>
      </c>
      <c r="M363" s="23" t="str">
        <f>(IF(ISNUMBER(MATCH(B363,E!$B$6:$B$197,0)),VLOOKUP(B363,E!$B$6:$E$197,4,FALSE),VLOOKUP(B363,M!$B$6:$I$733,7,FALSE)))</f>
        <v>2.6-124</v>
      </c>
    </row>
    <row r="364" spans="1:13" ht="39.950000000000003" customHeight="1" x14ac:dyDescent="0.25">
      <c r="A364" s="16" t="s">
        <v>733</v>
      </c>
      <c r="B364" s="2" t="s">
        <v>693</v>
      </c>
      <c r="C364" s="2" t="s">
        <v>460</v>
      </c>
      <c r="D364" s="2">
        <v>19.600000000000001</v>
      </c>
      <c r="E364" s="14">
        <f>D364*E357/100</f>
        <v>19.600000000000001</v>
      </c>
      <c r="F364" s="31" t="e">
        <f>ROUND(VLOOKUP(B364,M!$B$6:$H$733,IF(#REF!="დაბალი",4,IF(#REF!="საშუალო",6,IF(#REF!="მაღალი",5))),FALSE),2)</f>
        <v>#REF!</v>
      </c>
      <c r="G364" s="14" t="e">
        <f>ROUND(E364*F364,2)</f>
        <v>#REF!</v>
      </c>
      <c r="H364" s="13"/>
      <c r="I364" s="13"/>
      <c r="J364" s="35"/>
      <c r="K364" s="31"/>
      <c r="L364" s="14" t="e">
        <f t="shared" si="91"/>
        <v>#REF!</v>
      </c>
      <c r="M364" s="23" t="str">
        <f>(IF(ISNUMBER(MATCH(B364,E!$B$6:$B$197,0)),VLOOKUP(B364,E!$B$6:$E$197,4,FALSE),VLOOKUP(B364,M!$B$6:$I$733,7,FALSE)))</f>
        <v>საბ.</v>
      </c>
    </row>
    <row r="365" spans="1:13" s="45" customFormat="1" ht="39.950000000000003" customHeight="1" x14ac:dyDescent="0.25">
      <c r="A365" s="39">
        <v>1.1000000000000001</v>
      </c>
      <c r="B365" s="40" t="s">
        <v>957</v>
      </c>
      <c r="C365" s="41" t="s">
        <v>792</v>
      </c>
      <c r="D365" s="41"/>
      <c r="E365" s="43">
        <f>E368*1.5</f>
        <v>1.5</v>
      </c>
      <c r="F365" s="46"/>
      <c r="G365" s="43"/>
      <c r="H365" s="42"/>
      <c r="I365" s="42"/>
      <c r="J365" s="65"/>
      <c r="K365" s="46"/>
      <c r="L365" s="43" t="e">
        <f>SUM(L366:L373)</f>
        <v>#REF!</v>
      </c>
      <c r="M365" s="44" t="s">
        <v>956</v>
      </c>
    </row>
    <row r="366" spans="1:13" ht="39.950000000000003" customHeight="1" x14ac:dyDescent="0.25">
      <c r="A366" s="16" t="s">
        <v>668</v>
      </c>
      <c r="B366" s="17" t="s">
        <v>669</v>
      </c>
      <c r="C366" s="2" t="s">
        <v>670</v>
      </c>
      <c r="D366" s="2">
        <v>12.6</v>
      </c>
      <c r="E366" s="14">
        <f>D366*E365</f>
        <v>18.899999999999999</v>
      </c>
      <c r="F366" s="31"/>
      <c r="G366" s="14"/>
      <c r="H366" s="27">
        <f>IF((ISNUMBER(--LEFT(M365,2))),VLOOKUP(--LEFT(M365,2),N!$A$5:$C$54,3,FALSE),VLOOKUP(--LEFT(M365,1),N!$A$5:$C$54,3,FALSE))</f>
        <v>6</v>
      </c>
      <c r="I366" s="14">
        <f>ROUND(E366*H366,2)</f>
        <v>113.4</v>
      </c>
      <c r="J366" s="35"/>
      <c r="K366" s="31"/>
      <c r="L366" s="14">
        <f>G366+I366+K366</f>
        <v>113.4</v>
      </c>
      <c r="M366" s="23" t="str">
        <f>(IF(ISNUMBER(MATCH(B366,E!$B$6:$B$197,0)),VLOOKUP(B366,E!$B$6:$E$197,4,FALSE),VLOOKUP(B366,M!$B$6:$I$733,7,FALSE)))</f>
        <v>მ.ც</v>
      </c>
    </row>
    <row r="367" spans="1:13" ht="39.950000000000003" customHeight="1" x14ac:dyDescent="0.25">
      <c r="A367" s="16" t="s">
        <v>671</v>
      </c>
      <c r="B367" s="17" t="s">
        <v>654</v>
      </c>
      <c r="C367" s="2" t="s">
        <v>393</v>
      </c>
      <c r="D367" s="2">
        <v>5.08</v>
      </c>
      <c r="E367" s="14">
        <f>D367*E365</f>
        <v>7.62</v>
      </c>
      <c r="F367" s="69"/>
      <c r="G367" s="14"/>
      <c r="H367" s="13"/>
      <c r="I367" s="13"/>
      <c r="J367" s="35">
        <f>ROUND(IF(ISNUMBER(MATCH(B367,E!$B$6:$B$197,0)),VLOOKUP(B367,E!$B$6:$E$197,2,FALSE),IF(#REF!="დიახ",IF(VLOOKUP(B367,M!$B$6:$I$733,8,FALSE)="ლ",VLOOKUP(B367,M!$B$6:$I$733,3,FALSE)*0.001*#REF!*#REF!,IF(VLOOKUP(B367,M!$B$6:$I$733,8,FALSE)="მბ",VLOOKUP(B367,M!$B$6:$I$733,3,FALSE)*0.001*#REF!*#REF!,IF(VLOOKUP(B367,M!$B$6:$I$733,8,FALSE)="აბ",VLOOKUP(B367,M!$B$6:$I$733,3,FALSE)*0.001*#REF!*#REF!,IF(VLOOKUP(B367,M!$B$6:$I$733,8,FALSE)="ინ",VLOOKUP(B367,M!$B$6:$I$733,3,FALSE)*0.001*#REF!*#REF!,IF(VLOOKUP(B367,M!$B$6:$I$733,8,FALSE)="ას",VLOOKUP(B367,M!$B$6:$I$733,3,FALSE)*0.001*#REF!*#REF!,IF(VLOOKUP(B367,M!$B$6:$I$733,8,FALSE)="სხ",VLOOKUP(B367,M!$B$6:$I$733,3,FALSE)*0.001*#REF!*#REF!,IF(VLOOKUP(B367,M!$B$6:$I$733,8,FALSE)="ხმ",VLOOKUP(B367,M!$B$6:$I$733,3,FALSE)*0.001*#REF!*#REF!))))))))),2)</f>
        <v>3.2</v>
      </c>
      <c r="K367" s="31">
        <f>ROUND(E367*J367,2)</f>
        <v>24.38</v>
      </c>
      <c r="L367" s="14">
        <f t="shared" ref="L367:L373" si="92">G367+I367+K367</f>
        <v>24.38</v>
      </c>
      <c r="M367" s="23" t="str">
        <f>(IF(ISNUMBER(MATCH(B367,E!$B$6:$B$197,0)),VLOOKUP(B367,E!$B$6:$E$197,4,FALSE),VLOOKUP(B367,M!$B$6:$I$733,7,FALSE)))</f>
        <v>ს.რ.ფ</v>
      </c>
    </row>
    <row r="368" spans="1:13" ht="39.950000000000003" customHeight="1" x14ac:dyDescent="0.25">
      <c r="A368" s="16" t="s">
        <v>673</v>
      </c>
      <c r="B368" s="2" t="s">
        <v>297</v>
      </c>
      <c r="C368" s="2" t="s">
        <v>66</v>
      </c>
      <c r="D368" s="2" t="s">
        <v>827</v>
      </c>
      <c r="E368" s="14">
        <v>1</v>
      </c>
      <c r="F368" s="31" t="e">
        <f>ROUND(VLOOKUP(B368,M!$B$6:$H$733,IF(#REF!="დაბალი",4,IF(#REF!="საშუალო",6,IF(#REF!="მაღალი",5))),FALSE),2)</f>
        <v>#REF!</v>
      </c>
      <c r="G368" s="14" t="e">
        <f>ROUND(E368*F368,2)</f>
        <v>#REF!</v>
      </c>
      <c r="H368" s="13"/>
      <c r="I368" s="13"/>
      <c r="J368" s="35" t="e">
        <f>ROUND(IF(ISNUMBER(MATCH(B368,E!$B$6:$B$197,0)),VLOOKUP(B368,E!$B$6:$E$197,2,FALSE),IF(#REF!="დიახ",IF(VLOOKUP(B368,M!$B$6:$I$733,8,FALSE)="ლ",VLOOKUP(B368,M!$B$6:$I$733,3,FALSE)*0.001*#REF!*#REF!,IF(VLOOKUP(B368,M!$B$6:$I$733,8,FALSE)="მბ",VLOOKUP(B368,M!$B$6:$I$733,3,FALSE)*0.001*#REF!*#REF!,IF(VLOOKUP(B368,M!$B$6:$I$733,8,FALSE)="აბ",VLOOKUP(B368,M!$B$6:$I$733,3,FALSE)*0.001*#REF!*#REF!,IF(VLOOKUP(B368,M!$B$6:$I$733,8,FALSE)="ინ",VLOOKUP(B368,M!$B$6:$I$733,3,FALSE)*0.001*#REF!*#REF!,IF(VLOOKUP(B368,M!$B$6:$I$733,8,FALSE)="ას",VLOOKUP(B368,M!$B$6:$I$733,3,FALSE)*0.001*#REF!*#REF!,IF(VLOOKUP(B368,M!$B$6:$I$733,8,FALSE)="სხ",VLOOKUP(B368,M!$B$6:$I$733,3,FALSE)*0.001*#REF!*#REF!,IF(VLOOKUP(B368,M!$B$6:$I$733,8,FALSE)="ხმ",VLOOKUP(B368,M!$B$6:$I$733,3,FALSE)*0.001*#REF!*#REF!))))))))),2)</f>
        <v>#REF!</v>
      </c>
      <c r="K368" s="31" t="e">
        <f t="shared" ref="K368:K370" si="93">ROUND(E368*J368,2)</f>
        <v>#REF!</v>
      </c>
      <c r="L368" s="14" t="e">
        <f t="shared" si="92"/>
        <v>#REF!</v>
      </c>
      <c r="M368" s="23" t="str">
        <f>(IF(ISNUMBER(MATCH(B368,E!$B$6:$B$197,0)),VLOOKUP(B368,E!$B$6:$E$197,4,FALSE),VLOOKUP(B368,M!$B$6:$I$733,7,FALSE)))</f>
        <v>4.1-101</v>
      </c>
    </row>
    <row r="369" spans="1:13" ht="39.950000000000003" customHeight="1" x14ac:dyDescent="0.25">
      <c r="A369" s="16" t="s">
        <v>675</v>
      </c>
      <c r="B369" s="2" t="s">
        <v>970</v>
      </c>
      <c r="C369" s="2" t="s">
        <v>66</v>
      </c>
      <c r="D369" s="2" t="s">
        <v>827</v>
      </c>
      <c r="E369" s="14">
        <v>1</v>
      </c>
      <c r="F369" s="31" t="e">
        <f>ROUND(VLOOKUP(B369,M!$B$6:$H$733,IF(#REF!="დაბალი",4,IF(#REF!="საშუალო",6,IF(#REF!="მაღალი",5))),FALSE),2)</f>
        <v>#REF!</v>
      </c>
      <c r="G369" s="14" t="e">
        <f>ROUND(E369*F369,2)</f>
        <v>#REF!</v>
      </c>
      <c r="H369" s="13"/>
      <c r="I369" s="13"/>
      <c r="J369" s="35" t="e">
        <f>ROUND(IF(ISNUMBER(MATCH(B369,E!$B$6:$B$197,0)),VLOOKUP(B369,E!$B$6:$E$197,2,FALSE),IF(#REF!="დიახ",IF(VLOOKUP(B369,M!$B$6:$I$733,8,FALSE)="ლ",VLOOKUP(B369,M!$B$6:$I$733,3,FALSE)*0.001*#REF!*#REF!,IF(VLOOKUP(B369,M!$B$6:$I$733,8,FALSE)="მბ",VLOOKUP(B369,M!$B$6:$I$733,3,FALSE)*0.001*#REF!*#REF!,IF(VLOOKUP(B369,M!$B$6:$I$733,8,FALSE)="აბ",VLOOKUP(B369,M!$B$6:$I$733,3,FALSE)*0.001*#REF!*#REF!,IF(VLOOKUP(B369,M!$B$6:$I$733,8,FALSE)="ინ",VLOOKUP(B369,M!$B$6:$I$733,3,FALSE)*0.001*#REF!*#REF!,IF(VLOOKUP(B369,M!$B$6:$I$733,8,FALSE)="ას",VLOOKUP(B369,M!$B$6:$I$733,3,FALSE)*0.001*#REF!*#REF!,IF(VLOOKUP(B369,M!$B$6:$I$733,8,FALSE)="სხ",VLOOKUP(B369,M!$B$6:$I$733,3,FALSE)*0.001*#REF!*#REF!,IF(VLOOKUP(B369,M!$B$6:$I$733,8,FALSE)="ხმ",VLOOKUP(B369,M!$B$6:$I$733,3,FALSE)*0.001*#REF!*#REF!))))))))),2)</f>
        <v>#REF!</v>
      </c>
      <c r="K369" s="31" t="e">
        <f t="shared" si="93"/>
        <v>#REF!</v>
      </c>
      <c r="L369" s="14" t="e">
        <f t="shared" si="92"/>
        <v>#REF!</v>
      </c>
      <c r="M369" s="23" t="str">
        <f>(IF(ISNUMBER(MATCH(B369,E!$B$6:$B$197,0)),VLOOKUP(B369,E!$B$6:$E$197,4,FALSE),VLOOKUP(B369,M!$B$6:$I$733,7,FALSE)))</f>
        <v>4.1-136</v>
      </c>
    </row>
    <row r="370" spans="1:13" ht="39.950000000000003" customHeight="1" x14ac:dyDescent="0.25">
      <c r="A370" s="16" t="s">
        <v>695</v>
      </c>
      <c r="B370" s="2" t="s">
        <v>967</v>
      </c>
      <c r="C370" s="2" t="s">
        <v>66</v>
      </c>
      <c r="D370" s="2" t="s">
        <v>827</v>
      </c>
      <c r="E370" s="14">
        <v>1</v>
      </c>
      <c r="F370" s="31" t="e">
        <f>ROUND(VLOOKUP(B370,M!$B$6:$H$733,IF(#REF!="დაბალი",4,IF(#REF!="საშუალო",6,IF(#REF!="მაღალი",5))),FALSE),2)</f>
        <v>#REF!</v>
      </c>
      <c r="G370" s="14" t="e">
        <f>ROUND(E370*F370,2)</f>
        <v>#REF!</v>
      </c>
      <c r="H370" s="13"/>
      <c r="I370" s="13"/>
      <c r="J370" s="35" t="e">
        <f>ROUND(IF(ISNUMBER(MATCH(B370,E!$B$6:$B$197,0)),VLOOKUP(B370,E!$B$6:$E$197,2,FALSE),IF(#REF!="დიახ",IF(VLOOKUP(B370,M!$B$6:$I$733,8,FALSE)="ლ",VLOOKUP(B370,M!$B$6:$I$733,3,FALSE)*0.001*#REF!*#REF!,IF(VLOOKUP(B370,M!$B$6:$I$733,8,FALSE)="მბ",VLOOKUP(B370,M!$B$6:$I$733,3,FALSE)*0.001*#REF!*#REF!,IF(VLOOKUP(B370,M!$B$6:$I$733,8,FALSE)="აბ",VLOOKUP(B370,M!$B$6:$I$733,3,FALSE)*0.001*#REF!*#REF!,IF(VLOOKUP(B370,M!$B$6:$I$733,8,FALSE)="ინ",VLOOKUP(B370,M!$B$6:$I$733,3,FALSE)*0.001*#REF!*#REF!,IF(VLOOKUP(B370,M!$B$6:$I$733,8,FALSE)="ას",VLOOKUP(B370,M!$B$6:$I$733,3,FALSE)*0.001*#REF!*#REF!,IF(VLOOKUP(B370,M!$B$6:$I$733,8,FALSE)="სხ",VLOOKUP(B370,M!$B$6:$I$733,3,FALSE)*0.001*#REF!*#REF!,IF(VLOOKUP(B370,M!$B$6:$I$733,8,FALSE)="ხმ",VLOOKUP(B370,M!$B$6:$I$733,3,FALSE)*0.001*#REF!*#REF!))))))))),2)</f>
        <v>#REF!</v>
      </c>
      <c r="K370" s="31" t="e">
        <f t="shared" si="93"/>
        <v>#REF!</v>
      </c>
      <c r="L370" s="14" t="e">
        <f t="shared" ref="L370" si="94">G370+I370+K370</f>
        <v>#REF!</v>
      </c>
      <c r="M370" s="23" t="str">
        <f>(IF(ISNUMBER(MATCH(B370,E!$B$6:$B$197,0)),VLOOKUP(B370,E!$B$6:$E$197,4,FALSE),VLOOKUP(B370,M!$B$6:$I$733,7,FALSE)))</f>
        <v>4.1-115</v>
      </c>
    </row>
    <row r="371" spans="1:13" ht="39.950000000000003" customHeight="1" x14ac:dyDescent="0.25">
      <c r="A371" s="16" t="s">
        <v>696</v>
      </c>
      <c r="B371" s="2" t="s">
        <v>19</v>
      </c>
      <c r="C371" s="2" t="s">
        <v>9</v>
      </c>
      <c r="D371" s="2">
        <v>1.6E-2</v>
      </c>
      <c r="E371" s="14">
        <f>D371*E365</f>
        <v>2.4E-2</v>
      </c>
      <c r="F371" s="31" t="e">
        <f>ROUND(VLOOKUP(B371,M!$B$6:$H$733,IF(#REF!="დაბალი",4,IF(#REF!="საშუალო",6,IF(#REF!="მაღალი",5))),FALSE),2)</f>
        <v>#REF!</v>
      </c>
      <c r="G371" s="14" t="e">
        <f t="shared" ref="G371:G372" si="95">ROUND(E371*F371,2)</f>
        <v>#REF!</v>
      </c>
      <c r="H371" s="13"/>
      <c r="I371" s="13"/>
      <c r="J371" s="35" t="e">
        <f>ROUND(IF(ISNUMBER(MATCH(B371,E!$B$6:$B$197,0)),VLOOKUP(B371,E!$B$6:$E$197,2,FALSE),IF(#REF!="დიახ",IF(VLOOKUP(B371,M!$B$6:$I$733,8,FALSE)="ლ",VLOOKUP(B371,M!$B$6:$I$733,3,FALSE)*0.001*#REF!*#REF!,IF(VLOOKUP(B371,M!$B$6:$I$733,8,FALSE)="მბ",VLOOKUP(B371,M!$B$6:$I$733,3,FALSE)*0.001*#REF!*#REF!,IF(VLOOKUP(B371,M!$B$6:$I$733,8,FALSE)="აბ",VLOOKUP(B371,M!$B$6:$I$733,3,FALSE)*0.001*#REF!*#REF!,IF(VLOOKUP(B371,M!$B$6:$I$733,8,FALSE)="ინ",VLOOKUP(B371,M!$B$6:$I$733,3,FALSE)*0.001*#REF!*#REF!,IF(VLOOKUP(B371,M!$B$6:$I$733,8,FALSE)="ას",VLOOKUP(B371,M!$B$6:$I$733,3,FALSE)*0.001*#REF!*#REF!,IF(VLOOKUP(B371,M!$B$6:$I$733,8,FALSE)="სხ",VLOOKUP(B371,M!$B$6:$I$733,3,FALSE)*0.001*#REF!*#REF!,IF(VLOOKUP(B371,M!$B$6:$I$733,8,FALSE)="ხმ",VLOOKUP(B371,M!$B$6:$I$733,3,FALSE)*0.001*#REF!*#REF!))))))))),2)</f>
        <v>#REF!</v>
      </c>
      <c r="K371" s="31" t="e">
        <f t="shared" ref="K371:K372" si="96">ROUND(E371*J371,2)</f>
        <v>#REF!</v>
      </c>
      <c r="L371" s="14" t="e">
        <f t="shared" si="92"/>
        <v>#REF!</v>
      </c>
      <c r="M371" s="23" t="str">
        <f>(IF(ISNUMBER(MATCH(B371,E!$B$6:$B$197,0)),VLOOKUP(B371,E!$B$6:$E$197,4,FALSE),VLOOKUP(B371,M!$B$6:$I$733,7,FALSE)))</f>
        <v>1.1-10</v>
      </c>
    </row>
    <row r="372" spans="1:13" ht="39.950000000000003" customHeight="1" x14ac:dyDescent="0.25">
      <c r="A372" s="16" t="s">
        <v>733</v>
      </c>
      <c r="B372" s="2" t="s">
        <v>385</v>
      </c>
      <c r="C372" s="2" t="s">
        <v>674</v>
      </c>
      <c r="D372" s="2">
        <v>0.41299999999999998</v>
      </c>
      <c r="E372" s="14">
        <f>D372*E365</f>
        <v>0.61949999999999994</v>
      </c>
      <c r="F372" s="31" t="e">
        <f>ROUND(VLOOKUP(B372,M!$B$6:$H$733,IF(#REF!="დაბალი",4,IF(#REF!="საშუალო",6,IF(#REF!="მაღალი",5))),FALSE),2)</f>
        <v>#REF!</v>
      </c>
      <c r="G372" s="14" t="e">
        <f t="shared" si="95"/>
        <v>#REF!</v>
      </c>
      <c r="H372" s="13"/>
      <c r="I372" s="13"/>
      <c r="J372" s="35" t="e">
        <f>ROUND(IF(ISNUMBER(MATCH(B372,E!$B$6:$B$197,0)),VLOOKUP(B372,E!$B$6:$E$197,2,FALSE),IF(#REF!="დიახ",IF(VLOOKUP(B372,M!$B$6:$I$733,8,FALSE)="ლ",VLOOKUP(B372,M!$B$6:$I$733,3,FALSE)*0.001*#REF!*#REF!,IF(VLOOKUP(B372,M!$B$6:$I$733,8,FALSE)="მბ",VLOOKUP(B372,M!$B$6:$I$733,3,FALSE)*0.001*#REF!*#REF!,IF(VLOOKUP(B372,M!$B$6:$I$733,8,FALSE)="აბ",VLOOKUP(B372,M!$B$6:$I$733,3,FALSE)*0.001*#REF!*#REF!,IF(VLOOKUP(B372,M!$B$6:$I$733,8,FALSE)="ინ",VLOOKUP(B372,M!$B$6:$I$733,3,FALSE)*0.001*#REF!*#REF!,IF(VLOOKUP(B372,M!$B$6:$I$733,8,FALSE)="ას",VLOOKUP(B372,M!$B$6:$I$733,3,FALSE)*0.001*#REF!*#REF!,IF(VLOOKUP(B372,M!$B$6:$I$733,8,FALSE)="სხ",VLOOKUP(B372,M!$B$6:$I$733,3,FALSE)*0.001*#REF!*#REF!,IF(VLOOKUP(B372,M!$B$6:$I$733,8,FALSE)="ხმ",VLOOKUP(B372,M!$B$6:$I$733,3,FALSE)*0.001*#REF!*#REF!))))))))),2)</f>
        <v>#REF!</v>
      </c>
      <c r="K372" s="31" t="e">
        <f t="shared" si="96"/>
        <v>#REF!</v>
      </c>
      <c r="L372" s="14" t="e">
        <f t="shared" si="92"/>
        <v>#REF!</v>
      </c>
      <c r="M372" s="23" t="str">
        <f>(IF(ISNUMBER(MATCH(B372,E!$B$6:$B$197,0)),VLOOKUP(B372,E!$B$6:$E$197,4,FALSE),VLOOKUP(B372,M!$B$6:$I$733,7,FALSE)))</f>
        <v>4.1-341</v>
      </c>
    </row>
    <row r="373" spans="1:13" ht="39.950000000000003" customHeight="1" x14ac:dyDescent="0.25">
      <c r="A373" s="16" t="s">
        <v>734</v>
      </c>
      <c r="B373" s="17" t="s">
        <v>677</v>
      </c>
      <c r="C373" s="2" t="s">
        <v>393</v>
      </c>
      <c r="D373" s="2">
        <v>7.01</v>
      </c>
      <c r="E373" s="14">
        <f>D373*E365</f>
        <v>10.515000000000001</v>
      </c>
      <c r="F373" s="31" t="e">
        <f>ROUND(VLOOKUP(B373,M!$B$6:$H$733,IF(#REF!="დაბალი",4,IF(#REF!="საშუალო",6,IF(#REF!="მაღალი",5))),FALSE),2)</f>
        <v>#REF!</v>
      </c>
      <c r="G373" s="14" t="e">
        <f>ROUND(E373*F373,2)</f>
        <v>#REF!</v>
      </c>
      <c r="H373" s="13"/>
      <c r="I373" s="13"/>
      <c r="J373" s="35" t="e">
        <f>ROUND(IF(ISNUMBER(MATCH(B373,E!$B$6:$B$197,0)),VLOOKUP(B373,E!$B$6:$E$197,2,FALSE),IF(#REF!="დიახ",IF(VLOOKUP(B373,M!$B$6:$I$733,8,FALSE)="ლ",VLOOKUP(B373,M!$B$6:$I$733,3,FALSE)*0.001*#REF!*#REF!,IF(VLOOKUP(B373,M!$B$6:$I$733,8,FALSE)="მბ",VLOOKUP(B373,M!$B$6:$I$733,3,FALSE)*0.001*#REF!*#REF!,IF(VLOOKUP(B373,M!$B$6:$I$733,8,FALSE)="აბ",VLOOKUP(B373,M!$B$6:$I$733,3,FALSE)*0.001*#REF!*#REF!,IF(VLOOKUP(B373,M!$B$6:$I$733,8,FALSE)="ინ",VLOOKUP(B373,M!$B$6:$I$733,3,FALSE)*0.001*#REF!*#REF!,IF(VLOOKUP(B373,M!$B$6:$I$733,8,FALSE)="ას",VLOOKUP(B373,M!$B$6:$I$733,3,FALSE)*0.001*#REF!*#REF!,IF(VLOOKUP(B373,M!$B$6:$I$733,8,FALSE)="სხ",VLOOKUP(B373,M!$B$6:$I$733,3,FALSE)*0.001*#REF!*#REF!,IF(VLOOKUP(B373,M!$B$6:$I$733,8,FALSE)="ხმ",VLOOKUP(B373,M!$B$6:$I$733,3,FALSE)*0.001*#REF!*#REF!))))))))),2)</f>
        <v>#REF!</v>
      </c>
      <c r="K373" s="31"/>
      <c r="L373" s="14" t="e">
        <f t="shared" si="92"/>
        <v>#REF!</v>
      </c>
      <c r="M373" s="23" t="str">
        <f>(IF(ISNUMBER(MATCH(B373,E!$B$6:$B$197,0)),VLOOKUP(B373,E!$B$6:$E$197,4,FALSE),VLOOKUP(B373,M!$B$6:$I$733,7,FALSE)))</f>
        <v>ს.რ.ფ</v>
      </c>
    </row>
    <row r="374" spans="1:13" s="45" customFormat="1" ht="39.950000000000003" customHeight="1" x14ac:dyDescent="0.25">
      <c r="A374" s="39">
        <v>1.1000000000000001</v>
      </c>
      <c r="B374" s="40" t="s">
        <v>975</v>
      </c>
      <c r="C374" s="41" t="s">
        <v>792</v>
      </c>
      <c r="D374" s="41"/>
      <c r="E374" s="43">
        <v>1</v>
      </c>
      <c r="F374" s="46"/>
      <c r="G374" s="43"/>
      <c r="H374" s="42"/>
      <c r="I374" s="42"/>
      <c r="J374" s="65"/>
      <c r="K374" s="46"/>
      <c r="L374" s="43" t="e">
        <f>SUM(L375:L381)</f>
        <v>#REF!</v>
      </c>
      <c r="M374" s="44" t="s">
        <v>976</v>
      </c>
    </row>
    <row r="375" spans="1:13" ht="39.950000000000003" customHeight="1" x14ac:dyDescent="0.25">
      <c r="A375" s="16" t="s">
        <v>668</v>
      </c>
      <c r="B375" s="17" t="s">
        <v>669</v>
      </c>
      <c r="C375" s="2" t="s">
        <v>670</v>
      </c>
      <c r="D375" s="2">
        <v>6.41</v>
      </c>
      <c r="E375" s="14">
        <f>D375*E374</f>
        <v>6.41</v>
      </c>
      <c r="F375" s="31"/>
      <c r="G375" s="14"/>
      <c r="H375" s="27">
        <f>IF((ISNUMBER(--LEFT(M374,2))),VLOOKUP(--LEFT(M374,2),N!$A$5:$C$54,3,FALSE),VLOOKUP(--LEFT(M374,1),N!$A$5:$C$54,3,FALSE))</f>
        <v>6</v>
      </c>
      <c r="I375" s="14">
        <f>ROUND(E375*H375,2)</f>
        <v>38.46</v>
      </c>
      <c r="J375" s="35"/>
      <c r="K375" s="31"/>
      <c r="L375" s="14">
        <f>G375+I375+K375</f>
        <v>38.46</v>
      </c>
      <c r="M375" s="23" t="str">
        <f>(IF(ISNUMBER(MATCH(B375,E!$B$6:$B$197,0)),VLOOKUP(B375,E!$B$6:$E$197,4,FALSE),VLOOKUP(B375,M!$B$6:$I$733,7,FALSE)))</f>
        <v>მ.ც</v>
      </c>
    </row>
    <row r="376" spans="1:13" ht="39.950000000000003" customHeight="1" x14ac:dyDescent="0.25">
      <c r="A376" s="16" t="s">
        <v>671</v>
      </c>
      <c r="B376" s="17" t="s">
        <v>654</v>
      </c>
      <c r="C376" s="2" t="s">
        <v>393</v>
      </c>
      <c r="D376" s="2">
        <v>0.38500000000000001</v>
      </c>
      <c r="E376" s="14">
        <f>D376*E374</f>
        <v>0.38500000000000001</v>
      </c>
      <c r="F376" s="69"/>
      <c r="G376" s="14"/>
      <c r="H376" s="13"/>
      <c r="I376" s="13"/>
      <c r="J376" s="35">
        <f>ROUND(IF(ISNUMBER(MATCH(B376,E!$B$6:$B$197,0)),VLOOKUP(B376,E!$B$6:$E$197,2,FALSE),IF(#REF!="დიახ",IF(VLOOKUP(B376,M!$B$6:$I$733,8,FALSE)="ლ",VLOOKUP(B376,M!$B$6:$I$733,3,FALSE)*0.001*#REF!*#REF!,IF(VLOOKUP(B376,M!$B$6:$I$733,8,FALSE)="მბ",VLOOKUP(B376,M!$B$6:$I$733,3,FALSE)*0.001*#REF!*#REF!,IF(VLOOKUP(B376,M!$B$6:$I$733,8,FALSE)="აბ",VLOOKUP(B376,M!$B$6:$I$733,3,FALSE)*0.001*#REF!*#REF!,IF(VLOOKUP(B376,M!$B$6:$I$733,8,FALSE)="ინ",VLOOKUP(B376,M!$B$6:$I$733,3,FALSE)*0.001*#REF!*#REF!,IF(VLOOKUP(B376,M!$B$6:$I$733,8,FALSE)="ას",VLOOKUP(B376,M!$B$6:$I$733,3,FALSE)*0.001*#REF!*#REF!,IF(VLOOKUP(B376,M!$B$6:$I$733,8,FALSE)="სხ",VLOOKUP(B376,M!$B$6:$I$733,3,FALSE)*0.001*#REF!*#REF!,IF(VLOOKUP(B376,M!$B$6:$I$733,8,FALSE)="ხმ",VLOOKUP(B376,M!$B$6:$I$733,3,FALSE)*0.001*#REF!*#REF!))))))))),2)</f>
        <v>3.2</v>
      </c>
      <c r="K376" s="31">
        <f>ROUND(E376*J376,2)</f>
        <v>1.23</v>
      </c>
      <c r="L376" s="14">
        <f t="shared" ref="L376:L381" si="97">G376+I376+K376</f>
        <v>1.23</v>
      </c>
      <c r="M376" s="23" t="str">
        <f>(IF(ISNUMBER(MATCH(B376,E!$B$6:$B$197,0)),VLOOKUP(B376,E!$B$6:$E$197,4,FALSE),VLOOKUP(B376,M!$B$6:$I$733,7,FALSE)))</f>
        <v>ს.რ.ფ</v>
      </c>
    </row>
    <row r="377" spans="1:13" ht="39.950000000000003" customHeight="1" x14ac:dyDescent="0.25">
      <c r="A377" s="16" t="s">
        <v>673</v>
      </c>
      <c r="B377" s="2" t="s">
        <v>19</v>
      </c>
      <c r="C377" s="2" t="s">
        <v>9</v>
      </c>
      <c r="D377" s="2">
        <v>1.6E-2</v>
      </c>
      <c r="E377" s="14">
        <f>D377*E374</f>
        <v>1.6E-2</v>
      </c>
      <c r="F377" s="31" t="e">
        <f>ROUND(VLOOKUP(B377,M!$B$6:$H$733,IF(#REF!="დაბალი",4,IF(#REF!="საშუალო",6,IF(#REF!="მაღალი",5))),FALSE),2)</f>
        <v>#REF!</v>
      </c>
      <c r="G377" s="14" t="e">
        <f t="shared" ref="G377:G380" si="98">ROUND(E377*F377,2)</f>
        <v>#REF!</v>
      </c>
      <c r="H377" s="13"/>
      <c r="I377" s="13"/>
      <c r="J377" s="35" t="e">
        <f>ROUND(IF(ISNUMBER(MATCH(B377,E!$B$6:$B$197,0)),VLOOKUP(B377,E!$B$6:$E$197,2,FALSE),IF(#REF!="დიახ",IF(VLOOKUP(B377,M!$B$6:$I$733,8,FALSE)="ლ",VLOOKUP(B377,M!$B$6:$I$733,3,FALSE)*0.001*#REF!*#REF!,IF(VLOOKUP(B377,M!$B$6:$I$733,8,FALSE)="მბ",VLOOKUP(B377,M!$B$6:$I$733,3,FALSE)*0.001*#REF!*#REF!,IF(VLOOKUP(B377,M!$B$6:$I$733,8,FALSE)="აბ",VLOOKUP(B377,M!$B$6:$I$733,3,FALSE)*0.001*#REF!*#REF!,IF(VLOOKUP(B377,M!$B$6:$I$733,8,FALSE)="ინ",VLOOKUP(B377,M!$B$6:$I$733,3,FALSE)*0.001*#REF!*#REF!,IF(VLOOKUP(B377,M!$B$6:$I$733,8,FALSE)="ას",VLOOKUP(B377,M!$B$6:$I$733,3,FALSE)*0.001*#REF!*#REF!,IF(VLOOKUP(B377,M!$B$6:$I$733,8,FALSE)="სხ",VLOOKUP(B377,M!$B$6:$I$733,3,FALSE)*0.001*#REF!*#REF!,IF(VLOOKUP(B377,M!$B$6:$I$733,8,FALSE)="ხმ",VLOOKUP(B377,M!$B$6:$I$733,3,FALSE)*0.001*#REF!*#REF!))))))))),2)</f>
        <v>#REF!</v>
      </c>
      <c r="K377" s="31" t="e">
        <f t="shared" ref="K377:K379" si="99">ROUND(E377*J377,2)</f>
        <v>#REF!</v>
      </c>
      <c r="L377" s="14" t="e">
        <f t="shared" si="97"/>
        <v>#REF!</v>
      </c>
      <c r="M377" s="23" t="str">
        <f>(IF(ISNUMBER(MATCH(B377,E!$B$6:$B$197,0)),VLOOKUP(B377,E!$B$6:$E$197,4,FALSE),VLOOKUP(B377,M!$B$6:$I$733,7,FALSE)))</f>
        <v>1.1-10</v>
      </c>
    </row>
    <row r="378" spans="1:13" ht="39.950000000000003" customHeight="1" x14ac:dyDescent="0.25">
      <c r="A378" s="16" t="s">
        <v>675</v>
      </c>
      <c r="B378" s="2" t="s">
        <v>385</v>
      </c>
      <c r="C378" s="2" t="s">
        <v>674</v>
      </c>
      <c r="D378" s="2">
        <v>1.05</v>
      </c>
      <c r="E378" s="14">
        <f>D378*E374</f>
        <v>1.05</v>
      </c>
      <c r="F378" s="31" t="e">
        <f>ROUND(VLOOKUP(B378,M!$B$6:$H$733,IF(#REF!="დაბალი",4,IF(#REF!="საშუალო",6,IF(#REF!="მაღალი",5))),FALSE),2)</f>
        <v>#REF!</v>
      </c>
      <c r="G378" s="14" t="e">
        <f t="shared" si="98"/>
        <v>#REF!</v>
      </c>
      <c r="H378" s="13"/>
      <c r="I378" s="13"/>
      <c r="J378" s="35" t="e">
        <f>ROUND(IF(ISNUMBER(MATCH(B378,E!$B$6:$B$197,0)),VLOOKUP(B378,E!$B$6:$E$197,2,FALSE),IF(#REF!="დიახ",IF(VLOOKUP(B378,M!$B$6:$I$733,8,FALSE)="ლ",VLOOKUP(B378,M!$B$6:$I$733,3,FALSE)*0.001*#REF!*#REF!,IF(VLOOKUP(B378,M!$B$6:$I$733,8,FALSE)="მბ",VLOOKUP(B378,M!$B$6:$I$733,3,FALSE)*0.001*#REF!*#REF!,IF(VLOOKUP(B378,M!$B$6:$I$733,8,FALSE)="აბ",VLOOKUP(B378,M!$B$6:$I$733,3,FALSE)*0.001*#REF!*#REF!,IF(VLOOKUP(B378,M!$B$6:$I$733,8,FALSE)="ინ",VLOOKUP(B378,M!$B$6:$I$733,3,FALSE)*0.001*#REF!*#REF!,IF(VLOOKUP(B378,M!$B$6:$I$733,8,FALSE)="ას",VLOOKUP(B378,M!$B$6:$I$733,3,FALSE)*0.001*#REF!*#REF!,IF(VLOOKUP(B378,M!$B$6:$I$733,8,FALSE)="სხ",VLOOKUP(B378,M!$B$6:$I$733,3,FALSE)*0.001*#REF!*#REF!,IF(VLOOKUP(B378,M!$B$6:$I$733,8,FALSE)="ხმ",VLOOKUP(B378,M!$B$6:$I$733,3,FALSE)*0.001*#REF!*#REF!))))))))),2)</f>
        <v>#REF!</v>
      </c>
      <c r="K378" s="31" t="e">
        <f t="shared" si="99"/>
        <v>#REF!</v>
      </c>
      <c r="L378" s="14" t="e">
        <f t="shared" si="97"/>
        <v>#REF!</v>
      </c>
      <c r="M378" s="23" t="str">
        <f>(IF(ISNUMBER(MATCH(B378,E!$B$6:$B$197,0)),VLOOKUP(B378,E!$B$6:$E$197,4,FALSE),VLOOKUP(B378,M!$B$6:$I$733,7,FALSE)))</f>
        <v>4.1-341</v>
      </c>
    </row>
    <row r="379" spans="1:13" ht="39.950000000000003" customHeight="1" x14ac:dyDescent="0.25">
      <c r="A379" s="16" t="s">
        <v>695</v>
      </c>
      <c r="B379" s="2" t="s">
        <v>407</v>
      </c>
      <c r="C379" s="2" t="s">
        <v>674</v>
      </c>
      <c r="D379" s="2">
        <v>4.9000000000000002E-2</v>
      </c>
      <c r="E379" s="14">
        <f>D379*E374</f>
        <v>4.9000000000000002E-2</v>
      </c>
      <c r="F379" s="31" t="e">
        <f>ROUND(VLOOKUP(B379,M!$B$6:$H$733,IF(#REF!="დაბალი",4,IF(#REF!="საშუალო",6,IF(#REF!="მაღალი",5))),FALSE),2)</f>
        <v>#REF!</v>
      </c>
      <c r="G379" s="14" t="e">
        <f t="shared" si="98"/>
        <v>#REF!</v>
      </c>
      <c r="H379" s="13"/>
      <c r="I379" s="13"/>
      <c r="J379" s="35" t="e">
        <f>ROUND(IF(ISNUMBER(MATCH(B379,E!$B$6:$B$197,0)),VLOOKUP(B379,E!$B$6:$E$197,2,FALSE),IF(#REF!="დიახ",IF(VLOOKUP(B379,M!$B$6:$I$733,8,FALSE)="ლ",VLOOKUP(B379,M!$B$6:$I$733,3,FALSE)*0.001*#REF!*#REF!,IF(VLOOKUP(B379,M!$B$6:$I$733,8,FALSE)="მბ",VLOOKUP(B379,M!$B$6:$I$733,3,FALSE)*0.001*#REF!*#REF!,IF(VLOOKUP(B379,M!$B$6:$I$733,8,FALSE)="აბ",VLOOKUP(B379,M!$B$6:$I$733,3,FALSE)*0.001*#REF!*#REF!,IF(VLOOKUP(B379,M!$B$6:$I$733,8,FALSE)="ინ",VLOOKUP(B379,M!$B$6:$I$733,3,FALSE)*0.001*#REF!*#REF!,IF(VLOOKUP(B379,M!$B$6:$I$733,8,FALSE)="ას",VLOOKUP(B379,M!$B$6:$I$733,3,FALSE)*0.001*#REF!*#REF!,IF(VLOOKUP(B379,M!$B$6:$I$733,8,FALSE)="სხ",VLOOKUP(B379,M!$B$6:$I$733,3,FALSE)*0.001*#REF!*#REF!,IF(VLOOKUP(B379,M!$B$6:$I$733,8,FALSE)="ხმ",VLOOKUP(B379,M!$B$6:$I$733,3,FALSE)*0.001*#REF!*#REF!))))))))),2)</f>
        <v>#REF!</v>
      </c>
      <c r="K379" s="31" t="e">
        <f t="shared" si="99"/>
        <v>#REF!</v>
      </c>
      <c r="L379" s="14" t="e">
        <f t="shared" si="97"/>
        <v>#REF!</v>
      </c>
      <c r="M379" s="23" t="str">
        <f>(IF(ISNUMBER(MATCH(B379,E!$B$6:$B$197,0)),VLOOKUP(B379,E!$B$6:$E$197,4,FALSE),VLOOKUP(B379,M!$B$6:$I$733,7,FALSE)))</f>
        <v>4.1-378</v>
      </c>
    </row>
    <row r="380" spans="1:13" ht="39.950000000000003" customHeight="1" x14ac:dyDescent="0.25">
      <c r="A380" s="16" t="s">
        <v>696</v>
      </c>
      <c r="B380" s="2" t="s">
        <v>548</v>
      </c>
      <c r="C380" s="2" t="s">
        <v>674</v>
      </c>
      <c r="D380" s="2">
        <v>7.4999999999999997E-2</v>
      </c>
      <c r="E380" s="14">
        <f>D380*E374</f>
        <v>7.4999999999999997E-2</v>
      </c>
      <c r="F380" s="31" t="e">
        <f>ROUND(VLOOKUP(B380,M!$B$6:$H$733,IF(#REF!="დაბალი",4,IF(#REF!="საშუალო",6,IF(#REF!="მაღალი",5))),FALSE),2)</f>
        <v>#REF!</v>
      </c>
      <c r="G380" s="14" t="e">
        <f t="shared" si="98"/>
        <v>#REF!</v>
      </c>
      <c r="H380" s="13"/>
      <c r="I380" s="13"/>
      <c r="J380" s="35" t="e">
        <f>ROUND(IF(ISNUMBER(MATCH(B380,E!$B$6:$B$197,0)),VLOOKUP(B380,E!$B$6:$E$197,2,FALSE),IF(#REF!="დიახ",IF(VLOOKUP(B380,M!$B$6:$I$733,8,FALSE)="ლ",VLOOKUP(B380,M!$B$6:$I$733,3,FALSE)*0.001*#REF!*#REF!,IF(VLOOKUP(B380,M!$B$6:$I$733,8,FALSE)="მბ",VLOOKUP(B380,M!$B$6:$I$733,3,FALSE)*0.001*#REF!*#REF!,IF(VLOOKUP(B380,M!$B$6:$I$733,8,FALSE)="აბ",VLOOKUP(B380,M!$B$6:$I$733,3,FALSE)*0.001*#REF!*#REF!,IF(VLOOKUP(B380,M!$B$6:$I$733,8,FALSE)="ინ",VLOOKUP(B380,M!$B$6:$I$733,3,FALSE)*0.001*#REF!*#REF!,IF(VLOOKUP(B380,M!$B$6:$I$733,8,FALSE)="ას",VLOOKUP(B380,M!$B$6:$I$733,3,FALSE)*0.001*#REF!*#REF!,IF(VLOOKUP(B380,M!$B$6:$I$733,8,FALSE)="სხ",VLOOKUP(B380,M!$B$6:$I$733,3,FALSE)*0.001*#REF!*#REF!,IF(VLOOKUP(B380,M!$B$6:$I$733,8,FALSE)="ხმ",VLOOKUP(B380,M!$B$6:$I$733,3,FALSE)*0.001*#REF!*#REF!))))))))),2)</f>
        <v>#REF!</v>
      </c>
      <c r="K380" s="31" t="e">
        <f>ROUND(E380*J380,2)</f>
        <v>#REF!</v>
      </c>
      <c r="L380" s="14" t="e">
        <f t="shared" si="97"/>
        <v>#REF!</v>
      </c>
      <c r="M380" s="23" t="str">
        <f>(IF(ISNUMBER(MATCH(B380,E!$B$6:$B$197,0)),VLOOKUP(B380,E!$B$6:$E$197,4,FALSE),VLOOKUP(B380,M!$B$6:$I$733,7,FALSE)))</f>
        <v>5.1-19</v>
      </c>
    </row>
    <row r="381" spans="1:13" ht="39.950000000000003" customHeight="1" x14ac:dyDescent="0.25">
      <c r="A381" s="16" t="s">
        <v>733</v>
      </c>
      <c r="B381" s="17" t="s">
        <v>677</v>
      </c>
      <c r="C381" s="2" t="s">
        <v>393</v>
      </c>
      <c r="D381" s="2">
        <v>3.08</v>
      </c>
      <c r="E381" s="14">
        <f>D381*E374</f>
        <v>3.08</v>
      </c>
      <c r="F381" s="31" t="e">
        <f>ROUND(VLOOKUP(B381,M!$B$6:$H$733,IF(#REF!="დაბალი",4,IF(#REF!="საშუალო",6,IF(#REF!="მაღალი",5))),FALSE),2)</f>
        <v>#REF!</v>
      </c>
      <c r="G381" s="14" t="e">
        <f>ROUND(E381*F381,2)</f>
        <v>#REF!</v>
      </c>
      <c r="H381" s="13"/>
      <c r="I381" s="13"/>
      <c r="J381" s="35"/>
      <c r="K381" s="31"/>
      <c r="L381" s="14" t="e">
        <f t="shared" si="97"/>
        <v>#REF!</v>
      </c>
      <c r="M381" s="23" t="str">
        <f>(IF(ISNUMBER(MATCH(B381,E!$B$6:$B$197,0)),VLOOKUP(B381,E!$B$6:$E$197,4,FALSE),VLOOKUP(B381,M!$B$6:$I$733,7,FALSE)))</f>
        <v>ს.რ.ფ</v>
      </c>
    </row>
    <row r="382" spans="1:13" s="45" customFormat="1" ht="39.950000000000003" customHeight="1" x14ac:dyDescent="0.25">
      <c r="A382" s="39">
        <v>1.1000000000000001</v>
      </c>
      <c r="B382" s="40" t="s">
        <v>978</v>
      </c>
      <c r="C382" s="41" t="s">
        <v>792</v>
      </c>
      <c r="D382" s="41"/>
      <c r="E382" s="43">
        <v>1</v>
      </c>
      <c r="F382" s="46"/>
      <c r="G382" s="43"/>
      <c r="H382" s="42"/>
      <c r="I382" s="42"/>
      <c r="J382" s="65"/>
      <c r="K382" s="46"/>
      <c r="L382" s="43" t="e">
        <f>SUM(L383:L389)</f>
        <v>#REF!</v>
      </c>
      <c r="M382" s="44" t="s">
        <v>977</v>
      </c>
    </row>
    <row r="383" spans="1:13" ht="39.950000000000003" customHeight="1" x14ac:dyDescent="0.25">
      <c r="A383" s="16" t="s">
        <v>668</v>
      </c>
      <c r="B383" s="17" t="s">
        <v>669</v>
      </c>
      <c r="C383" s="2" t="s">
        <v>670</v>
      </c>
      <c r="D383" s="2">
        <v>14.9</v>
      </c>
      <c r="E383" s="14">
        <f>D383*E382</f>
        <v>14.9</v>
      </c>
      <c r="F383" s="31"/>
      <c r="G383" s="14"/>
      <c r="H383" s="27">
        <f>IF((ISNUMBER(--LEFT(M382,2))),VLOOKUP(--LEFT(M382,2),N!$A$5:$C$54,3,FALSE),VLOOKUP(--LEFT(M382,1),N!$A$5:$C$54,3,FALSE))</f>
        <v>6</v>
      </c>
      <c r="I383" s="14">
        <f>ROUND(E383*H383,2)</f>
        <v>89.4</v>
      </c>
      <c r="J383" s="35"/>
      <c r="K383" s="31"/>
      <c r="L383" s="14">
        <f>G383+I383+K383</f>
        <v>89.4</v>
      </c>
      <c r="M383" s="23" t="str">
        <f>(IF(ISNUMBER(MATCH(B383,E!$B$6:$B$197,0)),VLOOKUP(B383,E!$B$6:$E$197,4,FALSE),VLOOKUP(B383,M!$B$6:$I$733,7,FALSE)))</f>
        <v>მ.ც</v>
      </c>
    </row>
    <row r="384" spans="1:13" ht="39.950000000000003" customHeight="1" x14ac:dyDescent="0.25">
      <c r="A384" s="16" t="s">
        <v>671</v>
      </c>
      <c r="B384" s="17" t="s">
        <v>654</v>
      </c>
      <c r="C384" s="2" t="s">
        <v>393</v>
      </c>
      <c r="D384" s="2">
        <v>6.98</v>
      </c>
      <c r="E384" s="14">
        <f>D384*E382</f>
        <v>6.98</v>
      </c>
      <c r="F384" s="69"/>
      <c r="G384" s="14"/>
      <c r="H384" s="13"/>
      <c r="I384" s="13"/>
      <c r="J384" s="35">
        <f>ROUND(IF(ISNUMBER(MATCH(B384,E!$B$6:$B$197,0)),VLOOKUP(B384,E!$B$6:$E$197,2,FALSE),IF(#REF!="დიახ",IF(VLOOKUP(B384,M!$B$6:$I$733,8,FALSE)="ლ",VLOOKUP(B384,M!$B$6:$I$733,3,FALSE)*0.001*#REF!*#REF!,IF(VLOOKUP(B384,M!$B$6:$I$733,8,FALSE)="მბ",VLOOKUP(B384,M!$B$6:$I$733,3,FALSE)*0.001*#REF!*#REF!,IF(VLOOKUP(B384,M!$B$6:$I$733,8,FALSE)="აბ",VLOOKUP(B384,M!$B$6:$I$733,3,FALSE)*0.001*#REF!*#REF!,IF(VLOOKUP(B384,M!$B$6:$I$733,8,FALSE)="ინ",VLOOKUP(B384,M!$B$6:$I$733,3,FALSE)*0.001*#REF!*#REF!,IF(VLOOKUP(B384,M!$B$6:$I$733,8,FALSE)="ას",VLOOKUP(B384,M!$B$6:$I$733,3,FALSE)*0.001*#REF!*#REF!,IF(VLOOKUP(B384,M!$B$6:$I$733,8,FALSE)="სხ",VLOOKUP(B384,M!$B$6:$I$733,3,FALSE)*0.001*#REF!*#REF!,IF(VLOOKUP(B384,M!$B$6:$I$733,8,FALSE)="ხმ",VLOOKUP(B384,M!$B$6:$I$733,3,FALSE)*0.001*#REF!*#REF!))))))))),2)</f>
        <v>3.2</v>
      </c>
      <c r="K384" s="31">
        <f>ROUND(E384*J384,2)</f>
        <v>22.34</v>
      </c>
      <c r="L384" s="14">
        <f t="shared" ref="L384:L389" si="100">G384+I384+K384</f>
        <v>22.34</v>
      </c>
      <c r="M384" s="23" t="str">
        <f>(IF(ISNUMBER(MATCH(B384,E!$B$6:$B$197,0)),VLOOKUP(B384,E!$B$6:$E$197,4,FALSE),VLOOKUP(B384,M!$B$6:$I$733,7,FALSE)))</f>
        <v>ს.რ.ფ</v>
      </c>
    </row>
    <row r="385" spans="1:13" ht="39.950000000000003" customHeight="1" x14ac:dyDescent="0.25">
      <c r="A385" s="16" t="s">
        <v>673</v>
      </c>
      <c r="B385" s="2" t="s">
        <v>19</v>
      </c>
      <c r="C385" s="2" t="s">
        <v>9</v>
      </c>
      <c r="D385" s="2">
        <v>8.5999999999999993E-2</v>
      </c>
      <c r="E385" s="14">
        <f>D385*E382</f>
        <v>8.5999999999999993E-2</v>
      </c>
      <c r="F385" s="31" t="e">
        <f>ROUND(VLOOKUP(B385,M!$B$6:$H$733,IF(#REF!="დაბალი",4,IF(#REF!="საშუალო",6,IF(#REF!="მაღალი",5))),FALSE),2)</f>
        <v>#REF!</v>
      </c>
      <c r="G385" s="14" t="e">
        <f t="shared" ref="G385:G388" si="101">ROUND(E385*F385,2)</f>
        <v>#REF!</v>
      </c>
      <c r="H385" s="13"/>
      <c r="I385" s="13"/>
      <c r="J385" s="35" t="e">
        <f>ROUND(IF(ISNUMBER(MATCH(B385,E!$B$6:$B$197,0)),VLOOKUP(B385,E!$B$6:$E$197,2,FALSE),IF(#REF!="დიახ",IF(VLOOKUP(B385,M!$B$6:$I$733,8,FALSE)="ლ",VLOOKUP(B385,M!$B$6:$I$733,3,FALSE)*0.001*#REF!*#REF!,IF(VLOOKUP(B385,M!$B$6:$I$733,8,FALSE)="მბ",VLOOKUP(B385,M!$B$6:$I$733,3,FALSE)*0.001*#REF!*#REF!,IF(VLOOKUP(B385,M!$B$6:$I$733,8,FALSE)="აბ",VLOOKUP(B385,M!$B$6:$I$733,3,FALSE)*0.001*#REF!*#REF!,IF(VLOOKUP(B385,M!$B$6:$I$733,8,FALSE)="ინ",VLOOKUP(B385,M!$B$6:$I$733,3,FALSE)*0.001*#REF!*#REF!,IF(VLOOKUP(B385,M!$B$6:$I$733,8,FALSE)="ას",VLOOKUP(B385,M!$B$6:$I$733,3,FALSE)*0.001*#REF!*#REF!,IF(VLOOKUP(B385,M!$B$6:$I$733,8,FALSE)="სხ",VLOOKUP(B385,M!$B$6:$I$733,3,FALSE)*0.001*#REF!*#REF!,IF(VLOOKUP(B385,M!$B$6:$I$733,8,FALSE)="ხმ",VLOOKUP(B385,M!$B$6:$I$733,3,FALSE)*0.001*#REF!*#REF!))))))))),2)</f>
        <v>#REF!</v>
      </c>
      <c r="K385" s="31" t="e">
        <f t="shared" ref="K385:K387" si="102">ROUND(E385*J385,2)</f>
        <v>#REF!</v>
      </c>
      <c r="L385" s="14" t="e">
        <f t="shared" si="100"/>
        <v>#REF!</v>
      </c>
      <c r="M385" s="23" t="str">
        <f>(IF(ISNUMBER(MATCH(B385,E!$B$6:$B$197,0)),VLOOKUP(B385,E!$B$6:$E$197,4,FALSE),VLOOKUP(B385,M!$B$6:$I$733,7,FALSE)))</f>
        <v>1.1-10</v>
      </c>
    </row>
    <row r="386" spans="1:13" ht="39.950000000000003" customHeight="1" x14ac:dyDescent="0.25">
      <c r="A386" s="16" t="s">
        <v>675</v>
      </c>
      <c r="B386" s="2" t="s">
        <v>385</v>
      </c>
      <c r="C386" s="2" t="s">
        <v>674</v>
      </c>
      <c r="D386" s="2">
        <v>0.93799999999999994</v>
      </c>
      <c r="E386" s="14">
        <f>D386*E382</f>
        <v>0.93799999999999994</v>
      </c>
      <c r="F386" s="31" t="e">
        <f>ROUND(VLOOKUP(B386,M!$B$6:$H$733,IF(#REF!="დაბალი",4,IF(#REF!="საშუალო",6,IF(#REF!="მაღალი",5))),FALSE),2)</f>
        <v>#REF!</v>
      </c>
      <c r="G386" s="14" t="e">
        <f t="shared" si="101"/>
        <v>#REF!</v>
      </c>
      <c r="H386" s="13"/>
      <c r="I386" s="13"/>
      <c r="J386" s="35" t="e">
        <f>ROUND(IF(ISNUMBER(MATCH(B386,E!$B$6:$B$197,0)),VLOOKUP(B386,E!$B$6:$E$197,2,FALSE),IF(#REF!="დიახ",IF(VLOOKUP(B386,M!$B$6:$I$733,8,FALSE)="ლ",VLOOKUP(B386,M!$B$6:$I$733,3,FALSE)*0.001*#REF!*#REF!,IF(VLOOKUP(B386,M!$B$6:$I$733,8,FALSE)="მბ",VLOOKUP(B386,M!$B$6:$I$733,3,FALSE)*0.001*#REF!*#REF!,IF(VLOOKUP(B386,M!$B$6:$I$733,8,FALSE)="აბ",VLOOKUP(B386,M!$B$6:$I$733,3,FALSE)*0.001*#REF!*#REF!,IF(VLOOKUP(B386,M!$B$6:$I$733,8,FALSE)="ინ",VLOOKUP(B386,M!$B$6:$I$733,3,FALSE)*0.001*#REF!*#REF!,IF(VLOOKUP(B386,M!$B$6:$I$733,8,FALSE)="ას",VLOOKUP(B386,M!$B$6:$I$733,3,FALSE)*0.001*#REF!*#REF!,IF(VLOOKUP(B386,M!$B$6:$I$733,8,FALSE)="სხ",VLOOKUP(B386,M!$B$6:$I$733,3,FALSE)*0.001*#REF!*#REF!,IF(VLOOKUP(B386,M!$B$6:$I$733,8,FALSE)="ხმ",VLOOKUP(B386,M!$B$6:$I$733,3,FALSE)*0.001*#REF!*#REF!))))))))),2)</f>
        <v>#REF!</v>
      </c>
      <c r="K386" s="31" t="e">
        <f t="shared" si="102"/>
        <v>#REF!</v>
      </c>
      <c r="L386" s="14" t="e">
        <f t="shared" si="100"/>
        <v>#REF!</v>
      </c>
      <c r="M386" s="23" t="str">
        <f>(IF(ISNUMBER(MATCH(B386,E!$B$6:$B$197,0)),VLOOKUP(B386,E!$B$6:$E$197,4,FALSE),VLOOKUP(B386,M!$B$6:$I$733,7,FALSE)))</f>
        <v>4.1-341</v>
      </c>
    </row>
    <row r="387" spans="1:13" ht="39.950000000000003" customHeight="1" x14ac:dyDescent="0.25">
      <c r="A387" s="16" t="s">
        <v>695</v>
      </c>
      <c r="B387" s="2" t="s">
        <v>407</v>
      </c>
      <c r="C387" s="2" t="s">
        <v>674</v>
      </c>
      <c r="D387" s="2">
        <v>1.2E-2</v>
      </c>
      <c r="E387" s="14">
        <f>D387*E382</f>
        <v>1.2E-2</v>
      </c>
      <c r="F387" s="31" t="e">
        <f>ROUND(VLOOKUP(B387,M!$B$6:$H$733,IF(#REF!="დაბალი",4,IF(#REF!="საშუალო",6,IF(#REF!="მაღალი",5))),FALSE),2)</f>
        <v>#REF!</v>
      </c>
      <c r="G387" s="14" t="e">
        <f t="shared" si="101"/>
        <v>#REF!</v>
      </c>
      <c r="H387" s="13"/>
      <c r="I387" s="13"/>
      <c r="J387" s="35" t="e">
        <f>ROUND(IF(ISNUMBER(MATCH(B387,E!$B$6:$B$197,0)),VLOOKUP(B387,E!$B$6:$E$197,2,FALSE),IF(#REF!="დიახ",IF(VLOOKUP(B387,M!$B$6:$I$733,8,FALSE)="ლ",VLOOKUP(B387,M!$B$6:$I$733,3,FALSE)*0.001*#REF!*#REF!,IF(VLOOKUP(B387,M!$B$6:$I$733,8,FALSE)="მბ",VLOOKUP(B387,M!$B$6:$I$733,3,FALSE)*0.001*#REF!*#REF!,IF(VLOOKUP(B387,M!$B$6:$I$733,8,FALSE)="აბ",VLOOKUP(B387,M!$B$6:$I$733,3,FALSE)*0.001*#REF!*#REF!,IF(VLOOKUP(B387,M!$B$6:$I$733,8,FALSE)="ინ",VLOOKUP(B387,M!$B$6:$I$733,3,FALSE)*0.001*#REF!*#REF!,IF(VLOOKUP(B387,M!$B$6:$I$733,8,FALSE)="ას",VLOOKUP(B387,M!$B$6:$I$733,3,FALSE)*0.001*#REF!*#REF!,IF(VLOOKUP(B387,M!$B$6:$I$733,8,FALSE)="სხ",VLOOKUP(B387,M!$B$6:$I$733,3,FALSE)*0.001*#REF!*#REF!,IF(VLOOKUP(B387,M!$B$6:$I$733,8,FALSE)="ხმ",VLOOKUP(B387,M!$B$6:$I$733,3,FALSE)*0.001*#REF!*#REF!))))))))),2)</f>
        <v>#REF!</v>
      </c>
      <c r="K387" s="31" t="e">
        <f t="shared" si="102"/>
        <v>#REF!</v>
      </c>
      <c r="L387" s="14" t="e">
        <f t="shared" si="100"/>
        <v>#REF!</v>
      </c>
      <c r="M387" s="23" t="str">
        <f>(IF(ISNUMBER(MATCH(B387,E!$B$6:$B$197,0)),VLOOKUP(B387,E!$B$6:$E$197,4,FALSE),VLOOKUP(B387,M!$B$6:$I$733,7,FALSE)))</f>
        <v>4.1-378</v>
      </c>
    </row>
    <row r="388" spans="1:13" ht="39.950000000000003" customHeight="1" x14ac:dyDescent="0.25">
      <c r="A388" s="16" t="s">
        <v>696</v>
      </c>
      <c r="B388" s="2" t="s">
        <v>548</v>
      </c>
      <c r="C388" s="2" t="s">
        <v>674</v>
      </c>
      <c r="D388" s="2">
        <v>7.4999999999999997E-2</v>
      </c>
      <c r="E388" s="14">
        <f>D388*E382</f>
        <v>7.4999999999999997E-2</v>
      </c>
      <c r="F388" s="31" t="e">
        <f>ROUND(VLOOKUP(B388,M!$B$6:$H$733,IF(#REF!="დაბალი",4,IF(#REF!="საშუალო",6,IF(#REF!="მაღალი",5))),FALSE),2)</f>
        <v>#REF!</v>
      </c>
      <c r="G388" s="14" t="e">
        <f t="shared" si="101"/>
        <v>#REF!</v>
      </c>
      <c r="H388" s="13"/>
      <c r="I388" s="13"/>
      <c r="J388" s="35" t="e">
        <f>ROUND(IF(ISNUMBER(MATCH(B388,E!$B$6:$B$197,0)),VLOOKUP(B388,E!$B$6:$E$197,2,FALSE),IF(#REF!="დიახ",IF(VLOOKUP(B388,M!$B$6:$I$733,8,FALSE)="ლ",VLOOKUP(B388,M!$B$6:$I$733,3,FALSE)*0.001*#REF!*#REF!,IF(VLOOKUP(B388,M!$B$6:$I$733,8,FALSE)="მბ",VLOOKUP(B388,M!$B$6:$I$733,3,FALSE)*0.001*#REF!*#REF!,IF(VLOOKUP(B388,M!$B$6:$I$733,8,FALSE)="აბ",VLOOKUP(B388,M!$B$6:$I$733,3,FALSE)*0.001*#REF!*#REF!,IF(VLOOKUP(B388,M!$B$6:$I$733,8,FALSE)="ინ",VLOOKUP(B388,M!$B$6:$I$733,3,FALSE)*0.001*#REF!*#REF!,IF(VLOOKUP(B388,M!$B$6:$I$733,8,FALSE)="ას",VLOOKUP(B388,M!$B$6:$I$733,3,FALSE)*0.001*#REF!*#REF!,IF(VLOOKUP(B388,M!$B$6:$I$733,8,FALSE)="სხ",VLOOKUP(B388,M!$B$6:$I$733,3,FALSE)*0.001*#REF!*#REF!,IF(VLOOKUP(B388,M!$B$6:$I$733,8,FALSE)="ხმ",VLOOKUP(B388,M!$B$6:$I$733,3,FALSE)*0.001*#REF!*#REF!))))))))),2)</f>
        <v>#REF!</v>
      </c>
      <c r="K388" s="31" t="e">
        <f>ROUND(E388*J388,2)</f>
        <v>#REF!</v>
      </c>
      <c r="L388" s="14" t="e">
        <f t="shared" si="100"/>
        <v>#REF!</v>
      </c>
      <c r="M388" s="23" t="str">
        <f>(IF(ISNUMBER(MATCH(B388,E!$B$6:$B$197,0)),VLOOKUP(B388,E!$B$6:$E$197,4,FALSE),VLOOKUP(B388,M!$B$6:$I$733,7,FALSE)))</f>
        <v>5.1-19</v>
      </c>
    </row>
    <row r="389" spans="1:13" ht="39.950000000000003" customHeight="1" x14ac:dyDescent="0.25">
      <c r="A389" s="16" t="s">
        <v>733</v>
      </c>
      <c r="B389" s="17" t="s">
        <v>677</v>
      </c>
      <c r="C389" s="2" t="s">
        <v>393</v>
      </c>
      <c r="D389" s="2">
        <v>6.4</v>
      </c>
      <c r="E389" s="14">
        <f>D389*E382</f>
        <v>6.4</v>
      </c>
      <c r="F389" s="31" t="e">
        <f>ROUND(VLOOKUP(B389,M!$B$6:$H$733,IF(#REF!="დაბალი",4,IF(#REF!="საშუალო",6,IF(#REF!="მაღალი",5))),FALSE),2)</f>
        <v>#REF!</v>
      </c>
      <c r="G389" s="14" t="e">
        <f>ROUND(E389*F389,2)</f>
        <v>#REF!</v>
      </c>
      <c r="H389" s="13"/>
      <c r="I389" s="13"/>
      <c r="J389" s="35"/>
      <c r="K389" s="31"/>
      <c r="L389" s="14" t="e">
        <f t="shared" si="100"/>
        <v>#REF!</v>
      </c>
      <c r="M389" s="23" t="str">
        <f>(IF(ISNUMBER(MATCH(B389,E!$B$6:$B$197,0)),VLOOKUP(B389,E!$B$6:$E$197,4,FALSE),VLOOKUP(B389,M!$B$6:$I$733,7,FALSE)))</f>
        <v>ს.რ.ფ</v>
      </c>
    </row>
    <row r="390" spans="1:13" ht="80.099999999999994" customHeight="1" x14ac:dyDescent="0.25">
      <c r="A390" s="8">
        <v>27</v>
      </c>
      <c r="B390" s="9" t="s">
        <v>630</v>
      </c>
      <c r="C390" s="10"/>
      <c r="D390" s="10"/>
      <c r="E390" s="10"/>
      <c r="F390" s="30"/>
      <c r="G390" s="10"/>
      <c r="H390" s="26"/>
      <c r="I390" s="10"/>
      <c r="J390" s="30"/>
      <c r="K390" s="30"/>
      <c r="L390" s="11"/>
      <c r="M390" s="22"/>
    </row>
    <row r="391" spans="1:13" s="45" customFormat="1" ht="39.950000000000003" customHeight="1" x14ac:dyDescent="0.25">
      <c r="A391" s="39">
        <v>1.1000000000000001</v>
      </c>
      <c r="B391" s="40" t="s">
        <v>780</v>
      </c>
      <c r="C391" s="41" t="s">
        <v>712</v>
      </c>
      <c r="D391" s="41"/>
      <c r="E391" s="52">
        <v>100</v>
      </c>
      <c r="F391" s="42"/>
      <c r="G391" s="42"/>
      <c r="H391" s="42"/>
      <c r="I391" s="42"/>
      <c r="J391" s="35"/>
      <c r="K391" s="46"/>
      <c r="L391" s="43" t="e">
        <f>SUM(L392:L397)</f>
        <v>#REF!</v>
      </c>
      <c r="M391" s="44" t="s">
        <v>692</v>
      </c>
    </row>
    <row r="392" spans="1:13" ht="39.950000000000003" customHeight="1" x14ac:dyDescent="0.25">
      <c r="A392" s="16" t="s">
        <v>668</v>
      </c>
      <c r="B392" s="17" t="s">
        <v>669</v>
      </c>
      <c r="C392" s="2" t="s">
        <v>670</v>
      </c>
      <c r="D392" s="2">
        <v>15</v>
      </c>
      <c r="E392" s="14">
        <f>D392*E391/100</f>
        <v>15</v>
      </c>
      <c r="F392" s="13"/>
      <c r="G392" s="13"/>
      <c r="H392" s="27">
        <f>IF((ISNUMBER(--LEFT(M391,2))),VLOOKUP(--LEFT(M391,2),N!$A$5:$C$54,3,FALSE),VLOOKUP(--LEFT(M391,1),N!$A$5:$C$54,3,FALSE))</f>
        <v>6</v>
      </c>
      <c r="I392" s="14">
        <f>ROUND(E392*H392,2)</f>
        <v>90</v>
      </c>
      <c r="J392" s="35">
        <f>ROUND(IF(ISNUMBER(MATCH(B392,E!$B$6:$B$197,0)),VLOOKUP(B392,E!$B$6:$E$197,2,FALSE),IF(#REF!="დიახ",IF(VLOOKUP(B392,M!$B$6:$I$733,8,FALSE)="ლ",VLOOKUP(B392,M!$B$6:$I$733,3,FALSE)*0.001*#REF!*#REF!,IF(VLOOKUP(B392,M!$B$6:$I$733,8,FALSE)="მბ",VLOOKUP(B392,M!$B$6:$I$733,3,FALSE)*0.001*#REF!*#REF!,IF(VLOOKUP(B392,M!$B$6:$I$733,8,FALSE)="აბ",VLOOKUP(B392,M!$B$6:$I$733,3,FALSE)*0.001*#REF!*#REF!,IF(VLOOKUP(B392,M!$B$6:$I$733,8,FALSE)="ინ",VLOOKUP(B392,M!$B$6:$I$733,3,FALSE)*0.001*#REF!*#REF!,IF(VLOOKUP(B392,M!$B$6:$I$733,8,FALSE)="ას",VLOOKUP(B392,M!$B$6:$I$733,3,FALSE)*0.001*#REF!*#REF!,IF(VLOOKUP(B392,M!$B$6:$I$733,8,FALSE)="სხ",VLOOKUP(B392,M!$B$6:$I$733,3,FALSE)*0.001*#REF!*#REF!,IF(VLOOKUP(B392,M!$B$6:$I$733,8,FALSE)="ხმ",VLOOKUP(B392,M!$B$6:$I$733,3,FALSE)*0.001*#REF!*#REF!))))))))),2)</f>
        <v>0</v>
      </c>
      <c r="K392" s="31"/>
      <c r="L392" s="14">
        <f t="shared" ref="L392:L397" si="103">G392+I392+K392</f>
        <v>90</v>
      </c>
      <c r="M392" s="23" t="str">
        <f>(IF(ISNUMBER(MATCH(B392,E!$B$6:$B$197,0)),VLOOKUP(B392,E!$B$6:$E$197,4,FALSE),VLOOKUP(B392,M!$B$6:$I$733,7,FALSE)))</f>
        <v>მ.ც</v>
      </c>
    </row>
    <row r="393" spans="1:13" ht="39.950000000000003" customHeight="1" x14ac:dyDescent="0.25">
      <c r="A393" s="16" t="s">
        <v>671</v>
      </c>
      <c r="B393" s="2" t="s">
        <v>241</v>
      </c>
      <c r="C393" s="2" t="s">
        <v>672</v>
      </c>
      <c r="D393" s="2">
        <v>2.16</v>
      </c>
      <c r="E393" s="14">
        <f>D393*E391/100</f>
        <v>2.16</v>
      </c>
      <c r="F393" s="13"/>
      <c r="G393" s="13"/>
      <c r="H393" s="13"/>
      <c r="I393" s="13"/>
      <c r="J393" s="35">
        <f>ROUND(IF(ISNUMBER(MATCH(B393,E!$B$6:$B$197,0)),VLOOKUP(B393,E!$B$6:$E$197,2,FALSE),IF(#REF!="დიახ",IF(VLOOKUP(B393,M!$B$6:$I$733,8,FALSE)="ლ",VLOOKUP(B393,M!$B$6:$I$733,3,FALSE)*0.001*#REF!*#REF!,IF(VLOOKUP(B393,M!$B$6:$I$733,8,FALSE)="მბ",VLOOKUP(B393,M!$B$6:$I$733,3,FALSE)*0.001*#REF!*#REF!,IF(VLOOKUP(B393,M!$B$6:$I$733,8,FALSE)="აბ",VLOOKUP(B393,M!$B$6:$I$733,3,FALSE)*0.001*#REF!*#REF!,IF(VLOOKUP(B393,M!$B$6:$I$733,8,FALSE)="ინ",VLOOKUP(B393,M!$B$6:$I$733,3,FALSE)*0.001*#REF!*#REF!,IF(VLOOKUP(B393,M!$B$6:$I$733,8,FALSE)="ას",VLOOKUP(B393,M!$B$6:$I$733,3,FALSE)*0.001*#REF!*#REF!,IF(VLOOKUP(B393,M!$B$6:$I$733,8,FALSE)="სხ",VLOOKUP(B393,M!$B$6:$I$733,3,FALSE)*0.001*#REF!*#REF!,IF(VLOOKUP(B393,M!$B$6:$I$733,8,FALSE)="ხმ",VLOOKUP(B393,M!$B$6:$I$733,3,FALSE)*0.001*#REF!*#REF!))))))))),2)</f>
        <v>30.57</v>
      </c>
      <c r="K393" s="31">
        <f>ROUND(E393*J393,2)</f>
        <v>66.03</v>
      </c>
      <c r="L393" s="14">
        <f t="shared" si="103"/>
        <v>66.03</v>
      </c>
      <c r="M393" s="23" t="str">
        <f>(IF(ISNUMBER(MATCH(B393,E!$B$6:$B$197,0)),VLOOKUP(B393,E!$B$6:$E$197,4,FALSE),VLOOKUP(B393,M!$B$6:$I$733,7,FALSE)))</f>
        <v>14-200</v>
      </c>
    </row>
    <row r="394" spans="1:13" ht="39.950000000000003" customHeight="1" x14ac:dyDescent="0.25">
      <c r="A394" s="16" t="s">
        <v>673</v>
      </c>
      <c r="B394" s="2" t="s">
        <v>263</v>
      </c>
      <c r="C394" s="2" t="s">
        <v>672</v>
      </c>
      <c r="D394" s="2">
        <v>2.73</v>
      </c>
      <c r="E394" s="14">
        <f>D394*E391/100</f>
        <v>2.73</v>
      </c>
      <c r="F394" s="13"/>
      <c r="G394" s="13"/>
      <c r="H394" s="13"/>
      <c r="I394" s="13"/>
      <c r="J394" s="35">
        <f>ROUND(IF(ISNUMBER(MATCH(B394,E!$B$6:$B$197,0)),VLOOKUP(B394,E!$B$6:$E$197,2,FALSE),IF(#REF!="დიახ",IF(VLOOKUP(B394,M!$B$6:$I$733,8,FALSE)="ლ",VLOOKUP(B394,M!$B$6:$I$733,3,FALSE)*0.001*#REF!*#REF!,IF(VLOOKUP(B394,M!$B$6:$I$733,8,FALSE)="მბ",VLOOKUP(B394,M!$B$6:$I$733,3,FALSE)*0.001*#REF!*#REF!,IF(VLOOKUP(B394,M!$B$6:$I$733,8,FALSE)="აბ",VLOOKUP(B394,M!$B$6:$I$733,3,FALSE)*0.001*#REF!*#REF!,IF(VLOOKUP(B394,M!$B$6:$I$733,8,FALSE)="ინ",VLOOKUP(B394,M!$B$6:$I$733,3,FALSE)*0.001*#REF!*#REF!,IF(VLOOKUP(B394,M!$B$6:$I$733,8,FALSE)="ას",VLOOKUP(B394,M!$B$6:$I$733,3,FALSE)*0.001*#REF!*#REF!,IF(VLOOKUP(B394,M!$B$6:$I$733,8,FALSE)="სხ",VLOOKUP(B394,M!$B$6:$I$733,3,FALSE)*0.001*#REF!*#REF!,IF(VLOOKUP(B394,M!$B$6:$I$733,8,FALSE)="ხმ",VLOOKUP(B394,M!$B$6:$I$733,3,FALSE)*0.001*#REF!*#REF!))))))))),2)</f>
        <v>39.18</v>
      </c>
      <c r="K394" s="31">
        <f>ROUND(E394*J394,2)</f>
        <v>106.96</v>
      </c>
      <c r="L394" s="14">
        <f t="shared" si="103"/>
        <v>106.96</v>
      </c>
      <c r="M394" s="23" t="str">
        <f>(IF(ISNUMBER(MATCH(B394,E!$B$6:$B$197,0)),VLOOKUP(B394,E!$B$6:$E$197,4,FALSE),VLOOKUP(B394,M!$B$6:$I$733,7,FALSE)))</f>
        <v>14-222</v>
      </c>
    </row>
    <row r="395" spans="1:13" ht="39.950000000000003" customHeight="1" x14ac:dyDescent="0.25">
      <c r="A395" s="16" t="s">
        <v>675</v>
      </c>
      <c r="B395" s="2" t="s">
        <v>266</v>
      </c>
      <c r="C395" s="2" t="s">
        <v>672</v>
      </c>
      <c r="D395" s="2">
        <v>0.97</v>
      </c>
      <c r="E395" s="14">
        <f>D395*E391/100</f>
        <v>0.97</v>
      </c>
      <c r="F395" s="13"/>
      <c r="G395" s="13"/>
      <c r="H395" s="13"/>
      <c r="I395" s="13"/>
      <c r="J395" s="35">
        <f>ROUND(IF(ISNUMBER(MATCH(B395,E!$B$6:$B$197,0)),VLOOKUP(B395,E!$B$6:$E$197,2,FALSE),IF(#REF!="დიახ",IF(VLOOKUP(B395,M!$B$6:$I$733,8,FALSE)="ლ",VLOOKUP(B395,M!$B$6:$I$733,3,FALSE)*0.001*#REF!*#REF!,IF(VLOOKUP(B395,M!$B$6:$I$733,8,FALSE)="მბ",VLOOKUP(B395,M!$B$6:$I$733,3,FALSE)*0.001*#REF!*#REF!,IF(VLOOKUP(B395,M!$B$6:$I$733,8,FALSE)="აბ",VLOOKUP(B395,M!$B$6:$I$733,3,FALSE)*0.001*#REF!*#REF!,IF(VLOOKUP(B395,M!$B$6:$I$733,8,FALSE)="ინ",VLOOKUP(B395,M!$B$6:$I$733,3,FALSE)*0.001*#REF!*#REF!,IF(VLOOKUP(B395,M!$B$6:$I$733,8,FALSE)="ას",VLOOKUP(B395,M!$B$6:$I$733,3,FALSE)*0.001*#REF!*#REF!,IF(VLOOKUP(B395,M!$B$6:$I$733,8,FALSE)="სხ",VLOOKUP(B395,M!$B$6:$I$733,3,FALSE)*0.001*#REF!*#REF!,IF(VLOOKUP(B395,M!$B$6:$I$733,8,FALSE)="ხმ",VLOOKUP(B395,M!$B$6:$I$733,3,FALSE)*0.001*#REF!*#REF!))))))))),2)</f>
        <v>52.87</v>
      </c>
      <c r="K395" s="31">
        <f>ROUND(E395*J395,2)</f>
        <v>51.28</v>
      </c>
      <c r="L395" s="14">
        <f t="shared" si="103"/>
        <v>51.28</v>
      </c>
      <c r="M395" s="23" t="str">
        <f>(IF(ISNUMBER(MATCH(B395,E!$B$6:$B$197,0)),VLOOKUP(B395,E!$B$6:$E$197,4,FALSE),VLOOKUP(B395,M!$B$6:$I$733,7,FALSE)))</f>
        <v>14-228</v>
      </c>
    </row>
    <row r="396" spans="1:13" ht="39.950000000000003" customHeight="1" x14ac:dyDescent="0.25">
      <c r="A396" s="16" t="s">
        <v>695</v>
      </c>
      <c r="B396" s="17" t="s">
        <v>693</v>
      </c>
      <c r="C396" s="2" t="s">
        <v>674</v>
      </c>
      <c r="D396" s="2">
        <v>7</v>
      </c>
      <c r="E396" s="14">
        <f>D396*E391/100</f>
        <v>7</v>
      </c>
      <c r="F396" s="31" t="e">
        <f>ROUND(VLOOKUP(B396,M!$B$6:$H$733,IF(#REF!="დაბალი",4,IF(#REF!="საშუალო",6,IF(#REF!="მაღალი",5))),FALSE),2)</f>
        <v>#REF!</v>
      </c>
      <c r="G396" s="14" t="e">
        <f>ROUND(E396*F396,2)</f>
        <v>#REF!</v>
      </c>
      <c r="H396" s="13"/>
      <c r="I396" s="13"/>
      <c r="J396" s="35" t="e">
        <f>ROUND(IF(ISNUMBER(MATCH(B396,E!$B$6:$B$197,0)),VLOOKUP(B396,E!$B$6:$E$197,2,FALSE),IF(#REF!="დიახ",IF(VLOOKUP(B396,M!$B$6:$I$733,8,FALSE)="ლ",VLOOKUP(B396,M!$B$6:$I$733,3,FALSE)*0.001*#REF!*#REF!,IF(VLOOKUP(B396,M!$B$6:$I$733,8,FALSE)="მბ",VLOOKUP(B396,M!$B$6:$I$733,3,FALSE)*0.001*#REF!*#REF!,IF(VLOOKUP(B396,M!$B$6:$I$733,8,FALSE)="აბ",VLOOKUP(B396,M!$B$6:$I$733,3,FALSE)*0.001*#REF!*#REF!,IF(VLOOKUP(B396,M!$B$6:$I$733,8,FALSE)="ინ",VLOOKUP(B396,M!$B$6:$I$733,3,FALSE)*0.001*#REF!*#REF!,IF(VLOOKUP(B396,M!$B$6:$I$733,8,FALSE)="ას",VLOOKUP(B396,M!$B$6:$I$733,3,FALSE)*0.001*#REF!*#REF!,IF(VLOOKUP(B396,M!$B$6:$I$733,8,FALSE)="სხ",VLOOKUP(B396,M!$B$6:$I$733,3,FALSE)*0.001*#REF!*#REF!,IF(VLOOKUP(B396,M!$B$6:$I$733,8,FALSE)="ხმ",VLOOKUP(B396,M!$B$6:$I$733,3,FALSE)*0.001*#REF!*#REF!))))))))),2)</f>
        <v>#REF!</v>
      </c>
      <c r="K396" s="31"/>
      <c r="L396" s="14" t="e">
        <f t="shared" si="103"/>
        <v>#REF!</v>
      </c>
      <c r="M396" s="23" t="str">
        <f>(IF(ISNUMBER(MATCH(B396,E!$B$6:$B$197,0)),VLOOKUP(B396,E!$B$6:$E$197,4,FALSE),VLOOKUP(B396,M!$B$6:$I$733,7,FALSE)))</f>
        <v>საბ.</v>
      </c>
    </row>
    <row r="397" spans="1:13" ht="39.950000000000003" customHeight="1" x14ac:dyDescent="0.25">
      <c r="A397" s="16" t="s">
        <v>696</v>
      </c>
      <c r="B397" s="2" t="s">
        <v>331</v>
      </c>
      <c r="C397" s="2" t="s">
        <v>674</v>
      </c>
      <c r="D397" s="2">
        <v>122</v>
      </c>
      <c r="E397" s="14">
        <f>D397*E391/100</f>
        <v>122</v>
      </c>
      <c r="F397" s="31" t="e">
        <f>ROUND(VLOOKUP(B397,M!$B$6:$H$733,IF(#REF!="დაბალი",4,IF(#REF!="საშუალო",6,IF(#REF!="მაღალი",5))),FALSE),2)</f>
        <v>#REF!</v>
      </c>
      <c r="G397" s="14" t="e">
        <f>ROUND(E397*F397,2)</f>
        <v>#REF!</v>
      </c>
      <c r="H397" s="13"/>
      <c r="I397" s="13"/>
      <c r="J397" s="35" t="e">
        <f>ROUND(IF(ISNUMBER(MATCH(B397,E!$B$6:$B$197,0)),VLOOKUP(B397,E!$B$6:$E$197,2,FALSE),IF(#REF!="დიახ",IF(VLOOKUP(B397,M!$B$6:$I$733,8,FALSE)="ლ",VLOOKUP(B397,M!$B$6:$I$733,3,FALSE)*0.001*#REF!*#REF!,IF(VLOOKUP(B397,M!$B$6:$I$733,8,FALSE)="მბ",VLOOKUP(B397,M!$B$6:$I$733,3,FALSE)*0.001*#REF!*#REF!,IF(VLOOKUP(B397,M!$B$6:$I$733,8,FALSE)="აბ",VLOOKUP(B397,M!$B$6:$I$733,3,FALSE)*0.001*#REF!*#REF!,IF(VLOOKUP(B397,M!$B$6:$I$733,8,FALSE)="ინ",VLOOKUP(B397,M!$B$6:$I$733,3,FALSE)*0.001*#REF!*#REF!,IF(VLOOKUP(B397,M!$B$6:$I$733,8,FALSE)="ას",VLOOKUP(B397,M!$B$6:$I$733,3,FALSE)*0.001*#REF!*#REF!,IF(VLOOKUP(B397,M!$B$6:$I$733,8,FALSE)="სხ",VLOOKUP(B397,M!$B$6:$I$733,3,FALSE)*0.001*#REF!*#REF!,IF(VLOOKUP(B397,M!$B$6:$I$733,8,FALSE)="ხმ",VLOOKUP(B397,M!$B$6:$I$733,3,FALSE)*0.001*#REF!*#REF!))))))))),2)</f>
        <v>#REF!</v>
      </c>
      <c r="K397" s="31" t="e">
        <f>ROUND(E397*J397,2)</f>
        <v>#REF!</v>
      </c>
      <c r="L397" s="14" t="e">
        <f t="shared" si="103"/>
        <v>#REF!</v>
      </c>
      <c r="M397" s="23" t="str">
        <f>(IF(ISNUMBER(MATCH(B397,E!$B$6:$B$197,0)),VLOOKUP(B397,E!$B$6:$E$197,4,FALSE),VLOOKUP(B397,M!$B$6:$I$733,7,FALSE)))</f>
        <v>4.1-228</v>
      </c>
    </row>
    <row r="398" spans="1:13" s="45" customFormat="1" ht="39.950000000000003" customHeight="1" x14ac:dyDescent="0.25">
      <c r="A398" s="39">
        <v>1.1000000000000001</v>
      </c>
      <c r="B398" s="40" t="s">
        <v>738</v>
      </c>
      <c r="C398" s="41" t="s">
        <v>712</v>
      </c>
      <c r="D398" s="41"/>
      <c r="E398" s="52">
        <v>100</v>
      </c>
      <c r="F398" s="42"/>
      <c r="G398" s="42"/>
      <c r="H398" s="42"/>
      <c r="I398" s="42"/>
      <c r="J398" s="35"/>
      <c r="K398" s="46"/>
      <c r="L398" s="43">
        <f>SUM(L399:L402)</f>
        <v>2501.75</v>
      </c>
      <c r="M398" s="48" t="s">
        <v>739</v>
      </c>
    </row>
    <row r="399" spans="1:13" ht="39.950000000000003" customHeight="1" x14ac:dyDescent="0.25">
      <c r="A399" s="16" t="s">
        <v>668</v>
      </c>
      <c r="B399" s="17" t="s">
        <v>669</v>
      </c>
      <c r="C399" s="2" t="s">
        <v>670</v>
      </c>
      <c r="D399" s="2">
        <v>160</v>
      </c>
      <c r="E399" s="14">
        <f>D399*E398/100</f>
        <v>160</v>
      </c>
      <c r="F399" s="13"/>
      <c r="G399" s="13"/>
      <c r="H399" s="27">
        <f>IF((ISNUMBER(--LEFT(M398,2))),VLOOKUP(--LEFT(M398,2),N!$A$5:$C$54,3,FALSE),VLOOKUP(--LEFT(M398,1),N!$A$5:$C$54,3,FALSE))</f>
        <v>6</v>
      </c>
      <c r="I399" s="14">
        <f>ROUND(E399*H399,2)</f>
        <v>960</v>
      </c>
      <c r="J399" s="35">
        <f>ROUND(IF(ISNUMBER(MATCH(B399,E!$B$6:$B$197,0)),VLOOKUP(B399,E!$B$6:$E$197,2,FALSE),IF(#REF!="დიახ",IF(VLOOKUP(B399,M!$B$6:$I$733,8,FALSE)="ლ",VLOOKUP(B399,M!$B$6:$I$733,3,FALSE)*0.001*#REF!*#REF!,IF(VLOOKUP(B399,M!$B$6:$I$733,8,FALSE)="მბ",VLOOKUP(B399,M!$B$6:$I$733,3,FALSE)*0.001*#REF!*#REF!,IF(VLOOKUP(B399,M!$B$6:$I$733,8,FALSE)="აბ",VLOOKUP(B399,M!$B$6:$I$733,3,FALSE)*0.001*#REF!*#REF!,IF(VLOOKUP(B399,M!$B$6:$I$733,8,FALSE)="ინ",VLOOKUP(B399,M!$B$6:$I$733,3,FALSE)*0.001*#REF!*#REF!,IF(VLOOKUP(B399,M!$B$6:$I$733,8,FALSE)="ას",VLOOKUP(B399,M!$B$6:$I$733,3,FALSE)*0.001*#REF!*#REF!,IF(VLOOKUP(B399,M!$B$6:$I$733,8,FALSE)="სხ",VLOOKUP(B399,M!$B$6:$I$733,3,FALSE)*0.001*#REF!*#REF!,IF(VLOOKUP(B399,M!$B$6:$I$733,8,FALSE)="ხმ",VLOOKUP(B399,M!$B$6:$I$733,3,FALSE)*0.001*#REF!*#REF!))))))))),2)</f>
        <v>0</v>
      </c>
      <c r="K399" s="31"/>
      <c r="L399" s="14">
        <f>G399+I399+K399</f>
        <v>960</v>
      </c>
      <c r="M399" s="23" t="str">
        <f>(IF(ISNUMBER(MATCH(B399,E!$B$6:$B$197,0)),VLOOKUP(B399,E!$B$6:$E$197,4,FALSE),VLOOKUP(B399,M!$B$6:$I$733,7,FALSE)))</f>
        <v>მ.ც</v>
      </c>
    </row>
    <row r="400" spans="1:13" ht="39.950000000000003" customHeight="1" x14ac:dyDescent="0.25">
      <c r="A400" s="16" t="s">
        <v>671</v>
      </c>
      <c r="B400" s="17" t="s">
        <v>241</v>
      </c>
      <c r="C400" s="2" t="s">
        <v>672</v>
      </c>
      <c r="D400" s="2">
        <v>1.91</v>
      </c>
      <c r="E400" s="14">
        <f>D400*E398/100</f>
        <v>1.91</v>
      </c>
      <c r="F400" s="13"/>
      <c r="G400" s="13"/>
      <c r="H400" s="13"/>
      <c r="I400" s="13"/>
      <c r="J400" s="35">
        <f>ROUND(IF(ISNUMBER(MATCH(B400,E!$B$6:$B$197,0)),VLOOKUP(B400,E!$B$6:$E$197,2,FALSE),IF(#REF!="დიახ",IF(VLOOKUP(B400,M!$B$6:$I$733,8,FALSE)="ლ",VLOOKUP(B400,M!$B$6:$I$733,3,FALSE)*0.001*#REF!*#REF!,IF(VLOOKUP(B400,M!$B$6:$I$733,8,FALSE)="მბ",VLOOKUP(B400,M!$B$6:$I$733,3,FALSE)*0.001*#REF!*#REF!,IF(VLOOKUP(B400,M!$B$6:$I$733,8,FALSE)="აბ",VLOOKUP(B400,M!$B$6:$I$733,3,FALSE)*0.001*#REF!*#REF!,IF(VLOOKUP(B400,M!$B$6:$I$733,8,FALSE)="ინ",VLOOKUP(B400,M!$B$6:$I$733,3,FALSE)*0.001*#REF!*#REF!,IF(VLOOKUP(B400,M!$B$6:$I$733,8,FALSE)="ას",VLOOKUP(B400,M!$B$6:$I$733,3,FALSE)*0.001*#REF!*#REF!,IF(VLOOKUP(B400,M!$B$6:$I$733,8,FALSE)="სხ",VLOOKUP(B400,M!$B$6:$I$733,3,FALSE)*0.001*#REF!*#REF!,IF(VLOOKUP(B400,M!$B$6:$I$733,8,FALSE)="ხმ",VLOOKUP(B400,M!$B$6:$I$733,3,FALSE)*0.001*#REF!*#REF!))))))))),2)</f>
        <v>30.57</v>
      </c>
      <c r="K400" s="31">
        <f>ROUND(E400*J400,2)</f>
        <v>58.39</v>
      </c>
      <c r="L400" s="14">
        <f>G400+I400+K400</f>
        <v>58.39</v>
      </c>
      <c r="M400" s="23" t="str">
        <f>(IF(ISNUMBER(MATCH(B400,E!$B$6:$B$197,0)),VLOOKUP(B400,E!$B$6:$E$197,4,FALSE),VLOOKUP(B400,M!$B$6:$I$733,7,FALSE)))</f>
        <v>14-200</v>
      </c>
    </row>
    <row r="401" spans="1:13" ht="39.950000000000003" customHeight="1" x14ac:dyDescent="0.25">
      <c r="A401" s="16" t="s">
        <v>673</v>
      </c>
      <c r="B401" s="2" t="s">
        <v>276</v>
      </c>
      <c r="C401" s="2" t="s">
        <v>672</v>
      </c>
      <c r="D401" s="2">
        <v>77.5</v>
      </c>
      <c r="E401" s="14">
        <f>D401*E398/100</f>
        <v>77.5</v>
      </c>
      <c r="F401" s="13"/>
      <c r="G401" s="13"/>
      <c r="H401" s="13"/>
      <c r="I401" s="13"/>
      <c r="J401" s="35">
        <f>ROUND(IF(ISNUMBER(MATCH(B401,E!$B$6:$B$197,0)),VLOOKUP(B401,E!$B$6:$E$197,2,FALSE),IF(#REF!="დიახ",IF(VLOOKUP(B401,M!$B$6:$I$733,8,FALSE)="ლ",VLOOKUP(B401,M!$B$6:$I$733,3,FALSE)*0.001*#REF!*#REF!,IF(VLOOKUP(B401,M!$B$6:$I$733,8,FALSE)="მბ",VLOOKUP(B401,M!$B$6:$I$733,3,FALSE)*0.001*#REF!*#REF!,IF(VLOOKUP(B401,M!$B$6:$I$733,8,FALSE)="აბ",VLOOKUP(B401,M!$B$6:$I$733,3,FALSE)*0.001*#REF!*#REF!,IF(VLOOKUP(B401,M!$B$6:$I$733,8,FALSE)="ინ",VLOOKUP(B401,M!$B$6:$I$733,3,FALSE)*0.001*#REF!*#REF!,IF(VLOOKUP(B401,M!$B$6:$I$733,8,FALSE)="ას",VLOOKUP(B401,M!$B$6:$I$733,3,FALSE)*0.001*#REF!*#REF!,IF(VLOOKUP(B401,M!$B$6:$I$733,8,FALSE)="სხ",VLOOKUP(B401,M!$B$6:$I$733,3,FALSE)*0.001*#REF!*#REF!,IF(VLOOKUP(B401,M!$B$6:$I$733,8,FALSE)="ხმ",VLOOKUP(B401,M!$B$6:$I$733,3,FALSE)*0.001*#REF!*#REF!))))))))),2)</f>
        <v>6.73</v>
      </c>
      <c r="K401" s="31">
        <f>ROUND(E401*J401,2)</f>
        <v>521.58000000000004</v>
      </c>
      <c r="L401" s="14">
        <f>G401+I401+K401</f>
        <v>521.58000000000004</v>
      </c>
      <c r="M401" s="23" t="str">
        <f>(IF(ISNUMBER(MATCH(B401,E!$B$6:$B$197,0)),VLOOKUP(B401,E!$B$6:$E$197,4,FALSE),VLOOKUP(B401,M!$B$6:$I$733,7,FALSE)))</f>
        <v>14-332</v>
      </c>
    </row>
    <row r="402" spans="1:13" ht="39.950000000000003" customHeight="1" x14ac:dyDescent="0.25">
      <c r="A402" s="16" t="s">
        <v>675</v>
      </c>
      <c r="B402" s="17" t="s">
        <v>202</v>
      </c>
      <c r="C402" s="2" t="s">
        <v>672</v>
      </c>
      <c r="D402" s="2">
        <v>38.75</v>
      </c>
      <c r="E402" s="14">
        <f>D402*E398/100</f>
        <v>38.75</v>
      </c>
      <c r="F402" s="14"/>
      <c r="G402" s="13"/>
      <c r="H402" s="2"/>
      <c r="I402" s="2"/>
      <c r="J402" s="35">
        <f>ROUND(IF(ISNUMBER(MATCH(B402,E!$B$6:$B$197,0)),VLOOKUP(B402,E!$B$6:$E$197,2,FALSE),IF(#REF!="დიახ",IF(VLOOKUP(B402,M!$B$6:$I$733,8,FALSE)="ლ",VLOOKUP(B402,M!$B$6:$I$733,3,FALSE)*0.001*#REF!*#REF!,IF(VLOOKUP(B402,M!$B$6:$I$733,8,FALSE)="მბ",VLOOKUP(B402,M!$B$6:$I$733,3,FALSE)*0.001*#REF!*#REF!,IF(VLOOKUP(B402,M!$B$6:$I$733,8,FALSE)="აბ",VLOOKUP(B402,M!$B$6:$I$733,3,FALSE)*0.001*#REF!*#REF!,IF(VLOOKUP(B402,M!$B$6:$I$733,8,FALSE)="ინ",VLOOKUP(B402,M!$B$6:$I$733,3,FALSE)*0.001*#REF!*#REF!,IF(VLOOKUP(B402,M!$B$6:$I$733,8,FALSE)="ას",VLOOKUP(B402,M!$B$6:$I$733,3,FALSE)*0.001*#REF!*#REF!,IF(VLOOKUP(B402,M!$B$6:$I$733,8,FALSE)="სხ",VLOOKUP(B402,M!$B$6:$I$733,3,FALSE)*0.001*#REF!*#REF!,IF(VLOOKUP(B402,M!$B$6:$I$733,8,FALSE)="ხმ",VLOOKUP(B402,M!$B$6:$I$733,3,FALSE)*0.001*#REF!*#REF!))))))))),2)</f>
        <v>24.82</v>
      </c>
      <c r="K402" s="31">
        <f>ROUND(E402*J402,2)</f>
        <v>961.78</v>
      </c>
      <c r="L402" s="14">
        <f>G402+I402+K402</f>
        <v>961.78</v>
      </c>
      <c r="M402" s="23" t="str">
        <f>(IF(ISNUMBER(MATCH(B402,E!$B$6:$B$197,0)),VLOOKUP(B402,E!$B$6:$E$197,4,FALSE),VLOOKUP(B402,M!$B$6:$I$733,7,FALSE)))</f>
        <v>14-113</v>
      </c>
    </row>
    <row r="403" spans="1:13" s="45" customFormat="1" ht="39.950000000000003" customHeight="1" x14ac:dyDescent="0.25">
      <c r="A403" s="39">
        <v>1.1000000000000001</v>
      </c>
      <c r="B403" s="40" t="s">
        <v>706</v>
      </c>
      <c r="C403" s="41" t="s">
        <v>711</v>
      </c>
      <c r="D403" s="41"/>
      <c r="E403" s="51">
        <v>1000</v>
      </c>
      <c r="F403" s="42"/>
      <c r="G403" s="42"/>
      <c r="H403" s="42"/>
      <c r="I403" s="42"/>
      <c r="J403" s="35"/>
      <c r="K403" s="46"/>
      <c r="L403" s="43" t="e">
        <f>SUM(L404:L414)</f>
        <v>#REF!</v>
      </c>
      <c r="M403" s="47" t="str">
        <f>IF(MID(RIGHT(B403,6),1,2)&gt;"18","27-11-2-3-4","27-11-2")</f>
        <v>27-11-2-3-4</v>
      </c>
    </row>
    <row r="404" spans="1:13" ht="39.950000000000003" customHeight="1" x14ac:dyDescent="0.25">
      <c r="A404" s="16" t="s">
        <v>668</v>
      </c>
      <c r="B404" s="17" t="s">
        <v>669</v>
      </c>
      <c r="C404" s="2" t="s">
        <v>670</v>
      </c>
      <c r="D404" s="2">
        <f>IF(MID(RIGHT(B403,6),1,2)&gt;"18",33+28.6,33)</f>
        <v>61.6</v>
      </c>
      <c r="E404" s="14">
        <f>D404*E403/1000</f>
        <v>61.6</v>
      </c>
      <c r="F404" s="13"/>
      <c r="G404" s="13"/>
      <c r="H404" s="27">
        <f>IF((ISNUMBER(--LEFT(M403,2))),VLOOKUP(--LEFT(M403,2),N!$A$5:$C$54,3,FALSE),VLOOKUP(--LEFT(M403,1),N!$A$5:$C$54,3,FALSE))</f>
        <v>6</v>
      </c>
      <c r="I404" s="14">
        <f>ROUND(E404*H404,2)</f>
        <v>369.6</v>
      </c>
      <c r="J404" s="35">
        <f>ROUND(IF(ISNUMBER(MATCH(B404,E!$B$6:$B$197,0)),VLOOKUP(B404,E!$B$6:$E$197,2,FALSE),IF(#REF!="დიახ",IF(VLOOKUP(B404,M!$B$6:$I$733,8,FALSE)="ლ",VLOOKUP(B404,M!$B$6:$I$733,3,FALSE)*0.001*#REF!*#REF!,IF(VLOOKUP(B404,M!$B$6:$I$733,8,FALSE)="მბ",VLOOKUP(B404,M!$B$6:$I$733,3,FALSE)*0.001*#REF!*#REF!,IF(VLOOKUP(B404,M!$B$6:$I$733,8,FALSE)="აბ",VLOOKUP(B404,M!$B$6:$I$733,3,FALSE)*0.001*#REF!*#REF!,IF(VLOOKUP(B404,M!$B$6:$I$733,8,FALSE)="ინ",VLOOKUP(B404,M!$B$6:$I$733,3,FALSE)*0.001*#REF!*#REF!,IF(VLOOKUP(B404,M!$B$6:$I$733,8,FALSE)="ას",VLOOKUP(B404,M!$B$6:$I$733,3,FALSE)*0.001*#REF!*#REF!,IF(VLOOKUP(B404,M!$B$6:$I$733,8,FALSE)="სხ",VLOOKUP(B404,M!$B$6:$I$733,3,FALSE)*0.001*#REF!*#REF!,IF(VLOOKUP(B404,M!$B$6:$I$733,8,FALSE)="ხმ",VLOOKUP(B404,M!$B$6:$I$733,3,FALSE)*0.001*#REF!*#REF!))))))))),2)</f>
        <v>0</v>
      </c>
      <c r="K404" s="31"/>
      <c r="L404" s="14">
        <f t="shared" ref="L404:L414" si="104">G404+I404+K404</f>
        <v>369.6</v>
      </c>
      <c r="M404" s="23" t="str">
        <f>(IF(ISNUMBER(MATCH(B404,E!$B$6:$B$197,0)),VLOOKUP(B404,E!$B$6:$E$197,4,FALSE),VLOOKUP(B404,M!$B$6:$I$733,7,FALSE)))</f>
        <v>მ.ც</v>
      </c>
    </row>
    <row r="405" spans="1:13" ht="39.950000000000003" customHeight="1" x14ac:dyDescent="0.25">
      <c r="A405" s="16" t="s">
        <v>671</v>
      </c>
      <c r="B405" s="2" t="s">
        <v>241</v>
      </c>
      <c r="C405" s="2" t="s">
        <v>672</v>
      </c>
      <c r="D405" s="2">
        <f>IF(MID(RIGHT(B403,6),1,2)&gt;"18",1.91+0.42,1.91)</f>
        <v>2.33</v>
      </c>
      <c r="E405" s="14">
        <f>D405*E403/1000</f>
        <v>2.33</v>
      </c>
      <c r="F405" s="13"/>
      <c r="G405" s="13"/>
      <c r="H405" s="13"/>
      <c r="I405" s="13"/>
      <c r="J405" s="35">
        <f>ROUND(IF(ISNUMBER(MATCH(B405,E!$B$6:$B$197,0)),VLOOKUP(B405,E!$B$6:$E$197,2,FALSE),IF(#REF!="დიახ",IF(VLOOKUP(B405,M!$B$6:$I$733,8,FALSE)="ლ",VLOOKUP(B405,M!$B$6:$I$733,3,FALSE)*0.001*#REF!*#REF!,IF(VLOOKUP(B405,M!$B$6:$I$733,8,FALSE)="მბ",VLOOKUP(B405,M!$B$6:$I$733,3,FALSE)*0.001*#REF!*#REF!,IF(VLOOKUP(B405,M!$B$6:$I$733,8,FALSE)="აბ",VLOOKUP(B405,M!$B$6:$I$733,3,FALSE)*0.001*#REF!*#REF!,IF(VLOOKUP(B405,M!$B$6:$I$733,8,FALSE)="ინ",VLOOKUP(B405,M!$B$6:$I$733,3,FALSE)*0.001*#REF!*#REF!,IF(VLOOKUP(B405,M!$B$6:$I$733,8,FALSE)="ას",VLOOKUP(B405,M!$B$6:$I$733,3,FALSE)*0.001*#REF!*#REF!,IF(VLOOKUP(B405,M!$B$6:$I$733,8,FALSE)="სხ",VLOOKUP(B405,M!$B$6:$I$733,3,FALSE)*0.001*#REF!*#REF!,IF(VLOOKUP(B405,M!$B$6:$I$733,8,FALSE)="ხმ",VLOOKUP(B405,M!$B$6:$I$733,3,FALSE)*0.001*#REF!*#REF!))))))))),2)</f>
        <v>30.57</v>
      </c>
      <c r="K405" s="31">
        <f>ROUND(E405*J405,2)</f>
        <v>71.23</v>
      </c>
      <c r="L405" s="14">
        <f t="shared" si="104"/>
        <v>71.23</v>
      </c>
      <c r="M405" s="23" t="str">
        <f>(IF(ISNUMBER(MATCH(B405,E!$B$6:$B$197,0)),VLOOKUP(B405,E!$B$6:$E$197,4,FALSE),VLOOKUP(B405,M!$B$6:$I$733,7,FALSE)))</f>
        <v>14-200</v>
      </c>
    </row>
    <row r="406" spans="1:13" ht="39.950000000000003" customHeight="1" x14ac:dyDescent="0.25">
      <c r="A406" s="16" t="s">
        <v>673</v>
      </c>
      <c r="B406" s="2" t="s">
        <v>235</v>
      </c>
      <c r="C406" s="2" t="s">
        <v>672</v>
      </c>
      <c r="D406" s="2">
        <v>2.58</v>
      </c>
      <c r="E406" s="14">
        <f>D406*E403/1000</f>
        <v>2.58</v>
      </c>
      <c r="F406" s="13"/>
      <c r="G406" s="13"/>
      <c r="H406" s="13"/>
      <c r="I406" s="13"/>
      <c r="J406" s="35">
        <f>ROUND(IF(ISNUMBER(MATCH(B406,E!$B$6:$B$197,0)),VLOOKUP(B406,E!$B$6:$E$197,2,FALSE),IF(#REF!="დიახ",IF(VLOOKUP(B406,M!$B$6:$I$733,8,FALSE)="ლ",VLOOKUP(B406,M!$B$6:$I$733,3,FALSE)*0.001*#REF!*#REF!,IF(VLOOKUP(B406,M!$B$6:$I$733,8,FALSE)="მბ",VLOOKUP(B406,M!$B$6:$I$733,3,FALSE)*0.001*#REF!*#REF!,IF(VLOOKUP(B406,M!$B$6:$I$733,8,FALSE)="აბ",VLOOKUP(B406,M!$B$6:$I$733,3,FALSE)*0.001*#REF!*#REF!,IF(VLOOKUP(B406,M!$B$6:$I$733,8,FALSE)="ინ",VLOOKUP(B406,M!$B$6:$I$733,3,FALSE)*0.001*#REF!*#REF!,IF(VLOOKUP(B406,M!$B$6:$I$733,8,FALSE)="ას",VLOOKUP(B406,M!$B$6:$I$733,3,FALSE)*0.001*#REF!*#REF!,IF(VLOOKUP(B406,M!$B$6:$I$733,8,FALSE)="სხ",VLOOKUP(B406,M!$B$6:$I$733,3,FALSE)*0.001*#REF!*#REF!,IF(VLOOKUP(B406,M!$B$6:$I$733,8,FALSE)="ხმ",VLOOKUP(B406,M!$B$6:$I$733,3,FALSE)*0.001*#REF!*#REF!))))))))),2)</f>
        <v>50.66</v>
      </c>
      <c r="K406" s="31">
        <f t="shared" ref="K406:K414" si="105">ROUND(E406*J406,2)</f>
        <v>130.69999999999999</v>
      </c>
      <c r="L406" s="14">
        <f t="shared" si="104"/>
        <v>130.69999999999999</v>
      </c>
      <c r="M406" s="23" t="str">
        <f>(IF(ISNUMBER(MATCH(B406,E!$B$6:$B$197,0)),VLOOKUP(B406,E!$B$6:$E$197,4,FALSE),VLOOKUP(B406,M!$B$6:$I$733,7,FALSE)))</f>
        <v>14-147</v>
      </c>
    </row>
    <row r="407" spans="1:13" ht="39.950000000000003" customHeight="1" x14ac:dyDescent="0.25">
      <c r="A407" s="16" t="s">
        <v>675</v>
      </c>
      <c r="B407" s="2" t="s">
        <v>259</v>
      </c>
      <c r="C407" s="2" t="s">
        <v>672</v>
      </c>
      <c r="D407" s="2">
        <f>IF(MID(RIGHT(B403,6),1,2)&gt;"18",11.2+7.6,11.2)</f>
        <v>18.799999999999997</v>
      </c>
      <c r="E407" s="14">
        <f>D407*E403/1000</f>
        <v>18.799999999999997</v>
      </c>
      <c r="F407" s="13"/>
      <c r="G407" s="13"/>
      <c r="H407" s="13"/>
      <c r="I407" s="13"/>
      <c r="J407" s="35">
        <f>ROUND(IF(ISNUMBER(MATCH(B407,E!$B$6:$B$197,0)),VLOOKUP(B407,E!$B$6:$E$197,2,FALSE),IF(#REF!="დიახ",IF(VLOOKUP(B407,M!$B$6:$I$733,8,FALSE)="ლ",VLOOKUP(B407,M!$B$6:$I$733,3,FALSE)*0.001*#REF!*#REF!,IF(VLOOKUP(B407,M!$B$6:$I$733,8,FALSE)="მბ",VLOOKUP(B407,M!$B$6:$I$733,3,FALSE)*0.001*#REF!*#REF!,IF(VLOOKUP(B407,M!$B$6:$I$733,8,FALSE)="აბ",VLOOKUP(B407,M!$B$6:$I$733,3,FALSE)*0.001*#REF!*#REF!,IF(VLOOKUP(B407,M!$B$6:$I$733,8,FALSE)="ინ",VLOOKUP(B407,M!$B$6:$I$733,3,FALSE)*0.001*#REF!*#REF!,IF(VLOOKUP(B407,M!$B$6:$I$733,8,FALSE)="ას",VLOOKUP(B407,M!$B$6:$I$733,3,FALSE)*0.001*#REF!*#REF!,IF(VLOOKUP(B407,M!$B$6:$I$733,8,FALSE)="სხ",VLOOKUP(B407,M!$B$6:$I$733,3,FALSE)*0.001*#REF!*#REF!,IF(VLOOKUP(B407,M!$B$6:$I$733,8,FALSE)="ხმ",VLOOKUP(B407,M!$B$6:$I$733,3,FALSE)*0.001*#REF!*#REF!))))))))),2)</f>
        <v>20.39</v>
      </c>
      <c r="K407" s="31">
        <f t="shared" si="105"/>
        <v>383.33</v>
      </c>
      <c r="L407" s="14">
        <f t="shared" si="104"/>
        <v>383.33</v>
      </c>
      <c r="M407" s="23" t="str">
        <f>(IF(ISNUMBER(MATCH(B407,E!$B$6:$B$197,0)),VLOOKUP(B407,E!$B$6:$E$197,4,FALSE),VLOOKUP(B407,M!$B$6:$I$733,7,FALSE)))</f>
        <v>14-218</v>
      </c>
    </row>
    <row r="408" spans="1:13" ht="39.950000000000003" customHeight="1" x14ac:dyDescent="0.25">
      <c r="A408" s="16" t="s">
        <v>695</v>
      </c>
      <c r="B408" s="2" t="s">
        <v>260</v>
      </c>
      <c r="C408" s="2" t="s">
        <v>672</v>
      </c>
      <c r="D408" s="2">
        <f>IF(MID(RIGHT(B403,6),1,2)&gt;"18",24.8+15.1,24.8)</f>
        <v>39.9</v>
      </c>
      <c r="E408" s="14">
        <f>D408*E403/1000</f>
        <v>39.9</v>
      </c>
      <c r="F408" s="13"/>
      <c r="G408" s="13"/>
      <c r="H408" s="13"/>
      <c r="I408" s="13"/>
      <c r="J408" s="35">
        <f>ROUND(IF(ISNUMBER(MATCH(B408,E!$B$6:$B$197,0)),VLOOKUP(B408,E!$B$6:$E$197,2,FALSE),IF(#REF!="დიახ",IF(VLOOKUP(B408,M!$B$6:$I$733,8,FALSE)="ლ",VLOOKUP(B408,M!$B$6:$I$733,3,FALSE)*0.001*#REF!*#REF!,IF(VLOOKUP(B408,M!$B$6:$I$733,8,FALSE)="მბ",VLOOKUP(B408,M!$B$6:$I$733,3,FALSE)*0.001*#REF!*#REF!,IF(VLOOKUP(B408,M!$B$6:$I$733,8,FALSE)="აბ",VLOOKUP(B408,M!$B$6:$I$733,3,FALSE)*0.001*#REF!*#REF!,IF(VLOOKUP(B408,M!$B$6:$I$733,8,FALSE)="ინ",VLOOKUP(B408,M!$B$6:$I$733,3,FALSE)*0.001*#REF!*#REF!,IF(VLOOKUP(B408,M!$B$6:$I$733,8,FALSE)="ას",VLOOKUP(B408,M!$B$6:$I$733,3,FALSE)*0.001*#REF!*#REF!,IF(VLOOKUP(B408,M!$B$6:$I$733,8,FALSE)="სხ",VLOOKUP(B408,M!$B$6:$I$733,3,FALSE)*0.001*#REF!*#REF!,IF(VLOOKUP(B408,M!$B$6:$I$733,8,FALSE)="ხმ",VLOOKUP(B408,M!$B$6:$I$733,3,FALSE)*0.001*#REF!*#REF!))))))))),2)</f>
        <v>24.25</v>
      </c>
      <c r="K408" s="31">
        <f t="shared" si="105"/>
        <v>967.58</v>
      </c>
      <c r="L408" s="14">
        <f t="shared" si="104"/>
        <v>967.58</v>
      </c>
      <c r="M408" s="23" t="str">
        <f>(IF(ISNUMBER(MATCH(B408,E!$B$6:$B$197,0)),VLOOKUP(B408,E!$B$6:$E$197,4,FALSE),VLOOKUP(B408,M!$B$6:$I$733,7,FALSE)))</f>
        <v>14-219</v>
      </c>
    </row>
    <row r="409" spans="1:13" ht="39.950000000000003" customHeight="1" x14ac:dyDescent="0.25">
      <c r="A409" s="16" t="s">
        <v>696</v>
      </c>
      <c r="B409" s="2" t="s">
        <v>267</v>
      </c>
      <c r="C409" s="2" t="s">
        <v>672</v>
      </c>
      <c r="D409" s="2">
        <v>0.53</v>
      </c>
      <c r="E409" s="14">
        <f>D409*E403/1000</f>
        <v>0.53</v>
      </c>
      <c r="F409" s="13"/>
      <c r="G409" s="13"/>
      <c r="H409" s="13"/>
      <c r="I409" s="13"/>
      <c r="J409" s="35">
        <f>ROUND(IF(ISNUMBER(MATCH(B409,E!$B$6:$B$197,0)),VLOOKUP(B409,E!$B$6:$E$197,2,FALSE),IF(#REF!="დიახ",IF(VLOOKUP(B409,M!$B$6:$I$733,8,FALSE)="ლ",VLOOKUP(B409,M!$B$6:$I$733,3,FALSE)*0.001*#REF!*#REF!,IF(VLOOKUP(B409,M!$B$6:$I$733,8,FALSE)="მბ",VLOOKUP(B409,M!$B$6:$I$733,3,FALSE)*0.001*#REF!*#REF!,IF(VLOOKUP(B409,M!$B$6:$I$733,8,FALSE)="აბ",VLOOKUP(B409,M!$B$6:$I$733,3,FALSE)*0.001*#REF!*#REF!,IF(VLOOKUP(B409,M!$B$6:$I$733,8,FALSE)="ინ",VLOOKUP(B409,M!$B$6:$I$733,3,FALSE)*0.001*#REF!*#REF!,IF(VLOOKUP(B409,M!$B$6:$I$733,8,FALSE)="ას",VLOOKUP(B409,M!$B$6:$I$733,3,FALSE)*0.001*#REF!*#REF!,IF(VLOOKUP(B409,M!$B$6:$I$733,8,FALSE)="სხ",VLOOKUP(B409,M!$B$6:$I$733,3,FALSE)*0.001*#REF!*#REF!,IF(VLOOKUP(B409,M!$B$6:$I$733,8,FALSE)="ხმ",VLOOKUP(B409,M!$B$6:$I$733,3,FALSE)*0.001*#REF!*#REF!))))))))),2)</f>
        <v>31.92</v>
      </c>
      <c r="K409" s="31">
        <f t="shared" si="105"/>
        <v>16.920000000000002</v>
      </c>
      <c r="L409" s="14">
        <f t="shared" si="104"/>
        <v>16.920000000000002</v>
      </c>
      <c r="M409" s="23" t="str">
        <f>(IF(ISNUMBER(MATCH(B409,E!$B$6:$B$197,0)),VLOOKUP(B409,E!$B$6:$E$197,4,FALSE),VLOOKUP(B409,M!$B$6:$I$733,7,FALSE)))</f>
        <v>14-229</v>
      </c>
    </row>
    <row r="410" spans="1:13" ht="39.950000000000003" customHeight="1" x14ac:dyDescent="0.25">
      <c r="A410" s="16" t="s">
        <v>733</v>
      </c>
      <c r="B410" s="2" t="s">
        <v>266</v>
      </c>
      <c r="C410" s="2" t="s">
        <v>672</v>
      </c>
      <c r="D410" s="2">
        <f>IF(MID(RIGHT(B403,6),1,2)&gt;"18",4.14+2.76,4.14)</f>
        <v>6.8999999999999995</v>
      </c>
      <c r="E410" s="14">
        <f>D410*E403/1000</f>
        <v>6.8999999999999995</v>
      </c>
      <c r="F410" s="13"/>
      <c r="G410" s="13"/>
      <c r="H410" s="13"/>
      <c r="I410" s="13"/>
      <c r="J410" s="35">
        <f>ROUND(IF(ISNUMBER(MATCH(B410,E!$B$6:$B$197,0)),VLOOKUP(B410,E!$B$6:$E$197,2,FALSE),IF(#REF!="დიახ",IF(VLOOKUP(B410,M!$B$6:$I$733,8,FALSE)="ლ",VLOOKUP(B410,M!$B$6:$I$733,3,FALSE)*0.001*#REF!*#REF!,IF(VLOOKUP(B410,M!$B$6:$I$733,8,FALSE)="მბ",VLOOKUP(B410,M!$B$6:$I$733,3,FALSE)*0.001*#REF!*#REF!,IF(VLOOKUP(B410,M!$B$6:$I$733,8,FALSE)="აბ",VLOOKUP(B410,M!$B$6:$I$733,3,FALSE)*0.001*#REF!*#REF!,IF(VLOOKUP(B410,M!$B$6:$I$733,8,FALSE)="ინ",VLOOKUP(B410,M!$B$6:$I$733,3,FALSE)*0.001*#REF!*#REF!,IF(VLOOKUP(B410,M!$B$6:$I$733,8,FALSE)="ას",VLOOKUP(B410,M!$B$6:$I$733,3,FALSE)*0.001*#REF!*#REF!,IF(VLOOKUP(B410,M!$B$6:$I$733,8,FALSE)="სხ",VLOOKUP(B410,M!$B$6:$I$733,3,FALSE)*0.001*#REF!*#REF!,IF(VLOOKUP(B410,M!$B$6:$I$733,8,FALSE)="ხმ",VLOOKUP(B410,M!$B$6:$I$733,3,FALSE)*0.001*#REF!*#REF!))))))))),2)</f>
        <v>52.87</v>
      </c>
      <c r="K410" s="31">
        <f t="shared" si="105"/>
        <v>364.8</v>
      </c>
      <c r="L410" s="14">
        <f t="shared" si="104"/>
        <v>364.8</v>
      </c>
      <c r="M410" s="23" t="str">
        <f>(IF(ISNUMBER(MATCH(B410,E!$B$6:$B$197,0)),VLOOKUP(B410,E!$B$6:$E$197,4,FALSE),VLOOKUP(B410,M!$B$6:$I$733,7,FALSE)))</f>
        <v>14-228</v>
      </c>
    </row>
    <row r="411" spans="1:13" ht="39.950000000000003" customHeight="1" x14ac:dyDescent="0.25">
      <c r="A411" s="16" t="s">
        <v>734</v>
      </c>
      <c r="B411" s="17" t="s">
        <v>693</v>
      </c>
      <c r="C411" s="2" t="s">
        <v>674</v>
      </c>
      <c r="D411" s="2">
        <f>IF(MID(RIGHT(B403,6),1,2)&gt;"18",30+20,30)</f>
        <v>50</v>
      </c>
      <c r="E411" s="14">
        <f>D411*E403/1000</f>
        <v>50</v>
      </c>
      <c r="F411" s="31" t="e">
        <f>ROUND(VLOOKUP(B411,M!$B$6:$H$733,IF(#REF!="დაბალი",4,IF(#REF!="საშუალო",6,IF(#REF!="მაღალი",5))),FALSE),2)</f>
        <v>#REF!</v>
      </c>
      <c r="G411" s="14" t="e">
        <f>ROUND(E411*F411,2)</f>
        <v>#REF!</v>
      </c>
      <c r="H411" s="13"/>
      <c r="I411" s="13"/>
      <c r="J411" s="35" t="e">
        <f>ROUND(IF(ISNUMBER(MATCH(B411,E!$B$6:$B$197,0)),VLOOKUP(B411,E!$B$6:$E$197,2,FALSE),IF(#REF!="დიახ",IF(VLOOKUP(B411,M!$B$6:$I$733,8,FALSE)="ლ",VLOOKUP(B411,M!$B$6:$I$733,3,FALSE)*0.001*#REF!*#REF!,IF(VLOOKUP(B411,M!$B$6:$I$733,8,FALSE)="მბ",VLOOKUP(B411,M!$B$6:$I$733,3,FALSE)*0.001*#REF!*#REF!,IF(VLOOKUP(B411,M!$B$6:$I$733,8,FALSE)="აბ",VLOOKUP(B411,M!$B$6:$I$733,3,FALSE)*0.001*#REF!*#REF!,IF(VLOOKUP(B411,M!$B$6:$I$733,8,FALSE)="ინ",VLOOKUP(B411,M!$B$6:$I$733,3,FALSE)*0.001*#REF!*#REF!,IF(VLOOKUP(B411,M!$B$6:$I$733,8,FALSE)="ას",VLOOKUP(B411,M!$B$6:$I$733,3,FALSE)*0.001*#REF!*#REF!,IF(VLOOKUP(B411,M!$B$6:$I$733,8,FALSE)="სხ",VLOOKUP(B411,M!$B$6:$I$733,3,FALSE)*0.001*#REF!*#REF!,IF(VLOOKUP(B411,M!$B$6:$I$733,8,FALSE)="ხმ",VLOOKUP(B411,M!$B$6:$I$733,3,FALSE)*0.001*#REF!*#REF!))))))))),2)</f>
        <v>#REF!</v>
      </c>
      <c r="K411" s="31" t="e">
        <f t="shared" si="105"/>
        <v>#REF!</v>
      </c>
      <c r="L411" s="14" t="e">
        <f t="shared" si="104"/>
        <v>#REF!</v>
      </c>
      <c r="M411" s="23" t="str">
        <f>(IF(ISNUMBER(MATCH(B411,E!$B$6:$B$197,0)),VLOOKUP(B411,E!$B$6:$E$197,4,FALSE),VLOOKUP(B411,M!$B$6:$I$733,7,FALSE)))</f>
        <v>საბ.</v>
      </c>
    </row>
    <row r="412" spans="1:13" ht="39.950000000000003" customHeight="1" x14ac:dyDescent="0.25">
      <c r="A412" s="16" t="s">
        <v>735</v>
      </c>
      <c r="B412" s="2" t="s">
        <v>353</v>
      </c>
      <c r="C412" s="2" t="s">
        <v>674</v>
      </c>
      <c r="D412" s="2">
        <f>IF(MID(RIGHT(B403,6),1,2)="15",204,IF(MID(RIGHT(B403,6),1,2)&gt;"15",(204+(12.6*(MID(RIGHT(B403,6),1,2)-15))),IF(MID(RIGHT(B403,6),1,2)&lt;"15",(204-(12.6*(15-MID(RIGHT(B403,6),1,2)))))))</f>
        <v>267</v>
      </c>
      <c r="E412" s="14">
        <f>D412*E403/1000</f>
        <v>267</v>
      </c>
      <c r="F412" s="31" t="e">
        <f>ROUND(VLOOKUP(B412,M!$B$6:$H$733,IF(#REF!="დაბალი",4,IF(#REF!="საშუალო",6,IF(#REF!="მაღალი",5))),FALSE),2)</f>
        <v>#REF!</v>
      </c>
      <c r="G412" s="14" t="e">
        <f>ROUND(E412*F412,2)</f>
        <v>#REF!</v>
      </c>
      <c r="H412" s="13"/>
      <c r="I412" s="13"/>
      <c r="J412" s="35" t="e">
        <f>ROUND(IF(ISNUMBER(MATCH(B412,E!$B$6:$B$197,0)),VLOOKUP(B412,E!$B$6:$E$197,2,FALSE),IF(#REF!="დიახ",IF(VLOOKUP(B412,M!$B$6:$I$733,8,FALSE)="ლ",VLOOKUP(B412,M!$B$6:$I$733,3,FALSE)*0.001*#REF!*#REF!,IF(VLOOKUP(B412,M!$B$6:$I$733,8,FALSE)="მბ",VLOOKUP(B412,M!$B$6:$I$733,3,FALSE)*0.001*#REF!*#REF!,IF(VLOOKUP(B412,M!$B$6:$I$733,8,FALSE)="აბ",VLOOKUP(B412,M!$B$6:$I$733,3,FALSE)*0.001*#REF!*#REF!,IF(VLOOKUP(B412,M!$B$6:$I$733,8,FALSE)="ინ",VLOOKUP(B412,M!$B$6:$I$733,3,FALSE)*0.001*#REF!*#REF!,IF(VLOOKUP(B412,M!$B$6:$I$733,8,FALSE)="ას",VLOOKUP(B412,M!$B$6:$I$733,3,FALSE)*0.001*#REF!*#REF!,IF(VLOOKUP(B412,M!$B$6:$I$733,8,FALSE)="სხ",VLOOKUP(B412,M!$B$6:$I$733,3,FALSE)*0.001*#REF!*#REF!,IF(VLOOKUP(B412,M!$B$6:$I$733,8,FALSE)="ხმ",VLOOKUP(B412,M!$B$6:$I$733,3,FALSE)*0.001*#REF!*#REF!))))))))),2)</f>
        <v>#REF!</v>
      </c>
      <c r="K412" s="31" t="e">
        <f t="shared" si="105"/>
        <v>#REF!</v>
      </c>
      <c r="L412" s="14" t="e">
        <f t="shared" si="104"/>
        <v>#REF!</v>
      </c>
      <c r="M412" s="23" t="str">
        <f>(IF(ISNUMBER(MATCH(B412,E!$B$6:$B$197,0)),VLOOKUP(B412,E!$B$6:$E$197,4,FALSE),VLOOKUP(B412,M!$B$6:$I$733,7,FALSE)))</f>
        <v>4.1-250</v>
      </c>
    </row>
    <row r="413" spans="1:13" ht="39.950000000000003" customHeight="1" x14ac:dyDescent="0.25">
      <c r="A413" s="16" t="s">
        <v>736</v>
      </c>
      <c r="B413" s="2" t="s">
        <v>374</v>
      </c>
      <c r="C413" s="2" t="s">
        <v>9</v>
      </c>
      <c r="D413" s="38">
        <v>0.03</v>
      </c>
      <c r="E413" s="14">
        <f>(E412*D413*1.2)</f>
        <v>9.6120000000000001</v>
      </c>
      <c r="F413" s="31" t="e">
        <f>ROUND(VLOOKUP(B413,M!$B$6:$H$733,IF(#REF!="დაბალი",4,IF(#REF!="საშუალო",6,IF(#REF!="მაღალი",5))),FALSE),2)</f>
        <v>#REF!</v>
      </c>
      <c r="G413" s="14" t="e">
        <f>ROUND(E413*F413,2)</f>
        <v>#REF!</v>
      </c>
      <c r="H413" s="13"/>
      <c r="I413" s="13"/>
      <c r="J413" s="35" t="e">
        <f>ROUND(IF(ISNUMBER(MATCH(B413,E!$B$6:$B$197,0)),VLOOKUP(B413,E!$B$6:$E$197,2,FALSE),IF(#REF!="დიახ",IF(VLOOKUP(B413,M!$B$6:$I$733,8,FALSE)="ლ",VLOOKUP(B413,M!$B$6:$I$733,3,FALSE)*0.001*#REF!*#REF!,IF(VLOOKUP(B413,M!$B$6:$I$733,8,FALSE)="მბ",VLOOKUP(B413,M!$B$6:$I$733,3,FALSE)*0.001*#REF!*#REF!,IF(VLOOKUP(B413,M!$B$6:$I$733,8,FALSE)="აბ",VLOOKUP(B413,M!$B$6:$I$733,3,FALSE)*0.001*#REF!*#REF!,IF(VLOOKUP(B413,M!$B$6:$I$733,8,FALSE)="ინ",VLOOKUP(B413,M!$B$6:$I$733,3,FALSE)*0.001*#REF!*#REF!,IF(VLOOKUP(B413,M!$B$6:$I$733,8,FALSE)="ას",VLOOKUP(B413,M!$B$6:$I$733,3,FALSE)*0.001*#REF!*#REF!,IF(VLOOKUP(B413,M!$B$6:$I$733,8,FALSE)="სხ",VLOOKUP(B413,M!$B$6:$I$733,3,FALSE)*0.001*#REF!*#REF!,IF(VLOOKUP(B413,M!$B$6:$I$733,8,FALSE)="ხმ",VLOOKUP(B413,M!$B$6:$I$733,3,FALSE)*0.001*#REF!*#REF!))))))))),2)</f>
        <v>#REF!</v>
      </c>
      <c r="K413" s="31" t="e">
        <f t="shared" si="105"/>
        <v>#REF!</v>
      </c>
      <c r="L413" s="14" t="e">
        <f t="shared" si="104"/>
        <v>#REF!</v>
      </c>
      <c r="M413" s="23" t="str">
        <f>(IF(ISNUMBER(MATCH(B413,E!$B$6:$B$197,0)),VLOOKUP(B413,E!$B$6:$E$197,4,FALSE),VLOOKUP(B413,M!$B$6:$I$733,7,FALSE)))</f>
        <v>4.1-177</v>
      </c>
    </row>
    <row r="414" spans="1:13" ht="39.950000000000003" customHeight="1" x14ac:dyDescent="0.25">
      <c r="A414" s="16" t="s">
        <v>737</v>
      </c>
      <c r="B414" s="2" t="s">
        <v>453</v>
      </c>
      <c r="C414" s="2" t="s">
        <v>9</v>
      </c>
      <c r="D414" s="38">
        <v>0.03</v>
      </c>
      <c r="E414" s="14">
        <f>(E412*1.6*D414)</f>
        <v>12.816000000000001</v>
      </c>
      <c r="F414" s="31" t="e">
        <f>ROUND(VLOOKUP(B414,M!$B$6:$H$733,IF(#REF!="დაბალი",4,IF(#REF!="საშუალო",6,IF(#REF!="მაღალი",5))),FALSE),2)</f>
        <v>#REF!</v>
      </c>
      <c r="G414" s="14" t="e">
        <f>ROUND(E414*F414,2)</f>
        <v>#REF!</v>
      </c>
      <c r="H414" s="13"/>
      <c r="I414" s="13"/>
      <c r="J414" s="35" t="e">
        <f>ROUND(IF(ISNUMBER(MATCH(B414,E!$B$6:$B$197,0)),VLOOKUP(B414,E!$B$6:$E$197,2,FALSE),IF(#REF!="დიახ",IF(VLOOKUP(B414,M!$B$6:$I$733,8,FALSE)="ლ",VLOOKUP(B414,M!$B$6:$I$733,3,FALSE)*0.001*#REF!*#REF!,IF(VLOOKUP(B414,M!$B$6:$I$733,8,FALSE)="მბ",VLOOKUP(B414,M!$B$6:$I$733,3,FALSE)*0.001*#REF!*#REF!,IF(VLOOKUP(B414,M!$B$6:$I$733,8,FALSE)="აბ",VLOOKUP(B414,M!$B$6:$I$733,3,FALSE)*0.001*#REF!*#REF!,IF(VLOOKUP(B414,M!$B$6:$I$733,8,FALSE)="ინ",VLOOKUP(B414,M!$B$6:$I$733,3,FALSE)*0.001*#REF!*#REF!,IF(VLOOKUP(B414,M!$B$6:$I$733,8,FALSE)="ას",VLOOKUP(B414,M!$B$6:$I$733,3,FALSE)*0.001*#REF!*#REF!,IF(VLOOKUP(B414,M!$B$6:$I$733,8,FALSE)="სხ",VLOOKUP(B414,M!$B$6:$I$733,3,FALSE)*0.001*#REF!*#REF!,IF(VLOOKUP(B414,M!$B$6:$I$733,8,FALSE)="ხმ",VLOOKUP(B414,M!$B$6:$I$733,3,FALSE)*0.001*#REF!*#REF!))))))))),2)</f>
        <v>#REF!</v>
      </c>
      <c r="K414" s="31" t="e">
        <f t="shared" si="105"/>
        <v>#REF!</v>
      </c>
      <c r="L414" s="14" t="e">
        <f t="shared" si="104"/>
        <v>#REF!</v>
      </c>
      <c r="M414" s="23" t="str">
        <f>(IF(ISNUMBER(MATCH(B414,E!$B$6:$B$197,0)),VLOOKUP(B414,E!$B$6:$E$197,4,FALSE),VLOOKUP(B414,M!$B$6:$I$733,7,FALSE)))</f>
        <v>4.1-538</v>
      </c>
    </row>
    <row r="415" spans="1:13" s="45" customFormat="1" ht="39.950000000000003" customHeight="1" x14ac:dyDescent="0.25">
      <c r="A415" s="39">
        <v>1.1000000000000001</v>
      </c>
      <c r="B415" s="40" t="s">
        <v>786</v>
      </c>
      <c r="C415" s="41" t="s">
        <v>787</v>
      </c>
      <c r="D415" s="41"/>
      <c r="E415" s="52">
        <v>100</v>
      </c>
      <c r="F415" s="42"/>
      <c r="G415" s="42"/>
      <c r="H415" s="42"/>
      <c r="I415" s="42"/>
      <c r="J415" s="35"/>
      <c r="K415" s="46"/>
      <c r="L415" s="43" t="e">
        <f>SUM(L416:L420)</f>
        <v>#REF!</v>
      </c>
      <c r="M415" s="57" t="s">
        <v>788</v>
      </c>
    </row>
    <row r="416" spans="1:13" ht="39.950000000000003" customHeight="1" x14ac:dyDescent="0.25">
      <c r="A416" s="16" t="s">
        <v>668</v>
      </c>
      <c r="B416" s="17" t="s">
        <v>669</v>
      </c>
      <c r="C416" s="2" t="s">
        <v>670</v>
      </c>
      <c r="D416" s="2">
        <v>74</v>
      </c>
      <c r="E416" s="14">
        <f>ROUND(D416*E415,2)/100</f>
        <v>74</v>
      </c>
      <c r="F416" s="13"/>
      <c r="G416" s="13"/>
      <c r="H416" s="27">
        <f>IF((ISNUMBER(--LEFT(M415,2))),VLOOKUP(--LEFT(M415,2),N!$A$5:$C$54,3,FALSE),VLOOKUP(--LEFT(M415,1),N!$A$5:$C$54,3,FALSE))</f>
        <v>6</v>
      </c>
      <c r="I416" s="13">
        <f>ROUND(E416*H416,1)</f>
        <v>444</v>
      </c>
      <c r="J416" s="35">
        <f>ROUND(IF(ISNUMBER(MATCH(B416,E!$B$6:$B$197,0)),VLOOKUP(B416,E!$B$6:$E$197,2,FALSE),IF(#REF!="დიახ",IF(VLOOKUP(B416,M!$B$6:$I$733,8,FALSE)="ლ",VLOOKUP(B416,M!$B$6:$I$733,3,FALSE)*0.001*#REF!*#REF!,IF(VLOOKUP(B416,M!$B$6:$I$733,8,FALSE)="მბ",VLOOKUP(B416,M!$B$6:$I$733,3,FALSE)*0.001*#REF!*#REF!,IF(VLOOKUP(B416,M!$B$6:$I$733,8,FALSE)="აბ",VLOOKUP(B416,M!$B$6:$I$733,3,FALSE)*0.001*#REF!*#REF!,IF(VLOOKUP(B416,M!$B$6:$I$733,8,FALSE)="ინ",VLOOKUP(B416,M!$B$6:$I$733,3,FALSE)*0.001*#REF!*#REF!,IF(VLOOKUP(B416,M!$B$6:$I$733,8,FALSE)="ას",VLOOKUP(B416,M!$B$6:$I$733,3,FALSE)*0.001*#REF!*#REF!,IF(VLOOKUP(B416,M!$B$6:$I$733,8,FALSE)="სხ",VLOOKUP(B416,M!$B$6:$I$733,3,FALSE)*0.001*#REF!*#REF!,IF(VLOOKUP(B416,M!$B$6:$I$733,8,FALSE)="ხმ",VLOOKUP(B416,M!$B$6:$I$733,3,FALSE)*0.001*#REF!*#REF!))))))))),2)</f>
        <v>0</v>
      </c>
      <c r="K416" s="31"/>
      <c r="L416" s="13">
        <f>G416+I416+K416</f>
        <v>444</v>
      </c>
      <c r="M416" s="23" t="str">
        <f>(IF(ISNUMBER(MATCH(B416,E!$B$6:$B$197,0)),VLOOKUP(B416,E!$B$6:$E$197,4,FALSE),VLOOKUP(B416,M!$B$6:$I$733,7,FALSE)))</f>
        <v>მ.ც</v>
      </c>
    </row>
    <row r="417" spans="1:13" ht="39.950000000000003" customHeight="1" x14ac:dyDescent="0.25">
      <c r="A417" s="16" t="s">
        <v>671</v>
      </c>
      <c r="B417" s="17" t="s">
        <v>654</v>
      </c>
      <c r="C417" s="2" t="s">
        <v>672</v>
      </c>
      <c r="D417" s="2">
        <v>0.71</v>
      </c>
      <c r="E417" s="13">
        <f>ROUND(D417*E415,1)/100</f>
        <v>0.71</v>
      </c>
      <c r="F417" s="13"/>
      <c r="G417" s="13"/>
      <c r="H417" s="13"/>
      <c r="I417" s="13"/>
      <c r="J417" s="35">
        <f>ROUND(IF(ISNUMBER(MATCH(B417,E!$B$6:$B$197,0)),VLOOKUP(B417,E!$B$6:$E$197,2,FALSE),IF(#REF!="დიახ",IF(VLOOKUP(B417,M!$B$6:$I$733,8,FALSE)="ლ",VLOOKUP(B417,M!$B$6:$I$733,3,FALSE)*0.001*#REF!*#REF!,IF(VLOOKUP(B417,M!$B$6:$I$733,8,FALSE)="მბ",VLOOKUP(B417,M!$B$6:$I$733,3,FALSE)*0.001*#REF!*#REF!,IF(VLOOKUP(B417,M!$B$6:$I$733,8,FALSE)="აბ",VLOOKUP(B417,M!$B$6:$I$733,3,FALSE)*0.001*#REF!*#REF!,IF(VLOOKUP(B417,M!$B$6:$I$733,8,FALSE)="ინ",VLOOKUP(B417,M!$B$6:$I$733,3,FALSE)*0.001*#REF!*#REF!,IF(VLOOKUP(B417,M!$B$6:$I$733,8,FALSE)="ას",VLOOKUP(B417,M!$B$6:$I$733,3,FALSE)*0.001*#REF!*#REF!,IF(VLOOKUP(B417,M!$B$6:$I$733,8,FALSE)="სხ",VLOOKUP(B417,M!$B$6:$I$733,3,FALSE)*0.001*#REF!*#REF!,IF(VLOOKUP(B417,M!$B$6:$I$733,8,FALSE)="ხმ",VLOOKUP(B417,M!$B$6:$I$733,3,FALSE)*0.001*#REF!*#REF!))))))))),2)</f>
        <v>3.2</v>
      </c>
      <c r="K417" s="31">
        <f>ROUND(E417*J417,1)</f>
        <v>2.2999999999999998</v>
      </c>
      <c r="L417" s="13">
        <f t="shared" ref="L417:L420" si="106">G417+I417+K417</f>
        <v>2.2999999999999998</v>
      </c>
      <c r="M417" s="23" t="str">
        <f>(IF(ISNUMBER(MATCH(B417,E!$B$6:$B$197,0)),VLOOKUP(B417,E!$B$6:$E$197,4,FALSE),VLOOKUP(B417,M!$B$6:$I$733,7,FALSE)))</f>
        <v>ს.რ.ფ</v>
      </c>
    </row>
    <row r="418" spans="1:13" ht="39.75" customHeight="1" x14ac:dyDescent="0.25">
      <c r="A418" s="16" t="s">
        <v>673</v>
      </c>
      <c r="B418" s="2" t="s">
        <v>806</v>
      </c>
      <c r="C418" s="2" t="s">
        <v>66</v>
      </c>
      <c r="D418" s="2">
        <v>145</v>
      </c>
      <c r="E418" s="13">
        <f>ROUND(D418*E415,1)/100</f>
        <v>145</v>
      </c>
      <c r="F418" s="31" t="e">
        <f>ROUND(VLOOKUP(B418,M!$B$6:$H$733,IF(#REF!="დაბალი",4,IF(#REF!="საშუალო",6,IF(#REF!="მაღალი",5))),FALSE),2)</f>
        <v>#REF!</v>
      </c>
      <c r="G418" s="13" t="e">
        <f t="shared" ref="G418:G419" si="107">ROUND(E418*F418,1)</f>
        <v>#REF!</v>
      </c>
      <c r="H418" s="13"/>
      <c r="I418" s="13"/>
      <c r="J418" s="35" t="e">
        <f>ROUND(IF(ISNUMBER(MATCH(B418,E!$B$6:$B$197,0)),VLOOKUP(B418,E!$B$6:$E$197,2,FALSE),IF(#REF!="დიახ",IF(VLOOKUP(B418,M!$B$6:$I$733,8,FALSE)="ლ",VLOOKUP(B418,M!$B$6:$I$733,3,FALSE)*0.001*#REF!*#REF!,IF(VLOOKUP(B418,M!$B$6:$I$733,8,FALSE)="მბ",VLOOKUP(B418,M!$B$6:$I$733,3,FALSE)*0.001*#REF!*#REF!,IF(VLOOKUP(B418,M!$B$6:$I$733,8,FALSE)="აბ",VLOOKUP(B418,M!$B$6:$I$733,3,FALSE)*0.001*#REF!*#REF!,IF(VLOOKUP(B418,M!$B$6:$I$733,8,FALSE)="ინ",VLOOKUP(B418,M!$B$6:$I$733,3,FALSE)*0.001*#REF!*#REF!,IF(VLOOKUP(B418,M!$B$6:$I$733,8,FALSE)="ას",VLOOKUP(B418,M!$B$6:$I$733,3,FALSE)*0.001*#REF!*#REF!,IF(VLOOKUP(B418,M!$B$6:$I$733,8,FALSE)="სხ",VLOOKUP(B418,M!$B$6:$I$733,3,FALSE)*0.001*#REF!*#REF!,IF(VLOOKUP(B418,M!$B$6:$I$733,8,FALSE)="ხმ",VLOOKUP(B418,M!$B$6:$I$733,3,FALSE)*0.001*#REF!*#REF!))))))))),2)</f>
        <v>#REF!</v>
      </c>
      <c r="K418" s="31" t="e">
        <f t="shared" ref="K418:K419" si="108">ROUND(E418*J418,1)</f>
        <v>#REF!</v>
      </c>
      <c r="L418" s="13" t="e">
        <f t="shared" si="106"/>
        <v>#REF!</v>
      </c>
      <c r="M418" s="23" t="str">
        <f>(IF(ISNUMBER(MATCH(B418,E!$B$6:$B$197,0)),VLOOKUP(B418,E!$B$6:$E$197,4,FALSE),VLOOKUP(B418,M!$B$6:$I$733,7,FALSE)))</f>
        <v>4.1-176</v>
      </c>
    </row>
    <row r="419" spans="1:13" ht="39.75" customHeight="1" x14ac:dyDescent="0.25">
      <c r="A419" s="16" t="s">
        <v>675</v>
      </c>
      <c r="B419" s="2" t="s">
        <v>400</v>
      </c>
      <c r="C419" s="2" t="s">
        <v>595</v>
      </c>
      <c r="D419" s="2">
        <v>3.9</v>
      </c>
      <c r="E419" s="14">
        <f>ROUND(D419*E415,2)/100</f>
        <v>3.9</v>
      </c>
      <c r="F419" s="31" t="e">
        <f>ROUND(VLOOKUP(B419,M!$B$6:$H$733,IF(#REF!="დაბალი",4,IF(#REF!="საშუალო",6,IF(#REF!="მაღალი",5))),FALSE),2)</f>
        <v>#REF!</v>
      </c>
      <c r="G419" s="13" t="e">
        <f t="shared" si="107"/>
        <v>#REF!</v>
      </c>
      <c r="H419" s="13"/>
      <c r="I419" s="13"/>
      <c r="J419" s="35" t="e">
        <f>ROUND(IF(ISNUMBER(MATCH(B419,E!$B$6:$B$197,0)),VLOOKUP(B419,E!$B$6:$E$197,2,FALSE),IF(#REF!="დიახ",IF(VLOOKUP(B419,M!$B$6:$I$733,8,FALSE)="ლ",VLOOKUP(B419,M!$B$6:$I$733,3,FALSE)*0.001*#REF!*#REF!,IF(VLOOKUP(B419,M!$B$6:$I$733,8,FALSE)="მბ",VLOOKUP(B419,M!$B$6:$I$733,3,FALSE)*0.001*#REF!*#REF!,IF(VLOOKUP(B419,M!$B$6:$I$733,8,FALSE)="აბ",VLOOKUP(B419,M!$B$6:$I$733,3,FALSE)*0.001*#REF!*#REF!,IF(VLOOKUP(B419,M!$B$6:$I$733,8,FALSE)="ინ",VLOOKUP(B419,M!$B$6:$I$733,3,FALSE)*0.001*#REF!*#REF!,IF(VLOOKUP(B419,M!$B$6:$I$733,8,FALSE)="ას",VLOOKUP(B419,M!$B$6:$I$733,3,FALSE)*0.001*#REF!*#REF!,IF(VLOOKUP(B419,M!$B$6:$I$733,8,FALSE)="სხ",VLOOKUP(B419,M!$B$6:$I$733,3,FALSE)*0.001*#REF!*#REF!,IF(VLOOKUP(B419,M!$B$6:$I$733,8,FALSE)="ხმ",VLOOKUP(B419,M!$B$6:$I$733,3,FALSE)*0.001*#REF!*#REF!))))))))),2)</f>
        <v>#REF!</v>
      </c>
      <c r="K419" s="31" t="e">
        <f t="shared" si="108"/>
        <v>#REF!</v>
      </c>
      <c r="L419" s="13" t="e">
        <f t="shared" si="106"/>
        <v>#REF!</v>
      </c>
      <c r="M419" s="23" t="str">
        <f>(IF(ISNUMBER(MATCH(B419,E!$B$6:$B$197,0)),VLOOKUP(B419,E!$B$6:$E$197,4,FALSE),VLOOKUP(B419,M!$B$6:$I$733,7,FALSE)))</f>
        <v>4.1-371</v>
      </c>
    </row>
    <row r="420" spans="1:13" ht="39.950000000000003" customHeight="1" x14ac:dyDescent="0.25">
      <c r="A420" s="16" t="s">
        <v>695</v>
      </c>
      <c r="B420" s="2" t="s">
        <v>677</v>
      </c>
      <c r="C420" s="2" t="s">
        <v>393</v>
      </c>
      <c r="D420" s="2">
        <v>9.6</v>
      </c>
      <c r="E420" s="13">
        <f>ROUND(D420*E415,1)/100</f>
        <v>9.6</v>
      </c>
      <c r="F420" s="31" t="e">
        <f>ROUND(VLOOKUP(B420,M!$B$6:$H$733,IF(#REF!="დაბალი",4,IF(#REF!="საშუალო",6,IF(#REF!="მაღალი",5))),FALSE),2)</f>
        <v>#REF!</v>
      </c>
      <c r="G420" s="13" t="e">
        <f>ROUND(E420*F420,1)</f>
        <v>#REF!</v>
      </c>
      <c r="H420" s="13"/>
      <c r="I420" s="13"/>
      <c r="J420" s="35" t="e">
        <f>ROUND(IF(ISNUMBER(MATCH(B420,E!$B$6:$B$197,0)),VLOOKUP(B420,E!$B$6:$E$197,2,FALSE),IF(#REF!="დიახ",IF(VLOOKUP(B420,M!$B$6:$I$733,8,FALSE)="ლ",VLOOKUP(B420,M!$B$6:$I$733,3,FALSE)*0.001*#REF!*#REF!,IF(VLOOKUP(B420,M!$B$6:$I$733,8,FALSE)="მბ",VLOOKUP(B420,M!$B$6:$I$733,3,FALSE)*0.001*#REF!*#REF!,IF(VLOOKUP(B420,M!$B$6:$I$733,8,FALSE)="აბ",VLOOKUP(B420,M!$B$6:$I$733,3,FALSE)*0.001*#REF!*#REF!,IF(VLOOKUP(B420,M!$B$6:$I$733,8,FALSE)="ინ",VLOOKUP(B420,M!$B$6:$I$733,3,FALSE)*0.001*#REF!*#REF!,IF(VLOOKUP(B420,M!$B$6:$I$733,8,FALSE)="ას",VLOOKUP(B420,M!$B$6:$I$733,3,FALSE)*0.001*#REF!*#REF!,IF(VLOOKUP(B420,M!$B$6:$I$733,8,FALSE)="სხ",VLOOKUP(B420,M!$B$6:$I$733,3,FALSE)*0.001*#REF!*#REF!,IF(VLOOKUP(B420,M!$B$6:$I$733,8,FALSE)="ხმ",VLOOKUP(B420,M!$B$6:$I$733,3,FALSE)*0.001*#REF!*#REF!))))))))),2)</f>
        <v>#REF!</v>
      </c>
      <c r="K420" s="31"/>
      <c r="L420" s="13" t="e">
        <f t="shared" si="106"/>
        <v>#REF!</v>
      </c>
      <c r="M420" s="23" t="str">
        <f>(IF(ISNUMBER(MATCH(B420,E!$B$6:$B$197,0)),VLOOKUP(B420,E!$B$6:$E$197,4,FALSE),VLOOKUP(B420,M!$B$6:$I$733,7,FALSE)))</f>
        <v>ს.რ.ფ</v>
      </c>
    </row>
    <row r="421" spans="1:13" s="45" customFormat="1" ht="39.950000000000003" customHeight="1" x14ac:dyDescent="0.25">
      <c r="A421" s="39">
        <v>1.1000000000000001</v>
      </c>
      <c r="B421" s="40" t="s">
        <v>786</v>
      </c>
      <c r="C421" s="41" t="s">
        <v>787</v>
      </c>
      <c r="D421" s="41"/>
      <c r="E421" s="52">
        <v>100</v>
      </c>
      <c r="F421" s="42"/>
      <c r="G421" s="42"/>
      <c r="H421" s="42"/>
      <c r="I421" s="42"/>
      <c r="J421" s="35"/>
      <c r="K421" s="46"/>
      <c r="L421" s="43">
        <v>2043.5</v>
      </c>
      <c r="M421" s="57" t="s">
        <v>788</v>
      </c>
    </row>
    <row r="422" spans="1:13" ht="39.950000000000003" customHeight="1" x14ac:dyDescent="0.25">
      <c r="A422" s="16" t="s">
        <v>668</v>
      </c>
      <c r="B422" s="17" t="s">
        <v>669</v>
      </c>
      <c r="C422" s="2" t="s">
        <v>670</v>
      </c>
      <c r="D422" s="2">
        <v>74</v>
      </c>
      <c r="E422" s="14">
        <v>74</v>
      </c>
      <c r="F422" s="13"/>
      <c r="G422" s="13"/>
      <c r="H422" s="27">
        <v>6</v>
      </c>
      <c r="I422" s="13">
        <v>444</v>
      </c>
      <c r="J422" s="35">
        <v>0</v>
      </c>
      <c r="K422" s="31"/>
      <c r="L422" s="13">
        <v>444</v>
      </c>
      <c r="M422" s="23" t="s">
        <v>689</v>
      </c>
    </row>
    <row r="423" spans="1:13" ht="39.950000000000003" customHeight="1" x14ac:dyDescent="0.25">
      <c r="A423" s="16" t="s">
        <v>671</v>
      </c>
      <c r="B423" s="17" t="s">
        <v>654</v>
      </c>
      <c r="C423" s="2" t="s">
        <v>672</v>
      </c>
      <c r="D423" s="2">
        <v>0.71</v>
      </c>
      <c r="E423" s="13">
        <v>0.71</v>
      </c>
      <c r="F423" s="13"/>
      <c r="G423" s="13"/>
      <c r="H423" s="13"/>
      <c r="I423" s="13"/>
      <c r="J423" s="35">
        <v>3.2</v>
      </c>
      <c r="K423" s="31">
        <v>2.2999999999999998</v>
      </c>
      <c r="L423" s="13">
        <v>2.2999999999999998</v>
      </c>
      <c r="M423" s="23" t="s">
        <v>676</v>
      </c>
    </row>
    <row r="424" spans="1:13" ht="39.75" customHeight="1" x14ac:dyDescent="0.25">
      <c r="A424" s="16" t="s">
        <v>673</v>
      </c>
      <c r="B424" s="2" t="s">
        <v>806</v>
      </c>
      <c r="C424" s="2" t="s">
        <v>66</v>
      </c>
      <c r="D424" s="2">
        <v>145</v>
      </c>
      <c r="E424" s="13">
        <v>145</v>
      </c>
      <c r="F424" s="31">
        <v>7.8</v>
      </c>
      <c r="G424" s="13">
        <v>1131</v>
      </c>
      <c r="H424" s="13"/>
      <c r="I424" s="13"/>
      <c r="J424" s="35">
        <v>0.25</v>
      </c>
      <c r="K424" s="31">
        <v>36.299999999999997</v>
      </c>
      <c r="L424" s="13">
        <v>1167.3</v>
      </c>
      <c r="M424" s="23" t="s">
        <v>1079</v>
      </c>
    </row>
    <row r="425" spans="1:13" ht="39.75" customHeight="1" x14ac:dyDescent="0.25">
      <c r="A425" s="16" t="s">
        <v>675</v>
      </c>
      <c r="B425" s="2" t="s">
        <v>400</v>
      </c>
      <c r="C425" s="2" t="s">
        <v>595</v>
      </c>
      <c r="D425" s="2">
        <v>3.9</v>
      </c>
      <c r="E425" s="14">
        <v>3.9</v>
      </c>
      <c r="F425" s="31">
        <v>95</v>
      </c>
      <c r="G425" s="13">
        <v>370.5</v>
      </c>
      <c r="H425" s="13"/>
      <c r="I425" s="13"/>
      <c r="J425" s="35">
        <v>7.35</v>
      </c>
      <c r="K425" s="31">
        <v>28.7</v>
      </c>
      <c r="L425" s="13">
        <v>399.2</v>
      </c>
      <c r="M425" s="23" t="s">
        <v>1080</v>
      </c>
    </row>
    <row r="426" spans="1:13" ht="39.950000000000003" customHeight="1" x14ac:dyDescent="0.25">
      <c r="A426" s="16" t="s">
        <v>695</v>
      </c>
      <c r="B426" s="2" t="s">
        <v>677</v>
      </c>
      <c r="C426" s="2" t="s">
        <v>393</v>
      </c>
      <c r="D426" s="2">
        <v>9.6</v>
      </c>
      <c r="E426" s="13">
        <v>9.6</v>
      </c>
      <c r="F426" s="31">
        <v>3.2</v>
      </c>
      <c r="G426" s="13">
        <v>30.7</v>
      </c>
      <c r="H426" s="13"/>
      <c r="I426" s="13"/>
      <c r="J426" s="35">
        <v>0</v>
      </c>
      <c r="K426" s="31"/>
      <c r="L426" s="13">
        <v>30.7</v>
      </c>
      <c r="M426" s="23" t="s">
        <v>676</v>
      </c>
    </row>
    <row r="427" spans="1:13" s="45" customFormat="1" ht="39.950000000000003" customHeight="1" x14ac:dyDescent="0.25">
      <c r="A427" s="39">
        <v>1.1000000000000001</v>
      </c>
      <c r="B427" s="40" t="s">
        <v>789</v>
      </c>
      <c r="C427" s="41" t="s">
        <v>787</v>
      </c>
      <c r="D427" s="41"/>
      <c r="E427" s="52">
        <v>100</v>
      </c>
      <c r="F427" s="42"/>
      <c r="G427" s="42"/>
      <c r="H427" s="42"/>
      <c r="I427" s="42"/>
      <c r="J427" s="35"/>
      <c r="K427" s="46"/>
      <c r="L427" s="43" t="e">
        <f>SUM(L428:L432)</f>
        <v>#REF!</v>
      </c>
      <c r="M427" s="57" t="s">
        <v>790</v>
      </c>
    </row>
    <row r="428" spans="1:13" ht="39.950000000000003" customHeight="1" x14ac:dyDescent="0.25">
      <c r="A428" s="16" t="s">
        <v>668</v>
      </c>
      <c r="B428" s="17" t="s">
        <v>669</v>
      </c>
      <c r="C428" s="2" t="s">
        <v>670</v>
      </c>
      <c r="D428" s="2">
        <v>111</v>
      </c>
      <c r="E428" s="14">
        <f>ROUND(D428*E427,2)/100</f>
        <v>111</v>
      </c>
      <c r="F428" s="13"/>
      <c r="G428" s="13"/>
      <c r="H428" s="27">
        <f>IF((ISNUMBER(--LEFT(M427,2))),VLOOKUP(--LEFT(M427,2),N!$A$5:$C$54,3,FALSE),VLOOKUP(--LEFT(M427,1),N!$A$5:$C$54,3,FALSE))</f>
        <v>6</v>
      </c>
      <c r="I428" s="13">
        <f>ROUND(E428*H428,1)</f>
        <v>666</v>
      </c>
      <c r="J428" s="35">
        <f>ROUND(IF(ISNUMBER(MATCH(B428,E!$B$6:$B$197,0)),VLOOKUP(B428,E!$B$6:$E$197,2,FALSE),IF(#REF!="დიახ",IF(VLOOKUP(B428,M!$B$6:$I$733,8,FALSE)="ლ",VLOOKUP(B428,M!$B$6:$I$733,3,FALSE)*0.001*#REF!*#REF!,IF(VLOOKUP(B428,M!$B$6:$I$733,8,FALSE)="მბ",VLOOKUP(B428,M!$B$6:$I$733,3,FALSE)*0.001*#REF!*#REF!,IF(VLOOKUP(B428,M!$B$6:$I$733,8,FALSE)="აბ",VLOOKUP(B428,M!$B$6:$I$733,3,FALSE)*0.001*#REF!*#REF!,IF(VLOOKUP(B428,M!$B$6:$I$733,8,FALSE)="ინ",VLOOKUP(B428,M!$B$6:$I$733,3,FALSE)*0.001*#REF!*#REF!,IF(VLOOKUP(B428,M!$B$6:$I$733,8,FALSE)="ას",VLOOKUP(B428,M!$B$6:$I$733,3,FALSE)*0.001*#REF!*#REF!,IF(VLOOKUP(B428,M!$B$6:$I$733,8,FALSE)="სხ",VLOOKUP(B428,M!$B$6:$I$733,3,FALSE)*0.001*#REF!*#REF!,IF(VLOOKUP(B428,M!$B$6:$I$733,8,FALSE)="ხმ",VLOOKUP(B428,M!$B$6:$I$733,3,FALSE)*0.001*#REF!*#REF!))))))))),2)</f>
        <v>0</v>
      </c>
      <c r="K428" s="31"/>
      <c r="L428" s="13">
        <f>G428+I428+K428</f>
        <v>666</v>
      </c>
      <c r="M428" s="23" t="str">
        <f>(IF(ISNUMBER(MATCH(B428,E!$B$6:$B$197,0)),VLOOKUP(B428,E!$B$6:$E$197,4,FALSE),VLOOKUP(B428,M!$B$6:$I$733,7,FALSE)))</f>
        <v>მ.ც</v>
      </c>
    </row>
    <row r="429" spans="1:13" ht="39.950000000000003" customHeight="1" x14ac:dyDescent="0.25">
      <c r="A429" s="16" t="s">
        <v>671</v>
      </c>
      <c r="B429" s="17" t="s">
        <v>654</v>
      </c>
      <c r="C429" s="2" t="s">
        <v>672</v>
      </c>
      <c r="D429" s="2">
        <v>0.71</v>
      </c>
      <c r="E429" s="13">
        <f>ROUND(D429*E427,1)/100</f>
        <v>0.71</v>
      </c>
      <c r="F429" s="13"/>
      <c r="G429" s="13"/>
      <c r="H429" s="13"/>
      <c r="I429" s="13"/>
      <c r="J429" s="35">
        <f>ROUND(IF(ISNUMBER(MATCH(B429,E!$B$6:$B$197,0)),VLOOKUP(B429,E!$B$6:$E$197,2,FALSE),IF(#REF!="დიახ",IF(VLOOKUP(B429,M!$B$6:$I$733,8,FALSE)="ლ",VLOOKUP(B429,M!$B$6:$I$733,3,FALSE)*0.001*#REF!*#REF!,IF(VLOOKUP(B429,M!$B$6:$I$733,8,FALSE)="მბ",VLOOKUP(B429,M!$B$6:$I$733,3,FALSE)*0.001*#REF!*#REF!,IF(VLOOKUP(B429,M!$B$6:$I$733,8,FALSE)="აბ",VLOOKUP(B429,M!$B$6:$I$733,3,FALSE)*0.001*#REF!*#REF!,IF(VLOOKUP(B429,M!$B$6:$I$733,8,FALSE)="ინ",VLOOKUP(B429,M!$B$6:$I$733,3,FALSE)*0.001*#REF!*#REF!,IF(VLOOKUP(B429,M!$B$6:$I$733,8,FALSE)="ას",VLOOKUP(B429,M!$B$6:$I$733,3,FALSE)*0.001*#REF!*#REF!,IF(VLOOKUP(B429,M!$B$6:$I$733,8,FALSE)="სხ",VLOOKUP(B429,M!$B$6:$I$733,3,FALSE)*0.001*#REF!*#REF!,IF(VLOOKUP(B429,M!$B$6:$I$733,8,FALSE)="ხმ",VLOOKUP(B429,M!$B$6:$I$733,3,FALSE)*0.001*#REF!*#REF!))))))))),2)</f>
        <v>3.2</v>
      </c>
      <c r="K429" s="31">
        <f>ROUND(E429*J429,1)</f>
        <v>2.2999999999999998</v>
      </c>
      <c r="L429" s="13">
        <f t="shared" ref="L429:L432" si="109">G429+I429+K429</f>
        <v>2.2999999999999998</v>
      </c>
      <c r="M429" s="23" t="str">
        <f>(IF(ISNUMBER(MATCH(B429,E!$B$6:$B$197,0)),VLOOKUP(B429,E!$B$6:$E$197,4,FALSE),VLOOKUP(B429,M!$B$6:$I$733,7,FALSE)))</f>
        <v>ს.რ.ფ</v>
      </c>
    </row>
    <row r="430" spans="1:13" ht="39.75" customHeight="1" x14ac:dyDescent="0.25">
      <c r="A430" s="16" t="s">
        <v>673</v>
      </c>
      <c r="B430" s="2" t="s">
        <v>371</v>
      </c>
      <c r="C430" s="2" t="s">
        <v>595</v>
      </c>
      <c r="D430" s="2">
        <v>100</v>
      </c>
      <c r="E430" s="13">
        <f>ROUND(D430*E427,1)/100</f>
        <v>100</v>
      </c>
      <c r="F430" s="31" t="e">
        <f>ROUND(VLOOKUP(B430,M!$B$6:$H$733,IF(#REF!="დაბალი",4,IF(#REF!="საშუალო",6,IF(#REF!="მაღალი",5))),FALSE),2)</f>
        <v>#REF!</v>
      </c>
      <c r="G430" s="13" t="e">
        <f t="shared" ref="G430:G431" si="110">ROUND(E430*F430,1)</f>
        <v>#REF!</v>
      </c>
      <c r="H430" s="13"/>
      <c r="I430" s="13"/>
      <c r="J430" s="35" t="e">
        <f>ROUND(IF(ISNUMBER(MATCH(B430,E!$B$6:$B$197,0)),VLOOKUP(B430,E!$B$6:$E$197,2,FALSE),IF(#REF!="დიახ",IF(VLOOKUP(B430,M!$B$6:$I$733,8,FALSE)="ლ",VLOOKUP(B430,M!$B$6:$I$733,3,FALSE)*0.001*#REF!*#REF!,IF(VLOOKUP(B430,M!$B$6:$I$733,8,FALSE)="მბ",VLOOKUP(B430,M!$B$6:$I$733,3,FALSE)*0.001*#REF!*#REF!,IF(VLOOKUP(B430,M!$B$6:$I$733,8,FALSE)="აბ",VLOOKUP(B430,M!$B$6:$I$733,3,FALSE)*0.001*#REF!*#REF!,IF(VLOOKUP(B430,M!$B$6:$I$733,8,FALSE)="ინ",VLOOKUP(B430,M!$B$6:$I$733,3,FALSE)*0.001*#REF!*#REF!,IF(VLOOKUP(B430,M!$B$6:$I$733,8,FALSE)="ას",VLOOKUP(B430,M!$B$6:$I$733,3,FALSE)*0.001*#REF!*#REF!,IF(VLOOKUP(B430,M!$B$6:$I$733,8,FALSE)="სხ",VLOOKUP(B430,M!$B$6:$I$733,3,FALSE)*0.001*#REF!*#REF!,IF(VLOOKUP(B430,M!$B$6:$I$733,8,FALSE)="ხმ",VLOOKUP(B430,M!$B$6:$I$733,3,FALSE)*0.001*#REF!*#REF!))))))))),2)</f>
        <v>#REF!</v>
      </c>
      <c r="K430" s="31" t="e">
        <f t="shared" ref="K430:K431" si="111">ROUND(E430*J430,1)</f>
        <v>#REF!</v>
      </c>
      <c r="L430" s="13" t="e">
        <f t="shared" si="109"/>
        <v>#REF!</v>
      </c>
      <c r="M430" s="23" t="str">
        <f>(IF(ISNUMBER(MATCH(B430,E!$B$6:$B$197,0)),VLOOKUP(B430,E!$B$6:$E$197,4,FALSE),VLOOKUP(B430,M!$B$6:$I$733,7,FALSE)))</f>
        <v>4.1-332</v>
      </c>
    </row>
    <row r="431" spans="1:13" ht="39.75" customHeight="1" x14ac:dyDescent="0.25">
      <c r="A431" s="16" t="s">
        <v>675</v>
      </c>
      <c r="B431" s="2" t="s">
        <v>400</v>
      </c>
      <c r="C431" s="2" t="s">
        <v>595</v>
      </c>
      <c r="D431" s="2">
        <v>3.9</v>
      </c>
      <c r="E431" s="14">
        <f>ROUND(D431*E427,2)/100</f>
        <v>3.9</v>
      </c>
      <c r="F431" s="31" t="e">
        <f>ROUND(VLOOKUP(B431,M!$B$6:$H$733,IF(#REF!="დაბალი",4,IF(#REF!="საშუალო",6,IF(#REF!="მაღალი",5))),FALSE),2)</f>
        <v>#REF!</v>
      </c>
      <c r="G431" s="13" t="e">
        <f t="shared" si="110"/>
        <v>#REF!</v>
      </c>
      <c r="H431" s="13"/>
      <c r="I431" s="13"/>
      <c r="J431" s="35" t="e">
        <f>ROUND(IF(ISNUMBER(MATCH(B431,E!$B$6:$B$197,0)),VLOOKUP(B431,E!$B$6:$E$197,2,FALSE),IF(#REF!="დიახ",IF(VLOOKUP(B431,M!$B$6:$I$733,8,FALSE)="ლ",VLOOKUP(B431,M!$B$6:$I$733,3,FALSE)*0.001*#REF!*#REF!,IF(VLOOKUP(B431,M!$B$6:$I$733,8,FALSE)="მბ",VLOOKUP(B431,M!$B$6:$I$733,3,FALSE)*0.001*#REF!*#REF!,IF(VLOOKUP(B431,M!$B$6:$I$733,8,FALSE)="აბ",VLOOKUP(B431,M!$B$6:$I$733,3,FALSE)*0.001*#REF!*#REF!,IF(VLOOKUP(B431,M!$B$6:$I$733,8,FALSE)="ინ",VLOOKUP(B431,M!$B$6:$I$733,3,FALSE)*0.001*#REF!*#REF!,IF(VLOOKUP(B431,M!$B$6:$I$733,8,FALSE)="ას",VLOOKUP(B431,M!$B$6:$I$733,3,FALSE)*0.001*#REF!*#REF!,IF(VLOOKUP(B431,M!$B$6:$I$733,8,FALSE)="სხ",VLOOKUP(B431,M!$B$6:$I$733,3,FALSE)*0.001*#REF!*#REF!,IF(VLOOKUP(B431,M!$B$6:$I$733,8,FALSE)="ხმ",VLOOKUP(B431,M!$B$6:$I$733,3,FALSE)*0.001*#REF!*#REF!))))))))),2)</f>
        <v>#REF!</v>
      </c>
      <c r="K431" s="31" t="e">
        <f t="shared" si="111"/>
        <v>#REF!</v>
      </c>
      <c r="L431" s="13" t="e">
        <f t="shared" si="109"/>
        <v>#REF!</v>
      </c>
      <c r="M431" s="23" t="str">
        <f>(IF(ISNUMBER(MATCH(B431,E!$B$6:$B$197,0)),VLOOKUP(B431,E!$B$6:$E$197,4,FALSE),VLOOKUP(B431,M!$B$6:$I$733,7,FALSE)))</f>
        <v>4.1-371</v>
      </c>
    </row>
    <row r="432" spans="1:13" ht="39.950000000000003" customHeight="1" x14ac:dyDescent="0.25">
      <c r="A432" s="16" t="s">
        <v>695</v>
      </c>
      <c r="B432" s="2" t="s">
        <v>677</v>
      </c>
      <c r="C432" s="2" t="s">
        <v>393</v>
      </c>
      <c r="D432" s="2">
        <v>9.6</v>
      </c>
      <c r="E432" s="13">
        <f>ROUND(D432*E427,1)/100</f>
        <v>9.6</v>
      </c>
      <c r="F432" s="31" t="e">
        <f>ROUND(VLOOKUP(B432,M!$B$6:$H$733,IF(#REF!="დაბალი",4,IF(#REF!="საშუალო",6,IF(#REF!="მაღალი",5))),FALSE),2)</f>
        <v>#REF!</v>
      </c>
      <c r="G432" s="13" t="e">
        <f>ROUND(E432*F432,1)</f>
        <v>#REF!</v>
      </c>
      <c r="H432" s="13"/>
      <c r="I432" s="13"/>
      <c r="J432" s="35" t="e">
        <f>ROUND(IF(ISNUMBER(MATCH(B432,E!$B$6:$B$197,0)),VLOOKUP(B432,E!$B$6:$E$197,2,FALSE),IF(#REF!="დიახ",IF(VLOOKUP(B432,M!$B$6:$I$733,8,FALSE)="ლ",VLOOKUP(B432,M!$B$6:$I$733,3,FALSE)*0.001*#REF!*#REF!,IF(VLOOKUP(B432,M!$B$6:$I$733,8,FALSE)="მბ",VLOOKUP(B432,M!$B$6:$I$733,3,FALSE)*0.001*#REF!*#REF!,IF(VLOOKUP(B432,M!$B$6:$I$733,8,FALSE)="აბ",VLOOKUP(B432,M!$B$6:$I$733,3,FALSE)*0.001*#REF!*#REF!,IF(VLOOKUP(B432,M!$B$6:$I$733,8,FALSE)="ინ",VLOOKUP(B432,M!$B$6:$I$733,3,FALSE)*0.001*#REF!*#REF!,IF(VLOOKUP(B432,M!$B$6:$I$733,8,FALSE)="ას",VLOOKUP(B432,M!$B$6:$I$733,3,FALSE)*0.001*#REF!*#REF!,IF(VLOOKUP(B432,M!$B$6:$I$733,8,FALSE)="სხ",VLOOKUP(B432,M!$B$6:$I$733,3,FALSE)*0.001*#REF!*#REF!,IF(VLOOKUP(B432,M!$B$6:$I$733,8,FALSE)="ხმ",VLOOKUP(B432,M!$B$6:$I$733,3,FALSE)*0.001*#REF!*#REF!))))))))),2)</f>
        <v>#REF!</v>
      </c>
      <c r="K432" s="31"/>
      <c r="L432" s="13" t="e">
        <f t="shared" si="109"/>
        <v>#REF!</v>
      </c>
      <c r="M432" s="23" t="str">
        <f>(IF(ISNUMBER(MATCH(B432,E!$B$6:$B$197,0)),VLOOKUP(B432,E!$B$6:$E$197,4,FALSE),VLOOKUP(B432,M!$B$6:$I$733,7,FALSE)))</f>
        <v>ს.რ.ფ</v>
      </c>
    </row>
    <row r="433" spans="1:13" s="45" customFormat="1" ht="39.950000000000003" customHeight="1" x14ac:dyDescent="0.25">
      <c r="A433" s="39">
        <v>1.1000000000000001</v>
      </c>
      <c r="B433" s="40" t="s">
        <v>707</v>
      </c>
      <c r="C433" s="41" t="s">
        <v>9</v>
      </c>
      <c r="D433" s="41"/>
      <c r="E433" s="43">
        <v>1</v>
      </c>
      <c r="F433" s="42"/>
      <c r="G433" s="42"/>
      <c r="H433" s="42"/>
      <c r="I433" s="42"/>
      <c r="J433" s="35"/>
      <c r="K433" s="46"/>
      <c r="L433" s="43" t="e">
        <f>SUM(L434:L435)</f>
        <v>#REF!</v>
      </c>
      <c r="M433" s="44" t="s">
        <v>708</v>
      </c>
    </row>
    <row r="434" spans="1:13" ht="39.950000000000003" customHeight="1" x14ac:dyDescent="0.25">
      <c r="A434" s="16" t="s">
        <v>668</v>
      </c>
      <c r="B434" s="17" t="s">
        <v>239</v>
      </c>
      <c r="C434" s="2" t="s">
        <v>672</v>
      </c>
      <c r="D434" s="2">
        <v>0.3</v>
      </c>
      <c r="E434" s="13">
        <f>ROUND(D434*E433,1)</f>
        <v>0.3</v>
      </c>
      <c r="F434" s="13"/>
      <c r="G434" s="13"/>
      <c r="H434" s="13"/>
      <c r="I434" s="13"/>
      <c r="J434" s="35">
        <f>ROUND(IF(ISNUMBER(MATCH(B434,E!$B$6:$B$197,0)),VLOOKUP(B434,E!$B$6:$E$197,2,FALSE),IF(#REF!="დიახ",IF(VLOOKUP(B434,M!$B$6:$I$733,8,FALSE)="ლ",VLOOKUP(B434,M!$B$6:$I$733,3,FALSE)*0.001*#REF!*#REF!,IF(VLOOKUP(B434,M!$B$6:$I$733,8,FALSE)="მბ",VLOOKUP(B434,M!$B$6:$I$733,3,FALSE)*0.001*#REF!*#REF!,IF(VLOOKUP(B434,M!$B$6:$I$733,8,FALSE)="აბ",VLOOKUP(B434,M!$B$6:$I$733,3,FALSE)*0.001*#REF!*#REF!,IF(VLOOKUP(B434,M!$B$6:$I$733,8,FALSE)="ინ",VLOOKUP(B434,M!$B$6:$I$733,3,FALSE)*0.001*#REF!*#REF!,IF(VLOOKUP(B434,M!$B$6:$I$733,8,FALSE)="ას",VLOOKUP(B434,M!$B$6:$I$733,3,FALSE)*0.001*#REF!*#REF!,IF(VLOOKUP(B434,M!$B$6:$I$733,8,FALSE)="სხ",VLOOKUP(B434,M!$B$6:$I$733,3,FALSE)*0.001*#REF!*#REF!,IF(VLOOKUP(B434,M!$B$6:$I$733,8,FALSE)="ხმ",VLOOKUP(B434,M!$B$6:$I$733,3,FALSE)*0.001*#REF!*#REF!))))))))),2)</f>
        <v>59.65</v>
      </c>
      <c r="K434" s="31">
        <f t="shared" ref="K434:K435" si="112">ROUND(E434*J434,2)</f>
        <v>17.899999999999999</v>
      </c>
      <c r="L434" s="14">
        <f t="shared" ref="L434:L435" si="113">G434+I434+K434</f>
        <v>17.899999999999999</v>
      </c>
      <c r="M434" s="23" t="str">
        <f>(IF(ISNUMBER(MATCH(B434,E!$B$6:$B$197,0)),VLOOKUP(B434,E!$B$6:$E$197,4,FALSE),VLOOKUP(B434,M!$B$6:$I$733,7,FALSE)))</f>
        <v>14-198</v>
      </c>
    </row>
    <row r="435" spans="1:13" ht="39.950000000000003" customHeight="1" x14ac:dyDescent="0.25">
      <c r="A435" s="16" t="s">
        <v>671</v>
      </c>
      <c r="B435" s="2" t="s">
        <v>452</v>
      </c>
      <c r="C435" s="2" t="s">
        <v>9</v>
      </c>
      <c r="D435" s="2">
        <v>1.03</v>
      </c>
      <c r="E435" s="14">
        <f>ROUND(D435*E433,2)</f>
        <v>1.03</v>
      </c>
      <c r="F435" s="31" t="e">
        <f>ROUND(VLOOKUP(B435,M!$B$6:$H$733,IF(#REF!="დაბალი",4,IF(#REF!="საშუალო",6,IF(#REF!="მაღალი",5))),FALSE),2)</f>
        <v>#REF!</v>
      </c>
      <c r="G435" s="14" t="e">
        <f>ROUND(E435*F435,2)</f>
        <v>#REF!</v>
      </c>
      <c r="H435" s="13"/>
      <c r="I435" s="13"/>
      <c r="J435" s="35" t="e">
        <f>ROUND(IF(ISNUMBER(MATCH(B435,E!$B$6:$B$197,0)),VLOOKUP(B435,E!$B$6:$E$197,2,FALSE),IF(#REF!="დიახ",IF(VLOOKUP(B435,M!$B$6:$I$733,8,FALSE)="ლ",VLOOKUP(B435,M!$B$6:$I$733,3,FALSE)*0.001*#REF!*#REF!,IF(VLOOKUP(B435,M!$B$6:$I$733,8,FALSE)="მბ",VLOOKUP(B435,M!$B$6:$I$733,3,FALSE)*0.001*#REF!*#REF!,IF(VLOOKUP(B435,M!$B$6:$I$733,8,FALSE)="აბ",VLOOKUP(B435,M!$B$6:$I$733,3,FALSE)*0.001*#REF!*#REF!,IF(VLOOKUP(B435,M!$B$6:$I$733,8,FALSE)="ინ",VLOOKUP(B435,M!$B$6:$I$733,3,FALSE)*0.001*#REF!*#REF!,IF(VLOOKUP(B435,M!$B$6:$I$733,8,FALSE)="ას",VLOOKUP(B435,M!$B$6:$I$733,3,FALSE)*0.001*#REF!*#REF!,IF(VLOOKUP(B435,M!$B$6:$I$733,8,FALSE)="სხ",VLOOKUP(B435,M!$B$6:$I$733,3,FALSE)*0.001*#REF!*#REF!,IF(VLOOKUP(B435,M!$B$6:$I$733,8,FALSE)="ხმ",VLOOKUP(B435,M!$B$6:$I$733,3,FALSE)*0.001*#REF!*#REF!))))))))),2)</f>
        <v>#REF!</v>
      </c>
      <c r="K435" s="31" t="e">
        <f t="shared" si="112"/>
        <v>#REF!</v>
      </c>
      <c r="L435" s="14" t="e">
        <f t="shared" si="113"/>
        <v>#REF!</v>
      </c>
      <c r="M435" s="23" t="str">
        <f>(IF(ISNUMBER(MATCH(B435,E!$B$6:$B$197,0)),VLOOKUP(B435,E!$B$6:$E$197,4,FALSE),VLOOKUP(B435,M!$B$6:$I$733,7,FALSE)))</f>
        <v>4.1-537</v>
      </c>
    </row>
    <row r="436" spans="1:13" s="45" customFormat="1" ht="39.950000000000003" customHeight="1" x14ac:dyDescent="0.25">
      <c r="A436" s="39">
        <v>1.1000000000000001</v>
      </c>
      <c r="B436" s="40" t="s">
        <v>722</v>
      </c>
      <c r="C436" s="41" t="s">
        <v>721</v>
      </c>
      <c r="D436" s="41"/>
      <c r="E436" s="51">
        <v>1000</v>
      </c>
      <c r="F436" s="42"/>
      <c r="G436" s="42"/>
      <c r="H436" s="42"/>
      <c r="I436" s="42"/>
      <c r="J436" s="35"/>
      <c r="K436" s="46"/>
      <c r="L436" s="43" t="e">
        <f>SUM(L437:L443)</f>
        <v>#REF!</v>
      </c>
      <c r="M436" s="53" t="str">
        <f>IF(MID(RIGHT(B436,5),1,1)&gt;"4","27-39-1-2 27-40-1-2","27-39-1 27-40-1")</f>
        <v>27-39-1-2 27-40-1-2</v>
      </c>
    </row>
    <row r="437" spans="1:13" ht="39.950000000000003" customHeight="1" x14ac:dyDescent="0.25">
      <c r="A437" s="16" t="s">
        <v>668</v>
      </c>
      <c r="B437" s="17" t="s">
        <v>669</v>
      </c>
      <c r="C437" s="2" t="s">
        <v>670</v>
      </c>
      <c r="D437" s="2">
        <f>IF(MID(RIGHT(B436,5),1,1)&gt;"4",(37.5+((MID(RIGHT(B436,5),1,1)-4)*2*0.07)),"37.5")</f>
        <v>37.78</v>
      </c>
      <c r="E437" s="14">
        <f>D437*E436/1000</f>
        <v>37.78</v>
      </c>
      <c r="F437" s="13"/>
      <c r="G437" s="13"/>
      <c r="H437" s="27">
        <f>IF((ISNUMBER(--LEFT(M436,2))),VLOOKUP(--LEFT(M436,2),N!$A$5:$C$54,3,FALSE),VLOOKUP(--LEFT(M436,1),N!$A$5:$C$54,3,FALSE))</f>
        <v>6</v>
      </c>
      <c r="I437" s="14">
        <f>ROUND(E437*H437,2)</f>
        <v>226.68</v>
      </c>
      <c r="J437" s="35">
        <f>ROUND(IF(ISNUMBER(MATCH(B437,E!$B$6:$B$197,0)),VLOOKUP(B437,E!$B$6:$E$197,2,FALSE),IF(#REF!="დიახ",IF(VLOOKUP(B437,M!$B$6:$I$733,8,FALSE)="ლ",VLOOKUP(B437,M!$B$6:$I$733,3,FALSE)*0.001*#REF!*#REF!,IF(VLOOKUP(B437,M!$B$6:$I$733,8,FALSE)="მბ",VLOOKUP(B437,M!$B$6:$I$733,3,FALSE)*0.001*#REF!*#REF!,IF(VLOOKUP(B437,M!$B$6:$I$733,8,FALSE)="აბ",VLOOKUP(B437,M!$B$6:$I$733,3,FALSE)*0.001*#REF!*#REF!,IF(VLOOKUP(B437,M!$B$6:$I$733,8,FALSE)="ინ",VLOOKUP(B437,M!$B$6:$I$733,3,FALSE)*0.001*#REF!*#REF!,IF(VLOOKUP(B437,M!$B$6:$I$733,8,FALSE)="ას",VLOOKUP(B437,M!$B$6:$I$733,3,FALSE)*0.001*#REF!*#REF!,IF(VLOOKUP(B437,M!$B$6:$I$733,8,FALSE)="სხ",VLOOKUP(B437,M!$B$6:$I$733,3,FALSE)*0.001*#REF!*#REF!,IF(VLOOKUP(B437,M!$B$6:$I$733,8,FALSE)="ხმ",VLOOKUP(B437,M!$B$6:$I$733,3,FALSE)*0.001*#REF!*#REF!))))))))),2)</f>
        <v>0</v>
      </c>
      <c r="K437" s="31"/>
      <c r="L437" s="14">
        <f t="shared" ref="L437:L443" si="114">G437+I437+K437</f>
        <v>226.68</v>
      </c>
      <c r="M437" s="23" t="str">
        <f>(IF(ISNUMBER(MATCH(B437,E!$B$6:$B$197,0)),VLOOKUP(B437,E!$B$6:$E$197,4,FALSE),VLOOKUP(B437,M!$B$6:$I$733,7,FALSE)))</f>
        <v>მ.ც</v>
      </c>
    </row>
    <row r="438" spans="1:13" ht="39.950000000000003" customHeight="1" x14ac:dyDescent="0.25">
      <c r="A438" s="16" t="s">
        <v>671</v>
      </c>
      <c r="B438" s="2" t="s">
        <v>269</v>
      </c>
      <c r="C438" s="2" t="s">
        <v>672</v>
      </c>
      <c r="D438" s="2">
        <v>3.02</v>
      </c>
      <c r="E438" s="14">
        <f>D438*E436/1000</f>
        <v>3.02</v>
      </c>
      <c r="F438" s="13"/>
      <c r="G438" s="13"/>
      <c r="H438" s="13"/>
      <c r="I438" s="13"/>
      <c r="J438" s="35">
        <f>ROUND(IF(ISNUMBER(MATCH(B438,E!$B$6:$B$197,0)),VLOOKUP(B438,E!$B$6:$E$197,2,FALSE),IF(#REF!="დიახ",IF(VLOOKUP(B438,M!$B$6:$I$733,8,FALSE)="ლ",VLOOKUP(B438,M!$B$6:$I$733,3,FALSE)*0.001*#REF!*#REF!,IF(VLOOKUP(B438,M!$B$6:$I$733,8,FALSE)="მბ",VLOOKUP(B438,M!$B$6:$I$733,3,FALSE)*0.001*#REF!*#REF!,IF(VLOOKUP(B438,M!$B$6:$I$733,8,FALSE)="აბ",VLOOKUP(B438,M!$B$6:$I$733,3,FALSE)*0.001*#REF!*#REF!,IF(VLOOKUP(B438,M!$B$6:$I$733,8,FALSE)="ინ",VLOOKUP(B438,M!$B$6:$I$733,3,FALSE)*0.001*#REF!*#REF!,IF(VLOOKUP(B438,M!$B$6:$I$733,8,FALSE)="ას",VLOOKUP(B438,M!$B$6:$I$733,3,FALSE)*0.001*#REF!*#REF!,IF(VLOOKUP(B438,M!$B$6:$I$733,8,FALSE)="სხ",VLOOKUP(B438,M!$B$6:$I$733,3,FALSE)*0.001*#REF!*#REF!,IF(VLOOKUP(B438,M!$B$6:$I$733,8,FALSE)="ხმ",VLOOKUP(B438,M!$B$6:$I$733,3,FALSE)*0.001*#REF!*#REF!))))))))),2)</f>
        <v>25.15</v>
      </c>
      <c r="K438" s="31">
        <f t="shared" ref="K438:K442" si="115">ROUND(E438*J438,2)</f>
        <v>75.95</v>
      </c>
      <c r="L438" s="14">
        <f t="shared" si="114"/>
        <v>75.95</v>
      </c>
      <c r="M438" s="23" t="str">
        <f>(IF(ISNUMBER(MATCH(B438,E!$B$6:$B$197,0)),VLOOKUP(B438,E!$B$6:$E$197,4,FALSE),VLOOKUP(B438,M!$B$6:$I$733,7,FALSE)))</f>
        <v>14-231</v>
      </c>
    </row>
    <row r="439" spans="1:13" ht="39.950000000000003" customHeight="1" x14ac:dyDescent="0.25">
      <c r="A439" s="16" t="s">
        <v>673</v>
      </c>
      <c r="B439" s="2" t="s">
        <v>259</v>
      </c>
      <c r="C439" s="2" t="s">
        <v>672</v>
      </c>
      <c r="D439" s="2">
        <v>3.7</v>
      </c>
      <c r="E439" s="14">
        <f>D439*E436/1000</f>
        <v>3.7</v>
      </c>
      <c r="F439" s="13"/>
      <c r="G439" s="13"/>
      <c r="H439" s="13"/>
      <c r="I439" s="13"/>
      <c r="J439" s="35">
        <f>ROUND(IF(ISNUMBER(MATCH(B439,E!$B$6:$B$197,0)),VLOOKUP(B439,E!$B$6:$E$197,2,FALSE),IF(#REF!="დიახ",IF(VLOOKUP(B439,M!$B$6:$I$733,8,FALSE)="ლ",VLOOKUP(B439,M!$B$6:$I$733,3,FALSE)*0.001*#REF!*#REF!,IF(VLOOKUP(B439,M!$B$6:$I$733,8,FALSE)="მბ",VLOOKUP(B439,M!$B$6:$I$733,3,FALSE)*0.001*#REF!*#REF!,IF(VLOOKUP(B439,M!$B$6:$I$733,8,FALSE)="აბ",VLOOKUP(B439,M!$B$6:$I$733,3,FALSE)*0.001*#REF!*#REF!,IF(VLOOKUP(B439,M!$B$6:$I$733,8,FALSE)="ინ",VLOOKUP(B439,M!$B$6:$I$733,3,FALSE)*0.001*#REF!*#REF!,IF(VLOOKUP(B439,M!$B$6:$I$733,8,FALSE)="ას",VLOOKUP(B439,M!$B$6:$I$733,3,FALSE)*0.001*#REF!*#REF!,IF(VLOOKUP(B439,M!$B$6:$I$733,8,FALSE)="სხ",VLOOKUP(B439,M!$B$6:$I$733,3,FALSE)*0.001*#REF!*#REF!,IF(VLOOKUP(B439,M!$B$6:$I$733,8,FALSE)="ხმ",VLOOKUP(B439,M!$B$6:$I$733,3,FALSE)*0.001*#REF!*#REF!))))))))),2)</f>
        <v>20.39</v>
      </c>
      <c r="K439" s="31">
        <f t="shared" si="115"/>
        <v>75.44</v>
      </c>
      <c r="L439" s="14">
        <f t="shared" si="114"/>
        <v>75.44</v>
      </c>
      <c r="M439" s="23" t="str">
        <f>(IF(ISNUMBER(MATCH(B439,E!$B$6:$B$197,0)),VLOOKUP(B439,E!$B$6:$E$197,4,FALSE),VLOOKUP(B439,M!$B$6:$I$733,7,FALSE)))</f>
        <v>14-218</v>
      </c>
    </row>
    <row r="440" spans="1:13" ht="39.950000000000003" customHeight="1" x14ac:dyDescent="0.25">
      <c r="A440" s="16" t="s">
        <v>675</v>
      </c>
      <c r="B440" s="2" t="s">
        <v>260</v>
      </c>
      <c r="C440" s="2" t="s">
        <v>672</v>
      </c>
      <c r="D440" s="2">
        <v>11.1</v>
      </c>
      <c r="E440" s="14">
        <f>D440*E436/1000</f>
        <v>11.1</v>
      </c>
      <c r="F440" s="13"/>
      <c r="G440" s="13"/>
      <c r="H440" s="13"/>
      <c r="I440" s="13"/>
      <c r="J440" s="35">
        <f>ROUND(IF(ISNUMBER(MATCH(B440,E!$B$6:$B$197,0)),VLOOKUP(B440,E!$B$6:$E$197,2,FALSE),IF(#REF!="დიახ",IF(VLOOKUP(B440,M!$B$6:$I$733,8,FALSE)="ლ",VLOOKUP(B440,M!$B$6:$I$733,3,FALSE)*0.001*#REF!*#REF!,IF(VLOOKUP(B440,M!$B$6:$I$733,8,FALSE)="მბ",VLOOKUP(B440,M!$B$6:$I$733,3,FALSE)*0.001*#REF!*#REF!,IF(VLOOKUP(B440,M!$B$6:$I$733,8,FALSE)="აბ",VLOOKUP(B440,M!$B$6:$I$733,3,FALSE)*0.001*#REF!*#REF!,IF(VLOOKUP(B440,M!$B$6:$I$733,8,FALSE)="ინ",VLOOKUP(B440,M!$B$6:$I$733,3,FALSE)*0.001*#REF!*#REF!,IF(VLOOKUP(B440,M!$B$6:$I$733,8,FALSE)="ას",VLOOKUP(B440,M!$B$6:$I$733,3,FALSE)*0.001*#REF!*#REF!,IF(VLOOKUP(B440,M!$B$6:$I$733,8,FALSE)="სხ",VLOOKUP(B440,M!$B$6:$I$733,3,FALSE)*0.001*#REF!*#REF!,IF(VLOOKUP(B440,M!$B$6:$I$733,8,FALSE)="ხმ",VLOOKUP(B440,M!$B$6:$I$733,3,FALSE)*0.001*#REF!*#REF!))))))))),2)</f>
        <v>24.25</v>
      </c>
      <c r="K440" s="31">
        <f t="shared" si="115"/>
        <v>269.18</v>
      </c>
      <c r="L440" s="14">
        <f t="shared" si="114"/>
        <v>269.18</v>
      </c>
      <c r="M440" s="23" t="str">
        <f>(IF(ISNUMBER(MATCH(B440,E!$B$6:$B$197,0)),VLOOKUP(B440,E!$B$6:$E$197,4,FALSE),VLOOKUP(B440,M!$B$6:$I$733,7,FALSE)))</f>
        <v>14-219</v>
      </c>
    </row>
    <row r="441" spans="1:13" ht="39.950000000000003" customHeight="1" x14ac:dyDescent="0.25">
      <c r="A441" s="16" t="s">
        <v>695</v>
      </c>
      <c r="B441" s="17" t="s">
        <v>654</v>
      </c>
      <c r="C441" s="2" t="s">
        <v>393</v>
      </c>
      <c r="D441" s="2">
        <v>2.2999999999999998</v>
      </c>
      <c r="E441" s="14">
        <f>D441*E436/1000</f>
        <v>2.2999999999999998</v>
      </c>
      <c r="F441" s="13"/>
      <c r="G441" s="13"/>
      <c r="H441" s="13"/>
      <c r="I441" s="13"/>
      <c r="J441" s="35">
        <f>ROUND(IF(ISNUMBER(MATCH(B441,E!$B$6:$B$197,0)),VLOOKUP(B441,E!$B$6:$E$197,2,FALSE),IF(#REF!="დიახ",IF(VLOOKUP(B441,M!$B$6:$I$733,8,FALSE)="ლ",VLOOKUP(B441,M!$B$6:$I$733,3,FALSE)*0.001*#REF!*#REF!,IF(VLOOKUP(B441,M!$B$6:$I$733,8,FALSE)="მბ",VLOOKUP(B441,M!$B$6:$I$733,3,FALSE)*0.001*#REF!*#REF!,IF(VLOOKUP(B441,M!$B$6:$I$733,8,FALSE)="აბ",VLOOKUP(B441,M!$B$6:$I$733,3,FALSE)*0.001*#REF!*#REF!,IF(VLOOKUP(B441,M!$B$6:$I$733,8,FALSE)="ინ",VLOOKUP(B441,M!$B$6:$I$733,3,FALSE)*0.001*#REF!*#REF!,IF(VLOOKUP(B441,M!$B$6:$I$733,8,FALSE)="ას",VLOOKUP(B441,M!$B$6:$I$733,3,FALSE)*0.001*#REF!*#REF!,IF(VLOOKUP(B441,M!$B$6:$I$733,8,FALSE)="სხ",VLOOKUP(B441,M!$B$6:$I$733,3,FALSE)*0.001*#REF!*#REF!,IF(VLOOKUP(B441,M!$B$6:$I$733,8,FALSE)="ხმ",VLOOKUP(B441,M!$B$6:$I$733,3,FALSE)*0.001*#REF!*#REF!))))))))),2)</f>
        <v>3.2</v>
      </c>
      <c r="K441" s="31">
        <f t="shared" si="115"/>
        <v>7.36</v>
      </c>
      <c r="L441" s="14">
        <f t="shared" si="114"/>
        <v>7.36</v>
      </c>
      <c r="M441" s="23" t="str">
        <f>(IF(ISNUMBER(MATCH(B441,E!$B$6:$B$197,0)),VLOOKUP(B441,E!$B$6:$E$197,4,FALSE),VLOOKUP(B441,M!$B$6:$I$733,7,FALSE)))</f>
        <v>ს.რ.ფ</v>
      </c>
    </row>
    <row r="442" spans="1:13" ht="39.950000000000003" customHeight="1" x14ac:dyDescent="0.25">
      <c r="A442" s="16" t="s">
        <v>696</v>
      </c>
      <c r="B442" s="2" t="s">
        <v>440</v>
      </c>
      <c r="C442" s="2" t="s">
        <v>9</v>
      </c>
      <c r="D442" s="2">
        <f>IF(MID(RIGHT(B436,5),1,1)&gt;"4",(93.1+((MID(RIGHT(B436,5),1,1)-4)*2*11.6)),IF(MID(RIGHT(B436,5),1,1)="4","93.1",IF(MID(RIGHT(B436,5),1,1)&lt;"4",(93.1-((4-MID(RIGHT(B436,5),1,1))*2*11.6)))))</f>
        <v>139.5</v>
      </c>
      <c r="E442" s="14">
        <f>D442*E436/1000</f>
        <v>139.5</v>
      </c>
      <c r="F442" s="31" t="e">
        <f>ROUND(VLOOKUP(B442,M!$B$6:$H$733,IF(#REF!="დაბალი",4,IF(#REF!="საშუალო",6,IF(#REF!="მაღალი",5))),FALSE),2)</f>
        <v>#REF!</v>
      </c>
      <c r="G442" s="14" t="e">
        <f>ROUND(E442*F442,2)</f>
        <v>#REF!</v>
      </c>
      <c r="H442" s="13"/>
      <c r="I442" s="13"/>
      <c r="J442" s="35" t="e">
        <f>ROUND(IF(ISNUMBER(MATCH(B442,E!$B$6:$B$197,0)),VLOOKUP(B442,E!$B$6:$E$197,2,FALSE),IF(#REF!="დიახ",IF(VLOOKUP(B442,M!$B$6:$I$733,8,FALSE)="ლ",VLOOKUP(B442,M!$B$6:$I$733,3,FALSE)*0.001*#REF!*#REF!,IF(VLOOKUP(B442,M!$B$6:$I$733,8,FALSE)="მბ",VLOOKUP(B442,M!$B$6:$I$733,3,FALSE)*0.001*#REF!*#REF!,IF(VLOOKUP(B442,M!$B$6:$I$733,8,FALSE)="აბ",VLOOKUP(B442,M!$B$6:$I$733,3,FALSE)*0.001*#REF!*#REF!,IF(VLOOKUP(B442,M!$B$6:$I$733,8,FALSE)="ინ",VLOOKUP(B442,M!$B$6:$I$733,3,FALSE)*0.001*#REF!*#REF!,IF(VLOOKUP(B442,M!$B$6:$I$733,8,FALSE)="ას",VLOOKUP(B442,M!$B$6:$I$733,3,FALSE)*0.001*#REF!*#REF!,IF(VLOOKUP(B442,M!$B$6:$I$733,8,FALSE)="სხ",VLOOKUP(B442,M!$B$6:$I$733,3,FALSE)*0.001*#REF!*#REF!,IF(VLOOKUP(B442,M!$B$6:$I$733,8,FALSE)="ხმ",VLOOKUP(B442,M!$B$6:$I$733,3,FALSE)*0.001*#REF!*#REF!))))))))),2)</f>
        <v>#REF!</v>
      </c>
      <c r="K442" s="31" t="e">
        <f t="shared" si="115"/>
        <v>#REF!</v>
      </c>
      <c r="L442" s="14" t="e">
        <f t="shared" si="114"/>
        <v>#REF!</v>
      </c>
      <c r="M442" s="23" t="str">
        <f>(IF(ISNUMBER(MATCH(B442,E!$B$6:$B$197,0)),VLOOKUP(B442,E!$B$6:$E$197,4,FALSE),VLOOKUP(B442,M!$B$6:$I$733,7,FALSE)))</f>
        <v>4.1-522</v>
      </c>
    </row>
    <row r="443" spans="1:13" ht="39.950000000000003" customHeight="1" x14ac:dyDescent="0.25">
      <c r="A443" s="16" t="s">
        <v>733</v>
      </c>
      <c r="B443" s="17" t="s">
        <v>677</v>
      </c>
      <c r="C443" s="2" t="s">
        <v>393</v>
      </c>
      <c r="D443" s="2">
        <f>IF(MID(RIGHT(B436,5),1,1)&gt;"4",(14.5+((MID(RIGHT(B436,5),1,1)-4)*2*0.2)),"14.5")</f>
        <v>15.3</v>
      </c>
      <c r="E443" s="14">
        <f>D443*E436/1000</f>
        <v>15.3</v>
      </c>
      <c r="F443" s="31" t="e">
        <f>ROUND(VLOOKUP(B443,M!$B$6:$H$733,IF(#REF!="დაბალი",4,IF(#REF!="საშუალო",6,IF(#REF!="მაღალი",5))),FALSE),2)</f>
        <v>#REF!</v>
      </c>
      <c r="G443" s="14" t="e">
        <f>ROUND(E443*F443,2)</f>
        <v>#REF!</v>
      </c>
      <c r="H443" s="13"/>
      <c r="I443" s="13"/>
      <c r="J443" s="35" t="e">
        <f>ROUND(IF(ISNUMBER(MATCH(B443,E!$B$6:$B$197,0)),VLOOKUP(B443,E!$B$6:$E$197,2,FALSE),IF(#REF!="დიახ",IF(VLOOKUP(B443,M!$B$6:$I$733,8,FALSE)="ლ",VLOOKUP(B443,M!$B$6:$I$733,3,FALSE)*0.001*#REF!*#REF!,IF(VLOOKUP(B443,M!$B$6:$I$733,8,FALSE)="მბ",VLOOKUP(B443,M!$B$6:$I$733,3,FALSE)*0.001*#REF!*#REF!,IF(VLOOKUP(B443,M!$B$6:$I$733,8,FALSE)="აბ",VLOOKUP(B443,M!$B$6:$I$733,3,FALSE)*0.001*#REF!*#REF!,IF(VLOOKUP(B443,M!$B$6:$I$733,8,FALSE)="ინ",VLOOKUP(B443,M!$B$6:$I$733,3,FALSE)*0.001*#REF!*#REF!,IF(VLOOKUP(B443,M!$B$6:$I$733,8,FALSE)="ას",VLOOKUP(B443,M!$B$6:$I$733,3,FALSE)*0.001*#REF!*#REF!,IF(VLOOKUP(B443,M!$B$6:$I$733,8,FALSE)="სხ",VLOOKUP(B443,M!$B$6:$I$733,3,FALSE)*0.001*#REF!*#REF!,IF(VLOOKUP(B443,M!$B$6:$I$733,8,FALSE)="ხმ",VLOOKUP(B443,M!$B$6:$I$733,3,FALSE)*0.001*#REF!*#REF!))))))))),2)</f>
        <v>#REF!</v>
      </c>
      <c r="K443" s="31"/>
      <c r="L443" s="14" t="e">
        <f t="shared" si="114"/>
        <v>#REF!</v>
      </c>
      <c r="M443" s="23" t="str">
        <f>(IF(ISNUMBER(MATCH(B443,E!$B$6:$B$197,0)),VLOOKUP(B443,E!$B$6:$E$197,4,FALSE),VLOOKUP(B443,M!$B$6:$I$733,7,FALSE)))</f>
        <v>ს.რ.ფ</v>
      </c>
    </row>
    <row r="444" spans="1:13" s="45" customFormat="1" ht="39.950000000000003" customHeight="1" x14ac:dyDescent="0.25">
      <c r="A444" s="39">
        <v>1.1000000000000001</v>
      </c>
      <c r="B444" s="40" t="s">
        <v>785</v>
      </c>
      <c r="C444" s="41" t="s">
        <v>721</v>
      </c>
      <c r="D444" s="41"/>
      <c r="E444" s="51">
        <v>1000</v>
      </c>
      <c r="F444" s="42"/>
      <c r="G444" s="42"/>
      <c r="H444" s="42"/>
      <c r="I444" s="42"/>
      <c r="J444" s="35"/>
      <c r="K444" s="46"/>
      <c r="L444" s="43" t="e">
        <f>SUM(L445:L451)</f>
        <v>#REF!</v>
      </c>
      <c r="M444" s="53" t="str">
        <f>IF(MID(RIGHT(B444,5),1,1)&gt;"4","27-39-1-2 27-40-1-2","27-39-1 27-40-1")</f>
        <v>27-39-1 27-40-1</v>
      </c>
    </row>
    <row r="445" spans="1:13" ht="39.950000000000003" customHeight="1" x14ac:dyDescent="0.25">
      <c r="A445" s="16" t="s">
        <v>668</v>
      </c>
      <c r="B445" s="17" t="s">
        <v>669</v>
      </c>
      <c r="C445" s="2" t="s">
        <v>670</v>
      </c>
      <c r="D445" s="2" t="str">
        <f>IF(MID(RIGHT(B444,5),1,1)&gt;"4",(37.5+((MID(RIGHT(B444,5),1,1)-4)*2*0.07)),"37.5")</f>
        <v>37.5</v>
      </c>
      <c r="E445" s="14">
        <f>D445*E444/1000</f>
        <v>37.5</v>
      </c>
      <c r="F445" s="13"/>
      <c r="G445" s="13"/>
      <c r="H445" s="27">
        <f>IF((ISNUMBER(--LEFT(M444,2))),VLOOKUP(--LEFT(M444,2),N!$A$5:$C$54,3,FALSE),VLOOKUP(--LEFT(M444,1),N!$A$5:$C$54,3,FALSE))</f>
        <v>6</v>
      </c>
      <c r="I445" s="14">
        <f>ROUND(E445*H445,2)</f>
        <v>225</v>
      </c>
      <c r="J445" s="35">
        <f>ROUND(IF(ISNUMBER(MATCH(B445,E!$B$6:$B$197,0)),VLOOKUP(B445,E!$B$6:$E$197,2,FALSE),IF(#REF!="დიახ",IF(VLOOKUP(B445,M!$B$6:$I$733,8,FALSE)="ლ",VLOOKUP(B445,M!$B$6:$I$733,3,FALSE)*0.001*#REF!*#REF!,IF(VLOOKUP(B445,M!$B$6:$I$733,8,FALSE)="მბ",VLOOKUP(B445,M!$B$6:$I$733,3,FALSE)*0.001*#REF!*#REF!,IF(VLOOKUP(B445,M!$B$6:$I$733,8,FALSE)="აბ",VLOOKUP(B445,M!$B$6:$I$733,3,FALSE)*0.001*#REF!*#REF!,IF(VLOOKUP(B445,M!$B$6:$I$733,8,FALSE)="ინ",VLOOKUP(B445,M!$B$6:$I$733,3,FALSE)*0.001*#REF!*#REF!,IF(VLOOKUP(B445,M!$B$6:$I$733,8,FALSE)="ას",VLOOKUP(B445,M!$B$6:$I$733,3,FALSE)*0.001*#REF!*#REF!,IF(VLOOKUP(B445,M!$B$6:$I$733,8,FALSE)="სხ",VLOOKUP(B445,M!$B$6:$I$733,3,FALSE)*0.001*#REF!*#REF!,IF(VLOOKUP(B445,M!$B$6:$I$733,8,FALSE)="ხმ",VLOOKUP(B445,M!$B$6:$I$733,3,FALSE)*0.001*#REF!*#REF!))))))))),2)</f>
        <v>0</v>
      </c>
      <c r="K445" s="31"/>
      <c r="L445" s="14">
        <f t="shared" ref="L445:L451" si="116">G445+I445+K445</f>
        <v>225</v>
      </c>
      <c r="M445" s="23" t="str">
        <f>(IF(ISNUMBER(MATCH(B445,E!$B$6:$B$197,0)),VLOOKUP(B445,E!$B$6:$E$197,4,FALSE),VLOOKUP(B445,M!$B$6:$I$733,7,FALSE)))</f>
        <v>მ.ც</v>
      </c>
    </row>
    <row r="446" spans="1:13" ht="39.950000000000003" customHeight="1" x14ac:dyDescent="0.25">
      <c r="A446" s="16" t="s">
        <v>671</v>
      </c>
      <c r="B446" s="2" t="s">
        <v>269</v>
      </c>
      <c r="C446" s="2" t="s">
        <v>672</v>
      </c>
      <c r="D446" s="2">
        <v>3.02</v>
      </c>
      <c r="E446" s="14">
        <f>D446*E444/1000</f>
        <v>3.02</v>
      </c>
      <c r="F446" s="13"/>
      <c r="G446" s="13"/>
      <c r="H446" s="13"/>
      <c r="I446" s="13"/>
      <c r="J446" s="35">
        <f>ROUND(IF(ISNUMBER(MATCH(B446,E!$B$6:$B$197,0)),VLOOKUP(B446,E!$B$6:$E$197,2,FALSE),IF(#REF!="დიახ",IF(VLOOKUP(B446,M!$B$6:$I$733,8,FALSE)="ლ",VLOOKUP(B446,M!$B$6:$I$733,3,FALSE)*0.001*#REF!*#REF!,IF(VLOOKUP(B446,M!$B$6:$I$733,8,FALSE)="მბ",VLOOKUP(B446,M!$B$6:$I$733,3,FALSE)*0.001*#REF!*#REF!,IF(VLOOKUP(B446,M!$B$6:$I$733,8,FALSE)="აბ",VLOOKUP(B446,M!$B$6:$I$733,3,FALSE)*0.001*#REF!*#REF!,IF(VLOOKUP(B446,M!$B$6:$I$733,8,FALSE)="ინ",VLOOKUP(B446,M!$B$6:$I$733,3,FALSE)*0.001*#REF!*#REF!,IF(VLOOKUP(B446,M!$B$6:$I$733,8,FALSE)="ას",VLOOKUP(B446,M!$B$6:$I$733,3,FALSE)*0.001*#REF!*#REF!,IF(VLOOKUP(B446,M!$B$6:$I$733,8,FALSE)="სხ",VLOOKUP(B446,M!$B$6:$I$733,3,FALSE)*0.001*#REF!*#REF!,IF(VLOOKUP(B446,M!$B$6:$I$733,8,FALSE)="ხმ",VLOOKUP(B446,M!$B$6:$I$733,3,FALSE)*0.001*#REF!*#REF!))))))))),2)</f>
        <v>25.15</v>
      </c>
      <c r="K446" s="31">
        <f t="shared" ref="K446:K451" si="117">ROUND(E446*J446,2)</f>
        <v>75.95</v>
      </c>
      <c r="L446" s="14">
        <f t="shared" si="116"/>
        <v>75.95</v>
      </c>
      <c r="M446" s="23" t="str">
        <f>(IF(ISNUMBER(MATCH(B446,E!$B$6:$B$197,0)),VLOOKUP(B446,E!$B$6:$E$197,4,FALSE),VLOOKUP(B446,M!$B$6:$I$733,7,FALSE)))</f>
        <v>14-231</v>
      </c>
    </row>
    <row r="447" spans="1:13" ht="39.950000000000003" customHeight="1" x14ac:dyDescent="0.25">
      <c r="A447" s="16" t="s">
        <v>673</v>
      </c>
      <c r="B447" s="2" t="s">
        <v>259</v>
      </c>
      <c r="C447" s="2" t="s">
        <v>672</v>
      </c>
      <c r="D447" s="2">
        <v>3.7</v>
      </c>
      <c r="E447" s="14">
        <f>D447*E444/1000</f>
        <v>3.7</v>
      </c>
      <c r="F447" s="13"/>
      <c r="G447" s="13"/>
      <c r="H447" s="13"/>
      <c r="I447" s="13"/>
      <c r="J447" s="35">
        <f>ROUND(IF(ISNUMBER(MATCH(B447,E!$B$6:$B$197,0)),VLOOKUP(B447,E!$B$6:$E$197,2,FALSE),IF(#REF!="დიახ",IF(VLOOKUP(B447,M!$B$6:$I$733,8,FALSE)="ლ",VLOOKUP(B447,M!$B$6:$I$733,3,FALSE)*0.001*#REF!*#REF!,IF(VLOOKUP(B447,M!$B$6:$I$733,8,FALSE)="მბ",VLOOKUP(B447,M!$B$6:$I$733,3,FALSE)*0.001*#REF!*#REF!,IF(VLOOKUP(B447,M!$B$6:$I$733,8,FALSE)="აბ",VLOOKUP(B447,M!$B$6:$I$733,3,FALSE)*0.001*#REF!*#REF!,IF(VLOOKUP(B447,M!$B$6:$I$733,8,FALSE)="ინ",VLOOKUP(B447,M!$B$6:$I$733,3,FALSE)*0.001*#REF!*#REF!,IF(VLOOKUP(B447,M!$B$6:$I$733,8,FALSE)="ას",VLOOKUP(B447,M!$B$6:$I$733,3,FALSE)*0.001*#REF!*#REF!,IF(VLOOKUP(B447,M!$B$6:$I$733,8,FALSE)="სხ",VLOOKUP(B447,M!$B$6:$I$733,3,FALSE)*0.001*#REF!*#REF!,IF(VLOOKUP(B447,M!$B$6:$I$733,8,FALSE)="ხმ",VLOOKUP(B447,M!$B$6:$I$733,3,FALSE)*0.001*#REF!*#REF!))))))))),2)</f>
        <v>20.39</v>
      </c>
      <c r="K447" s="31">
        <f t="shared" si="117"/>
        <v>75.44</v>
      </c>
      <c r="L447" s="14">
        <f t="shared" si="116"/>
        <v>75.44</v>
      </c>
      <c r="M447" s="23" t="str">
        <f>(IF(ISNUMBER(MATCH(B447,E!$B$6:$B$197,0)),VLOOKUP(B447,E!$B$6:$E$197,4,FALSE),VLOOKUP(B447,M!$B$6:$I$733,7,FALSE)))</f>
        <v>14-218</v>
      </c>
    </row>
    <row r="448" spans="1:13" ht="39.950000000000003" customHeight="1" x14ac:dyDescent="0.25">
      <c r="A448" s="16" t="s">
        <v>675</v>
      </c>
      <c r="B448" s="2" t="s">
        <v>260</v>
      </c>
      <c r="C448" s="2" t="s">
        <v>672</v>
      </c>
      <c r="D448" s="2">
        <v>11.1</v>
      </c>
      <c r="E448" s="14">
        <f>D448*E444/1000</f>
        <v>11.1</v>
      </c>
      <c r="F448" s="13"/>
      <c r="G448" s="13"/>
      <c r="H448" s="13"/>
      <c r="I448" s="13"/>
      <c r="J448" s="35">
        <f>ROUND(IF(ISNUMBER(MATCH(B448,E!$B$6:$B$197,0)),VLOOKUP(B448,E!$B$6:$E$197,2,FALSE),IF(#REF!="დიახ",IF(VLOOKUP(B448,M!$B$6:$I$733,8,FALSE)="ლ",VLOOKUP(B448,M!$B$6:$I$733,3,FALSE)*0.001*#REF!*#REF!,IF(VLOOKUP(B448,M!$B$6:$I$733,8,FALSE)="მბ",VLOOKUP(B448,M!$B$6:$I$733,3,FALSE)*0.001*#REF!*#REF!,IF(VLOOKUP(B448,M!$B$6:$I$733,8,FALSE)="აბ",VLOOKUP(B448,M!$B$6:$I$733,3,FALSE)*0.001*#REF!*#REF!,IF(VLOOKUP(B448,M!$B$6:$I$733,8,FALSE)="ინ",VLOOKUP(B448,M!$B$6:$I$733,3,FALSE)*0.001*#REF!*#REF!,IF(VLOOKUP(B448,M!$B$6:$I$733,8,FALSE)="ას",VLOOKUP(B448,M!$B$6:$I$733,3,FALSE)*0.001*#REF!*#REF!,IF(VLOOKUP(B448,M!$B$6:$I$733,8,FALSE)="სხ",VLOOKUP(B448,M!$B$6:$I$733,3,FALSE)*0.001*#REF!*#REF!,IF(VLOOKUP(B448,M!$B$6:$I$733,8,FALSE)="ხმ",VLOOKUP(B448,M!$B$6:$I$733,3,FALSE)*0.001*#REF!*#REF!))))))))),2)</f>
        <v>24.25</v>
      </c>
      <c r="K448" s="31">
        <f t="shared" si="117"/>
        <v>269.18</v>
      </c>
      <c r="L448" s="14">
        <f t="shared" si="116"/>
        <v>269.18</v>
      </c>
      <c r="M448" s="23" t="str">
        <f>(IF(ISNUMBER(MATCH(B448,E!$B$6:$B$197,0)),VLOOKUP(B448,E!$B$6:$E$197,4,FALSE),VLOOKUP(B448,M!$B$6:$I$733,7,FALSE)))</f>
        <v>14-219</v>
      </c>
    </row>
    <row r="449" spans="1:13" ht="39.950000000000003" customHeight="1" x14ac:dyDescent="0.25">
      <c r="A449" s="16" t="s">
        <v>695</v>
      </c>
      <c r="B449" s="17" t="s">
        <v>654</v>
      </c>
      <c r="C449" s="2" t="s">
        <v>393</v>
      </c>
      <c r="D449" s="2">
        <v>2.2999999999999998</v>
      </c>
      <c r="E449" s="14">
        <f>D449*E444/1000</f>
        <v>2.2999999999999998</v>
      </c>
      <c r="F449" s="13"/>
      <c r="G449" s="13"/>
      <c r="H449" s="13"/>
      <c r="I449" s="13"/>
      <c r="J449" s="35">
        <f>ROUND(IF(ISNUMBER(MATCH(B449,E!$B$6:$B$197,0)),VLOOKUP(B449,E!$B$6:$E$197,2,FALSE),IF(#REF!="დიახ",IF(VLOOKUP(B449,M!$B$6:$I$733,8,FALSE)="ლ",VLOOKUP(B449,M!$B$6:$I$733,3,FALSE)*0.001*#REF!*#REF!,IF(VLOOKUP(B449,M!$B$6:$I$733,8,FALSE)="მბ",VLOOKUP(B449,M!$B$6:$I$733,3,FALSE)*0.001*#REF!*#REF!,IF(VLOOKUP(B449,M!$B$6:$I$733,8,FALSE)="აბ",VLOOKUP(B449,M!$B$6:$I$733,3,FALSE)*0.001*#REF!*#REF!,IF(VLOOKUP(B449,M!$B$6:$I$733,8,FALSE)="ინ",VLOOKUP(B449,M!$B$6:$I$733,3,FALSE)*0.001*#REF!*#REF!,IF(VLOOKUP(B449,M!$B$6:$I$733,8,FALSE)="ას",VLOOKUP(B449,M!$B$6:$I$733,3,FALSE)*0.001*#REF!*#REF!,IF(VLOOKUP(B449,M!$B$6:$I$733,8,FALSE)="სხ",VLOOKUP(B449,M!$B$6:$I$733,3,FALSE)*0.001*#REF!*#REF!,IF(VLOOKUP(B449,M!$B$6:$I$733,8,FALSE)="ხმ",VLOOKUP(B449,M!$B$6:$I$733,3,FALSE)*0.001*#REF!*#REF!))))))))),2)</f>
        <v>3.2</v>
      </c>
      <c r="K449" s="31">
        <f t="shared" si="117"/>
        <v>7.36</v>
      </c>
      <c r="L449" s="14">
        <f t="shared" si="116"/>
        <v>7.36</v>
      </c>
      <c r="M449" s="23" t="str">
        <f>(IF(ISNUMBER(MATCH(B449,E!$B$6:$B$197,0)),VLOOKUP(B449,E!$B$6:$E$197,4,FALSE),VLOOKUP(B449,M!$B$6:$I$733,7,FALSE)))</f>
        <v>ს.რ.ფ</v>
      </c>
    </row>
    <row r="450" spans="1:13" ht="39.950000000000003" customHeight="1" x14ac:dyDescent="0.25">
      <c r="A450" s="16" t="s">
        <v>696</v>
      </c>
      <c r="B450" s="2" t="s">
        <v>441</v>
      </c>
      <c r="C450" s="2" t="s">
        <v>9</v>
      </c>
      <c r="D450" s="2">
        <f>IF(MID(RIGHT(B444,5),1,2)&gt;"4",(97.4+((MID(RIGHT(B444,5),1,1)-4)*2*12.1)),IF(MID(RIGHT(B444,5),1,1)="4","97.4",IF(MID(RIGHT(B444,5),1,1)&lt;"4",(97.4-((4-MID(RIGHT(B444,5),1,1))*2*12.1)))))</f>
        <v>97.4</v>
      </c>
      <c r="E450" s="14">
        <f>D450*E444/1000</f>
        <v>97.4</v>
      </c>
      <c r="F450" s="31" t="e">
        <f>ROUND(VLOOKUP(B450,M!$B$6:$H$733,IF(#REF!="დაბალი",4,IF(#REF!="საშუალო",6,IF(#REF!="მაღალი",5))),FALSE),2)</f>
        <v>#REF!</v>
      </c>
      <c r="G450" s="14" t="e">
        <f>ROUND(E450*F450,2)</f>
        <v>#REF!</v>
      </c>
      <c r="H450" s="13"/>
      <c r="I450" s="13"/>
      <c r="J450" s="35" t="e">
        <f>ROUND(IF(ISNUMBER(MATCH(B450,E!$B$6:$B$197,0)),VLOOKUP(B450,E!$B$6:$E$197,2,FALSE),IF(#REF!="დიახ",IF(VLOOKUP(B450,M!$B$6:$I$733,8,FALSE)="ლ",VLOOKUP(B450,M!$B$6:$I$733,3,FALSE)*0.001*#REF!*#REF!,IF(VLOOKUP(B450,M!$B$6:$I$733,8,FALSE)="მბ",VLOOKUP(B450,M!$B$6:$I$733,3,FALSE)*0.001*#REF!*#REF!,IF(VLOOKUP(B450,M!$B$6:$I$733,8,FALSE)="აბ",VLOOKUP(B450,M!$B$6:$I$733,3,FALSE)*0.001*#REF!*#REF!,IF(VLOOKUP(B450,M!$B$6:$I$733,8,FALSE)="ინ",VLOOKUP(B450,M!$B$6:$I$733,3,FALSE)*0.001*#REF!*#REF!,IF(VLOOKUP(B450,M!$B$6:$I$733,8,FALSE)="ას",VLOOKUP(B450,M!$B$6:$I$733,3,FALSE)*0.001*#REF!*#REF!,IF(VLOOKUP(B450,M!$B$6:$I$733,8,FALSE)="სხ",VLOOKUP(B450,M!$B$6:$I$733,3,FALSE)*0.001*#REF!*#REF!,IF(VLOOKUP(B450,M!$B$6:$I$733,8,FALSE)="ხმ",VLOOKUP(B450,M!$B$6:$I$733,3,FALSE)*0.001*#REF!*#REF!))))))))),2)</f>
        <v>#REF!</v>
      </c>
      <c r="K450" s="31" t="e">
        <f t="shared" si="117"/>
        <v>#REF!</v>
      </c>
      <c r="L450" s="14" t="e">
        <f t="shared" si="116"/>
        <v>#REF!</v>
      </c>
      <c r="M450" s="23" t="str">
        <f>(IF(ISNUMBER(MATCH(B450,E!$B$6:$B$197,0)),VLOOKUP(B450,E!$B$6:$E$197,4,FALSE),VLOOKUP(B450,M!$B$6:$I$733,7,FALSE)))</f>
        <v>4.1-524</v>
      </c>
    </row>
    <row r="451" spans="1:13" ht="39.950000000000003" customHeight="1" x14ac:dyDescent="0.25">
      <c r="A451" s="16" t="s">
        <v>733</v>
      </c>
      <c r="B451" s="17" t="s">
        <v>677</v>
      </c>
      <c r="C451" s="2" t="s">
        <v>393</v>
      </c>
      <c r="D451" s="2" t="str">
        <f>IF(MID(RIGHT(B444,5),1,1)&gt;"4",(14.5+((MID(RIGHT(B444,5),1,1)-4)*2*0.2)),"14.5")</f>
        <v>14.5</v>
      </c>
      <c r="E451" s="14">
        <f>D451*E444/1000</f>
        <v>14.5</v>
      </c>
      <c r="F451" s="31" t="e">
        <f>ROUND(VLOOKUP(B451,M!$B$6:$H$733,IF(#REF!="დაბალი",4,IF(#REF!="საშუალო",6,IF(#REF!="მაღალი",5))),FALSE),2)</f>
        <v>#REF!</v>
      </c>
      <c r="G451" s="14" t="e">
        <f>ROUND(E451*F451,2)</f>
        <v>#REF!</v>
      </c>
      <c r="H451" s="13"/>
      <c r="I451" s="13"/>
      <c r="J451" s="35" t="e">
        <f>ROUND(IF(ISNUMBER(MATCH(B451,E!$B$6:$B$197,0)),VLOOKUP(B451,E!$B$6:$E$197,2,FALSE),IF(#REF!="დიახ",IF(VLOOKUP(B451,M!$B$6:$I$733,8,FALSE)="ლ",VLOOKUP(B451,M!$B$6:$I$733,3,FALSE)*0.001*#REF!*#REF!,IF(VLOOKUP(B451,M!$B$6:$I$733,8,FALSE)="მბ",VLOOKUP(B451,M!$B$6:$I$733,3,FALSE)*0.001*#REF!*#REF!,IF(VLOOKUP(B451,M!$B$6:$I$733,8,FALSE)="აბ",VLOOKUP(B451,M!$B$6:$I$733,3,FALSE)*0.001*#REF!*#REF!,IF(VLOOKUP(B451,M!$B$6:$I$733,8,FALSE)="ინ",VLOOKUP(B451,M!$B$6:$I$733,3,FALSE)*0.001*#REF!*#REF!,IF(VLOOKUP(B451,M!$B$6:$I$733,8,FALSE)="ას",VLOOKUP(B451,M!$B$6:$I$733,3,FALSE)*0.001*#REF!*#REF!,IF(VLOOKUP(B451,M!$B$6:$I$733,8,FALSE)="სხ",VLOOKUP(B451,M!$B$6:$I$733,3,FALSE)*0.001*#REF!*#REF!,IF(VLOOKUP(B451,M!$B$6:$I$733,8,FALSE)="ხმ",VLOOKUP(B451,M!$B$6:$I$733,3,FALSE)*0.001*#REF!*#REF!))))))))),2)</f>
        <v>#REF!</v>
      </c>
      <c r="K451" s="31" t="e">
        <f t="shared" si="117"/>
        <v>#REF!</v>
      </c>
      <c r="L451" s="14" t="e">
        <f t="shared" si="116"/>
        <v>#REF!</v>
      </c>
      <c r="M451" s="23" t="str">
        <f>(IF(ISNUMBER(MATCH(B451,E!$B$6:$B$197,0)),VLOOKUP(B451,E!$B$6:$E$197,4,FALSE),VLOOKUP(B451,M!$B$6:$I$733,7,FALSE)))</f>
        <v>ს.რ.ფ</v>
      </c>
    </row>
    <row r="452" spans="1:13" s="45" customFormat="1" ht="39.950000000000003" customHeight="1" x14ac:dyDescent="0.25">
      <c r="A452" s="39">
        <v>1.1000000000000001</v>
      </c>
      <c r="B452" s="40" t="s">
        <v>732</v>
      </c>
      <c r="C452" s="41" t="s">
        <v>712</v>
      </c>
      <c r="D452" s="41"/>
      <c r="E452" s="52">
        <v>100</v>
      </c>
      <c r="F452" s="42"/>
      <c r="G452" s="42"/>
      <c r="H452" s="42"/>
      <c r="I452" s="42"/>
      <c r="J452" s="35"/>
      <c r="K452" s="46"/>
      <c r="L452" s="43" t="e">
        <f>SUM(L453:L458)</f>
        <v>#REF!</v>
      </c>
      <c r="M452" s="44" t="s">
        <v>692</v>
      </c>
    </row>
    <row r="453" spans="1:13" ht="39.950000000000003" customHeight="1" x14ac:dyDescent="0.25">
      <c r="A453" s="16" t="s">
        <v>668</v>
      </c>
      <c r="B453" s="17" t="s">
        <v>669</v>
      </c>
      <c r="C453" s="2" t="s">
        <v>670</v>
      </c>
      <c r="D453" s="2">
        <v>15</v>
      </c>
      <c r="E453" s="14">
        <f>D453*E452/100</f>
        <v>15</v>
      </c>
      <c r="F453" s="13"/>
      <c r="G453" s="13"/>
      <c r="H453" s="27">
        <f>IF((ISNUMBER(--LEFT(M452,2))),VLOOKUP(--LEFT(M452,2),N!$A$5:$C$54,3,FALSE),VLOOKUP(--LEFT(M452,1),N!$A$5:$C$54,3,FALSE))</f>
        <v>6</v>
      </c>
      <c r="I453" s="14">
        <f>ROUND(E453*H453,2)</f>
        <v>90</v>
      </c>
      <c r="J453" s="35">
        <f>ROUND(IF(ISNUMBER(MATCH(B453,E!$B$6:$B$197,0)),VLOOKUP(B453,E!$B$6:$E$197,2,FALSE),IF(#REF!="დიახ",IF(VLOOKUP(B453,M!$B$6:$I$733,8,FALSE)="ლ",VLOOKUP(B453,M!$B$6:$I$733,3,FALSE)*0.001*#REF!*#REF!,IF(VLOOKUP(B453,M!$B$6:$I$733,8,FALSE)="მბ",VLOOKUP(B453,M!$B$6:$I$733,3,FALSE)*0.001*#REF!*#REF!,IF(VLOOKUP(B453,M!$B$6:$I$733,8,FALSE)="აბ",VLOOKUP(B453,M!$B$6:$I$733,3,FALSE)*0.001*#REF!*#REF!,IF(VLOOKUP(B453,M!$B$6:$I$733,8,FALSE)="ინ",VLOOKUP(B453,M!$B$6:$I$733,3,FALSE)*0.001*#REF!*#REF!,IF(VLOOKUP(B453,M!$B$6:$I$733,8,FALSE)="ას",VLOOKUP(B453,M!$B$6:$I$733,3,FALSE)*0.001*#REF!*#REF!,IF(VLOOKUP(B453,M!$B$6:$I$733,8,FALSE)="სხ",VLOOKUP(B453,M!$B$6:$I$733,3,FALSE)*0.001*#REF!*#REF!,IF(VLOOKUP(B453,M!$B$6:$I$733,8,FALSE)="ხმ",VLOOKUP(B453,M!$B$6:$I$733,3,FALSE)*0.001*#REF!*#REF!))))))))),2)</f>
        <v>0</v>
      </c>
      <c r="K453" s="31"/>
      <c r="L453" s="14">
        <f t="shared" ref="L453:L458" si="118">G453+I453+K453</f>
        <v>90</v>
      </c>
      <c r="M453" s="23" t="str">
        <f>(IF(ISNUMBER(MATCH(B453,E!$B$6:$B$197,0)),VLOOKUP(B453,E!$B$6:$E$197,4,FALSE),VLOOKUP(B453,M!$B$6:$I$733,7,FALSE)))</f>
        <v>მ.ც</v>
      </c>
    </row>
    <row r="454" spans="1:13" ht="39.950000000000003" customHeight="1" x14ac:dyDescent="0.25">
      <c r="A454" s="16" t="s">
        <v>671</v>
      </c>
      <c r="B454" s="17" t="s">
        <v>241</v>
      </c>
      <c r="C454" s="2" t="s">
        <v>672</v>
      </c>
      <c r="D454" s="2">
        <v>2.16</v>
      </c>
      <c r="E454" s="14">
        <f>D454*E452/100</f>
        <v>2.16</v>
      </c>
      <c r="F454" s="13"/>
      <c r="G454" s="13"/>
      <c r="H454" s="13"/>
      <c r="I454" s="13"/>
      <c r="J454" s="35">
        <f>ROUND(IF(ISNUMBER(MATCH(B454,E!$B$6:$B$197,0)),VLOOKUP(B454,E!$B$6:$E$197,2,FALSE),IF(#REF!="დიახ",IF(VLOOKUP(B454,M!$B$6:$I$733,8,FALSE)="ლ",VLOOKUP(B454,M!$B$6:$I$733,3,FALSE)*0.001*#REF!*#REF!,IF(VLOOKUP(B454,M!$B$6:$I$733,8,FALSE)="მბ",VLOOKUP(B454,M!$B$6:$I$733,3,FALSE)*0.001*#REF!*#REF!,IF(VLOOKUP(B454,M!$B$6:$I$733,8,FALSE)="აბ",VLOOKUP(B454,M!$B$6:$I$733,3,FALSE)*0.001*#REF!*#REF!,IF(VLOOKUP(B454,M!$B$6:$I$733,8,FALSE)="ინ",VLOOKUP(B454,M!$B$6:$I$733,3,FALSE)*0.001*#REF!*#REF!,IF(VLOOKUP(B454,M!$B$6:$I$733,8,FALSE)="ას",VLOOKUP(B454,M!$B$6:$I$733,3,FALSE)*0.001*#REF!*#REF!,IF(VLOOKUP(B454,M!$B$6:$I$733,8,FALSE)="სხ",VLOOKUP(B454,M!$B$6:$I$733,3,FALSE)*0.001*#REF!*#REF!,IF(VLOOKUP(B454,M!$B$6:$I$733,8,FALSE)="ხმ",VLOOKUP(B454,M!$B$6:$I$733,3,FALSE)*0.001*#REF!*#REF!))))))))),2)</f>
        <v>30.57</v>
      </c>
      <c r="K454" s="31">
        <f t="shared" ref="K454:K458" si="119">ROUND(E454*J454,2)</f>
        <v>66.03</v>
      </c>
      <c r="L454" s="14">
        <f t="shared" si="118"/>
        <v>66.03</v>
      </c>
      <c r="M454" s="23" t="str">
        <f>(IF(ISNUMBER(MATCH(B454,E!$B$6:$B$197,0)),VLOOKUP(B454,E!$B$6:$E$197,4,FALSE),VLOOKUP(B454,M!$B$6:$I$733,7,FALSE)))</f>
        <v>14-200</v>
      </c>
    </row>
    <row r="455" spans="1:13" ht="39.950000000000003" customHeight="1" x14ac:dyDescent="0.25">
      <c r="A455" s="16" t="s">
        <v>673</v>
      </c>
      <c r="B455" s="2" t="s">
        <v>263</v>
      </c>
      <c r="C455" s="2" t="s">
        <v>672</v>
      </c>
      <c r="D455" s="2">
        <v>2.73</v>
      </c>
      <c r="E455" s="14">
        <f>D455*E452/100</f>
        <v>2.73</v>
      </c>
      <c r="F455" s="13"/>
      <c r="G455" s="13"/>
      <c r="H455" s="13"/>
      <c r="I455" s="13"/>
      <c r="J455" s="35">
        <f>ROUND(IF(ISNUMBER(MATCH(B455,E!$B$6:$B$197,0)),VLOOKUP(B455,E!$B$6:$E$197,2,FALSE),IF(#REF!="დიახ",IF(VLOOKUP(B455,M!$B$6:$I$733,8,FALSE)="ლ",VLOOKUP(B455,M!$B$6:$I$733,3,FALSE)*0.001*#REF!*#REF!,IF(VLOOKUP(B455,M!$B$6:$I$733,8,FALSE)="მბ",VLOOKUP(B455,M!$B$6:$I$733,3,FALSE)*0.001*#REF!*#REF!,IF(VLOOKUP(B455,M!$B$6:$I$733,8,FALSE)="აბ",VLOOKUP(B455,M!$B$6:$I$733,3,FALSE)*0.001*#REF!*#REF!,IF(VLOOKUP(B455,M!$B$6:$I$733,8,FALSE)="ინ",VLOOKUP(B455,M!$B$6:$I$733,3,FALSE)*0.001*#REF!*#REF!,IF(VLOOKUP(B455,M!$B$6:$I$733,8,FALSE)="ას",VLOOKUP(B455,M!$B$6:$I$733,3,FALSE)*0.001*#REF!*#REF!,IF(VLOOKUP(B455,M!$B$6:$I$733,8,FALSE)="სხ",VLOOKUP(B455,M!$B$6:$I$733,3,FALSE)*0.001*#REF!*#REF!,IF(VLOOKUP(B455,M!$B$6:$I$733,8,FALSE)="ხმ",VLOOKUP(B455,M!$B$6:$I$733,3,FALSE)*0.001*#REF!*#REF!))))))))),2)</f>
        <v>39.18</v>
      </c>
      <c r="K455" s="31">
        <f t="shared" si="119"/>
        <v>106.96</v>
      </c>
      <c r="L455" s="14">
        <f t="shared" si="118"/>
        <v>106.96</v>
      </c>
      <c r="M455" s="23" t="str">
        <f>(IF(ISNUMBER(MATCH(B455,E!$B$6:$B$197,0)),VLOOKUP(B455,E!$B$6:$E$197,4,FALSE),VLOOKUP(B455,M!$B$6:$I$733,7,FALSE)))</f>
        <v>14-222</v>
      </c>
    </row>
    <row r="456" spans="1:13" ht="39.950000000000003" customHeight="1" x14ac:dyDescent="0.25">
      <c r="A456" s="16" t="s">
        <v>675</v>
      </c>
      <c r="B456" s="17" t="s">
        <v>266</v>
      </c>
      <c r="C456" s="2" t="s">
        <v>672</v>
      </c>
      <c r="D456" s="2">
        <v>0.97</v>
      </c>
      <c r="E456" s="14">
        <f>D456*E452/100</f>
        <v>0.97</v>
      </c>
      <c r="F456" s="13"/>
      <c r="G456" s="13"/>
      <c r="H456" s="13"/>
      <c r="I456" s="13"/>
      <c r="J456" s="35">
        <f>ROUND(IF(ISNUMBER(MATCH(B456,E!$B$6:$B$197,0)),VLOOKUP(B456,E!$B$6:$E$197,2,FALSE),IF(#REF!="დიახ",IF(VLOOKUP(B456,M!$B$6:$I$733,8,FALSE)="ლ",VLOOKUP(B456,M!$B$6:$I$733,3,FALSE)*0.001*#REF!*#REF!,IF(VLOOKUP(B456,M!$B$6:$I$733,8,FALSE)="მბ",VLOOKUP(B456,M!$B$6:$I$733,3,FALSE)*0.001*#REF!*#REF!,IF(VLOOKUP(B456,M!$B$6:$I$733,8,FALSE)="აბ",VLOOKUP(B456,M!$B$6:$I$733,3,FALSE)*0.001*#REF!*#REF!,IF(VLOOKUP(B456,M!$B$6:$I$733,8,FALSE)="ინ",VLOOKUP(B456,M!$B$6:$I$733,3,FALSE)*0.001*#REF!*#REF!,IF(VLOOKUP(B456,M!$B$6:$I$733,8,FALSE)="ას",VLOOKUP(B456,M!$B$6:$I$733,3,FALSE)*0.001*#REF!*#REF!,IF(VLOOKUP(B456,M!$B$6:$I$733,8,FALSE)="სხ",VLOOKUP(B456,M!$B$6:$I$733,3,FALSE)*0.001*#REF!*#REF!,IF(VLOOKUP(B456,M!$B$6:$I$733,8,FALSE)="ხმ",VLOOKUP(B456,M!$B$6:$I$733,3,FALSE)*0.001*#REF!*#REF!))))))))),2)</f>
        <v>52.87</v>
      </c>
      <c r="K456" s="31">
        <f t="shared" si="119"/>
        <v>51.28</v>
      </c>
      <c r="L456" s="14">
        <f t="shared" si="118"/>
        <v>51.28</v>
      </c>
      <c r="M456" s="23" t="str">
        <f>(IF(ISNUMBER(MATCH(B456,E!$B$6:$B$197,0)),VLOOKUP(B456,E!$B$6:$E$197,4,FALSE),VLOOKUP(B456,M!$B$6:$I$733,7,FALSE)))</f>
        <v>14-228</v>
      </c>
    </row>
    <row r="457" spans="1:13" ht="39.950000000000003" customHeight="1" x14ac:dyDescent="0.25">
      <c r="A457" s="16" t="s">
        <v>695</v>
      </c>
      <c r="B457" s="17" t="s">
        <v>693</v>
      </c>
      <c r="C457" s="2" t="s">
        <v>674</v>
      </c>
      <c r="D457" s="2">
        <v>7</v>
      </c>
      <c r="E457" s="14">
        <f>D457*E452/100</f>
        <v>7</v>
      </c>
      <c r="F457" s="31" t="e">
        <f>ROUND(VLOOKUP(B457,M!$B$6:$H$733,IF(#REF!="დაბალი",4,IF(#REF!="საშუალო",6,IF(#REF!="მაღალი",5))),FALSE),2)</f>
        <v>#REF!</v>
      </c>
      <c r="G457" s="14" t="e">
        <f>ROUND(E457*F457,2)</f>
        <v>#REF!</v>
      </c>
      <c r="H457" s="13"/>
      <c r="I457" s="13"/>
      <c r="J457" s="35" t="e">
        <f>ROUND(IF(ISNUMBER(MATCH(B457,E!$B$6:$B$197,0)),VLOOKUP(B457,E!$B$6:$E$197,2,FALSE),IF(#REF!="დიახ",IF(VLOOKUP(B457,M!$B$6:$I$733,8,FALSE)="ლ",VLOOKUP(B457,M!$B$6:$I$733,3,FALSE)*0.001*#REF!*#REF!,IF(VLOOKUP(B457,M!$B$6:$I$733,8,FALSE)="მბ",VLOOKUP(B457,M!$B$6:$I$733,3,FALSE)*0.001*#REF!*#REF!,IF(VLOOKUP(B457,M!$B$6:$I$733,8,FALSE)="აბ",VLOOKUP(B457,M!$B$6:$I$733,3,FALSE)*0.001*#REF!*#REF!,IF(VLOOKUP(B457,M!$B$6:$I$733,8,FALSE)="ინ",VLOOKUP(B457,M!$B$6:$I$733,3,FALSE)*0.001*#REF!*#REF!,IF(VLOOKUP(B457,M!$B$6:$I$733,8,FALSE)="ას",VLOOKUP(B457,M!$B$6:$I$733,3,FALSE)*0.001*#REF!*#REF!,IF(VLOOKUP(B457,M!$B$6:$I$733,8,FALSE)="სხ",VLOOKUP(B457,M!$B$6:$I$733,3,FALSE)*0.001*#REF!*#REF!,IF(VLOOKUP(B457,M!$B$6:$I$733,8,FALSE)="ხმ",VLOOKUP(B457,M!$B$6:$I$733,3,FALSE)*0.001*#REF!*#REF!))))))))),2)</f>
        <v>#REF!</v>
      </c>
      <c r="K457" s="31"/>
      <c r="L457" s="14" t="e">
        <f t="shared" si="118"/>
        <v>#REF!</v>
      </c>
      <c r="M457" s="23" t="str">
        <f>(IF(ISNUMBER(MATCH(B457,E!$B$6:$B$197,0)),VLOOKUP(B457,E!$B$6:$E$197,4,FALSE),VLOOKUP(B457,M!$B$6:$I$733,7,FALSE)))</f>
        <v>საბ.</v>
      </c>
    </row>
    <row r="458" spans="1:13" ht="39.950000000000003" customHeight="1" x14ac:dyDescent="0.25">
      <c r="A458" s="16" t="s">
        <v>696</v>
      </c>
      <c r="B458" s="2" t="s">
        <v>331</v>
      </c>
      <c r="C458" s="2" t="s">
        <v>674</v>
      </c>
      <c r="D458" s="2">
        <v>122</v>
      </c>
      <c r="E458" s="14">
        <f>D458*E452/100</f>
        <v>122</v>
      </c>
      <c r="F458" s="31" t="e">
        <f>ROUND(VLOOKUP(B458,M!$B$6:$H$733,IF(#REF!="დაბალი",4,IF(#REF!="საშუალო",6,IF(#REF!="მაღალი",5))),FALSE),2)</f>
        <v>#REF!</v>
      </c>
      <c r="G458" s="14" t="e">
        <f>ROUND(E458*F458,2)</f>
        <v>#REF!</v>
      </c>
      <c r="H458" s="13"/>
      <c r="I458" s="13"/>
      <c r="J458" s="35" t="e">
        <f>ROUND(IF(ISNUMBER(MATCH(B458,E!$B$6:$B$197,0)),VLOOKUP(B458,E!$B$6:$E$197,2,FALSE),IF(#REF!="დიახ",IF(VLOOKUP(B458,M!$B$6:$I$733,8,FALSE)="ლ",VLOOKUP(B458,M!$B$6:$I$733,3,FALSE)*0.001*#REF!*#REF!,IF(VLOOKUP(B458,M!$B$6:$I$733,8,FALSE)="მბ",VLOOKUP(B458,M!$B$6:$I$733,3,FALSE)*0.001*#REF!*#REF!,IF(VLOOKUP(B458,M!$B$6:$I$733,8,FALSE)="აბ",VLOOKUP(B458,M!$B$6:$I$733,3,FALSE)*0.001*#REF!*#REF!,IF(VLOOKUP(B458,M!$B$6:$I$733,8,FALSE)="ინ",VLOOKUP(B458,M!$B$6:$I$733,3,FALSE)*0.001*#REF!*#REF!,IF(VLOOKUP(B458,M!$B$6:$I$733,8,FALSE)="ას",VLOOKUP(B458,M!$B$6:$I$733,3,FALSE)*0.001*#REF!*#REF!,IF(VLOOKUP(B458,M!$B$6:$I$733,8,FALSE)="სხ",VLOOKUP(B458,M!$B$6:$I$733,3,FALSE)*0.001*#REF!*#REF!,IF(VLOOKUP(B458,M!$B$6:$I$733,8,FALSE)="ხმ",VLOOKUP(B458,M!$B$6:$I$733,3,FALSE)*0.001*#REF!*#REF!))))))))),2)</f>
        <v>#REF!</v>
      </c>
      <c r="K458" s="31" t="e">
        <f t="shared" si="119"/>
        <v>#REF!</v>
      </c>
      <c r="L458" s="14" t="e">
        <f t="shared" si="118"/>
        <v>#REF!</v>
      </c>
      <c r="M458" s="23" t="str">
        <f>(IF(ISNUMBER(MATCH(B458,E!$B$6:$B$197,0)),VLOOKUP(B458,E!$B$6:$E$197,4,FALSE),VLOOKUP(B458,M!$B$6:$I$733,7,FALSE)))</f>
        <v>4.1-228</v>
      </c>
    </row>
    <row r="459" spans="1:13" s="45" customFormat="1" ht="39.950000000000003" customHeight="1" x14ac:dyDescent="0.25">
      <c r="A459" s="39">
        <v>1.1000000000000001</v>
      </c>
      <c r="B459" s="40" t="s">
        <v>812</v>
      </c>
      <c r="C459" s="41" t="s">
        <v>721</v>
      </c>
      <c r="D459" s="41"/>
      <c r="E459" s="51">
        <v>1000</v>
      </c>
      <c r="F459" s="42"/>
      <c r="G459" s="42"/>
      <c r="H459" s="42"/>
      <c r="I459" s="42"/>
      <c r="J459" s="46"/>
      <c r="K459" s="46"/>
      <c r="L459" s="43" t="e">
        <f>SUM(L460:L464)</f>
        <v>#REF!</v>
      </c>
      <c r="M459" s="57" t="s">
        <v>813</v>
      </c>
    </row>
    <row r="460" spans="1:13" ht="39.950000000000003" customHeight="1" x14ac:dyDescent="0.25">
      <c r="A460" s="16" t="s">
        <v>668</v>
      </c>
      <c r="B460" s="17" t="s">
        <v>669</v>
      </c>
      <c r="C460" s="2" t="s">
        <v>670</v>
      </c>
      <c r="D460" s="2">
        <v>737</v>
      </c>
      <c r="E460" s="14">
        <f>ROUND(D460*E459,2)/1000</f>
        <v>737</v>
      </c>
      <c r="F460" s="13"/>
      <c r="G460" s="13"/>
      <c r="H460" s="27">
        <f>IF((ISNUMBER(--LEFT(M459,2))),VLOOKUP(--LEFT(M459,2),N!$A$5:$C$54,3,FALSE),VLOOKUP(--LEFT(M459,1),N!$A$5:$C$54,3,FALSE))</f>
        <v>6</v>
      </c>
      <c r="I460" s="13">
        <f>ROUND(E460*H460,1)</f>
        <v>4422</v>
      </c>
      <c r="J460" s="31"/>
      <c r="K460" s="31"/>
      <c r="L460" s="13">
        <f>G460+I460+K460</f>
        <v>4422</v>
      </c>
      <c r="M460" s="23" t="str">
        <f>(IF(ISNUMBER(MATCH(B460,E!$B$6:$B$197,0)),VLOOKUP(B460,E!$B$6:$E$197,4,FALSE),VLOOKUP(B460,M!$B$6:$I$733,7,FALSE)))</f>
        <v>მ.ც</v>
      </c>
    </row>
    <row r="461" spans="1:13" ht="39.950000000000003" customHeight="1" x14ac:dyDescent="0.25">
      <c r="A461" s="16" t="s">
        <v>671</v>
      </c>
      <c r="B461" s="17" t="s">
        <v>266</v>
      </c>
      <c r="C461" s="2" t="s">
        <v>672</v>
      </c>
      <c r="D461" s="2">
        <v>15.3</v>
      </c>
      <c r="E461" s="13">
        <f>ROUND(D461*E459,1)/1000</f>
        <v>15.3</v>
      </c>
      <c r="F461" s="13"/>
      <c r="G461" s="13"/>
      <c r="H461" s="13"/>
      <c r="I461" s="13"/>
      <c r="J461" s="35">
        <f>ROUND(IF(ISNUMBER(MATCH(B461,E!$B$6:$B$197,0)),VLOOKUP(B461,E!$B$6:$E$197,2,FALSE),IF(#REF!="დიახ",IF(VLOOKUP(B461,M!$B$6:$I$733,8,FALSE)="ლ",VLOOKUP(B461,M!$B$6:$I$733,3,FALSE)*0.001*#REF!*#REF!,IF(VLOOKUP(B461,M!$B$6:$I$733,8,FALSE)="მბ",VLOOKUP(B461,M!$B$6:$I$733,3,FALSE)*0.001*#REF!*#REF!,IF(VLOOKUP(B461,M!$B$6:$I$733,8,FALSE)="აბ",VLOOKUP(B461,M!$B$6:$I$733,3,FALSE)*0.001*#REF!*#REF!,IF(VLOOKUP(B461,M!$B$6:$I$733,8,FALSE)="ინ",VLOOKUP(B461,M!$B$6:$I$733,3,FALSE)*0.001*#REF!*#REF!,IF(VLOOKUP(B461,M!$B$6:$I$733,8,FALSE)="ას",VLOOKUP(B461,M!$B$6:$I$733,3,FALSE)*0.001*#REF!*#REF!,IF(VLOOKUP(B461,M!$B$6:$I$733,8,FALSE)="სხ",VLOOKUP(B461,M!$B$6:$I$733,3,FALSE)*0.001*#REF!*#REF!,IF(VLOOKUP(B461,M!$B$6:$I$733,8,FALSE)="ხმ",VLOOKUP(B461,M!$B$6:$I$733,3,FALSE)*0.001*#REF!*#REF!))))))))),2)</f>
        <v>52.87</v>
      </c>
      <c r="K461" s="31">
        <f>ROUND(E461*J461,1)</f>
        <v>808.9</v>
      </c>
      <c r="L461" s="13">
        <f t="shared" ref="L461:L464" si="120">G461+I461+K461</f>
        <v>808.9</v>
      </c>
      <c r="M461" s="23" t="str">
        <f>(IF(ISNUMBER(MATCH(B461,E!$B$6:$B$197,0)),VLOOKUP(B461,E!$B$6:$E$197,4,FALSE),VLOOKUP(B461,M!$B$6:$I$733,7,FALSE)))</f>
        <v>14-228</v>
      </c>
    </row>
    <row r="462" spans="1:13" ht="39.75" customHeight="1" x14ac:dyDescent="0.25">
      <c r="A462" s="16" t="s">
        <v>673</v>
      </c>
      <c r="B462" s="17" t="s">
        <v>815</v>
      </c>
      <c r="C462" s="2" t="s">
        <v>814</v>
      </c>
      <c r="D462" s="2">
        <v>1000</v>
      </c>
      <c r="E462" s="13">
        <f>ROUND(D462*E459,1)/1000</f>
        <v>1000</v>
      </c>
      <c r="F462" s="31" t="e">
        <f>ROUND(VLOOKUP(B462,M!$B$6:$H$733,IF(#REF!="დაბალი",4,IF(#REF!="საშუალო",6,IF(#REF!="მაღალი",5))),FALSE),2)</f>
        <v>#REF!</v>
      </c>
      <c r="G462" s="13" t="e">
        <f t="shared" ref="G462:G463" si="121">ROUND(E462*F462,1)</f>
        <v>#REF!</v>
      </c>
      <c r="H462" s="13"/>
      <c r="I462" s="13"/>
      <c r="J462" s="31"/>
      <c r="K462" s="31"/>
      <c r="L462" s="13" t="e">
        <f t="shared" si="120"/>
        <v>#REF!</v>
      </c>
      <c r="M462" s="23" t="str">
        <f>(IF(ISNUMBER(MATCH(B462,E!$B$6:$B$197,0)),VLOOKUP(B462,E!$B$6:$E$197,4,FALSE),VLOOKUP(B462,M!$B$6:$I$733,7,FALSE)))</f>
        <v>4.1-322</v>
      </c>
    </row>
    <row r="463" spans="1:13" ht="39.75" customHeight="1" x14ac:dyDescent="0.25">
      <c r="A463" s="16" t="s">
        <v>675</v>
      </c>
      <c r="B463" s="2" t="s">
        <v>407</v>
      </c>
      <c r="C463" s="2" t="s">
        <v>674</v>
      </c>
      <c r="D463" s="2">
        <v>18.8</v>
      </c>
      <c r="E463" s="14">
        <f>ROUND(D463*E459,2)/1000</f>
        <v>18.8</v>
      </c>
      <c r="F463" s="31" t="e">
        <f>ROUND(VLOOKUP(B463,M!$B$6:$H$733,IF(#REF!="დაბალი",4,IF(#REF!="საშუალო",6,IF(#REF!="მაღალი",5))),FALSE),2)</f>
        <v>#REF!</v>
      </c>
      <c r="G463" s="13" t="e">
        <f t="shared" si="121"/>
        <v>#REF!</v>
      </c>
      <c r="H463" s="13"/>
      <c r="I463" s="13"/>
      <c r="J463" s="31"/>
      <c r="K463" s="31"/>
      <c r="L463" s="13" t="e">
        <f t="shared" si="120"/>
        <v>#REF!</v>
      </c>
      <c r="M463" s="23" t="str">
        <f>(IF(ISNUMBER(MATCH(B463,E!$B$6:$B$197,0)),VLOOKUP(B463,E!$B$6:$E$197,4,FALSE),VLOOKUP(B463,M!$B$6:$I$733,7,FALSE)))</f>
        <v>4.1-378</v>
      </c>
    </row>
    <row r="464" spans="1:13" ht="39.950000000000003" customHeight="1" x14ac:dyDescent="0.25">
      <c r="A464" s="16" t="s">
        <v>695</v>
      </c>
      <c r="B464" s="2" t="s">
        <v>677</v>
      </c>
      <c r="C464" s="2" t="s">
        <v>393</v>
      </c>
      <c r="D464" s="2">
        <v>3.32</v>
      </c>
      <c r="E464" s="13">
        <f>ROUND(D464*E459,1)/1000</f>
        <v>3.32</v>
      </c>
      <c r="F464" s="31" t="e">
        <f>ROUND(VLOOKUP(B464,M!$B$6:$H$733,IF(#REF!="დაბალი",4,IF(#REF!="საშუალო",6,IF(#REF!="მაღალი",5))),FALSE),2)</f>
        <v>#REF!</v>
      </c>
      <c r="G464" s="13" t="e">
        <f>ROUND(E464*F464,1)</f>
        <v>#REF!</v>
      </c>
      <c r="H464" s="13"/>
      <c r="I464" s="13"/>
      <c r="J464" s="31"/>
      <c r="K464" s="31"/>
      <c r="L464" s="13" t="e">
        <f t="shared" si="120"/>
        <v>#REF!</v>
      </c>
      <c r="M464" s="23" t="str">
        <f>(IF(ISNUMBER(MATCH(B464,E!$B$6:$B$197,0)),VLOOKUP(B464,E!$B$6:$E$197,4,FALSE),VLOOKUP(B464,M!$B$6:$I$733,7,FALSE)))</f>
        <v>ს.რ.ფ</v>
      </c>
    </row>
    <row r="465" spans="1:13" s="45" customFormat="1" ht="39.950000000000003" customHeight="1" x14ac:dyDescent="0.25">
      <c r="A465" s="39">
        <v>1.1000000000000001</v>
      </c>
      <c r="B465" s="71" t="s">
        <v>838</v>
      </c>
      <c r="C465" s="41" t="s">
        <v>808</v>
      </c>
      <c r="D465" s="41"/>
      <c r="E465" s="52">
        <v>100</v>
      </c>
      <c r="F465" s="42"/>
      <c r="G465" s="42"/>
      <c r="H465" s="42"/>
      <c r="I465" s="42"/>
      <c r="J465" s="46"/>
      <c r="K465" s="46"/>
      <c r="L465" s="43" t="e">
        <f>SUM(L466:L476)</f>
        <v>#REF!</v>
      </c>
      <c r="M465" s="57" t="s">
        <v>837</v>
      </c>
    </row>
    <row r="466" spans="1:13" ht="39.950000000000003" customHeight="1" x14ac:dyDescent="0.25">
      <c r="A466" s="16" t="s">
        <v>668</v>
      </c>
      <c r="B466" s="17" t="s">
        <v>669</v>
      </c>
      <c r="C466" s="2" t="s">
        <v>670</v>
      </c>
      <c r="D466" s="2">
        <v>7.7</v>
      </c>
      <c r="E466" s="14">
        <f>D466*E465/100</f>
        <v>7.7</v>
      </c>
      <c r="F466" s="13"/>
      <c r="G466" s="13"/>
      <c r="H466" s="27">
        <f>IF((ISNUMBER(--LEFT(M465,2))),VLOOKUP(--LEFT(M465,2),N!$A$5:$C$54,3,FALSE),VLOOKUP(--LEFT(M465,1),N!$A$5:$C$54,3,FALSE))</f>
        <v>6</v>
      </c>
      <c r="I466" s="14">
        <f>ROUND(E466*H466,2)</f>
        <v>46.2</v>
      </c>
      <c r="J466" s="31"/>
      <c r="K466" s="31"/>
      <c r="L466" s="14">
        <f>G466+I466+K466</f>
        <v>46.2</v>
      </c>
      <c r="M466" s="23" t="str">
        <f>(IF(ISNUMBER(MATCH(B466,E!$B$6:$B$197,0)),VLOOKUP(B466,E!$B$6:$E$197,4,FALSE),VLOOKUP(B466,M!$B$6:$I$733,7,FALSE)))</f>
        <v>მ.ც</v>
      </c>
    </row>
    <row r="467" spans="1:13" ht="39.950000000000003" customHeight="1" x14ac:dyDescent="0.25">
      <c r="A467" s="16" t="s">
        <v>671</v>
      </c>
      <c r="B467" s="17" t="s">
        <v>836</v>
      </c>
      <c r="C467" s="2" t="s">
        <v>672</v>
      </c>
      <c r="D467" s="2">
        <v>19.399999999999999</v>
      </c>
      <c r="E467" s="14">
        <f>D467*E465/100</f>
        <v>19.399999999999999</v>
      </c>
      <c r="F467" s="13"/>
      <c r="G467" s="13"/>
      <c r="H467" s="13"/>
      <c r="I467" s="13"/>
      <c r="J467" s="35">
        <f>ROUND(IF(ISNUMBER(MATCH(B467,E!$B$6:$B$197,0)),VLOOKUP(B467,E!$B$6:$E$197,2,FALSE),IF(#REF!="დიახ",IF(VLOOKUP(B467,M!$B$6:$I$733,8,FALSE)="ლ",VLOOKUP(B467,M!$B$6:$I$733,3,FALSE)*0.001*#REF!*#REF!,IF(VLOOKUP(B467,M!$B$6:$I$733,8,FALSE)="მბ",VLOOKUP(B467,M!$B$6:$I$733,3,FALSE)*0.001*#REF!*#REF!,IF(VLOOKUP(B467,M!$B$6:$I$733,8,FALSE)="აბ",VLOOKUP(B467,M!$B$6:$I$733,3,FALSE)*0.001*#REF!*#REF!,IF(VLOOKUP(B467,M!$B$6:$I$733,8,FALSE)="ინ",VLOOKUP(B467,M!$B$6:$I$733,3,FALSE)*0.001*#REF!*#REF!,IF(VLOOKUP(B467,M!$B$6:$I$733,8,FALSE)="ას",VLOOKUP(B467,M!$B$6:$I$733,3,FALSE)*0.001*#REF!*#REF!,IF(VLOOKUP(B467,M!$B$6:$I$733,8,FALSE)="სხ",VLOOKUP(B467,M!$B$6:$I$733,3,FALSE)*0.001*#REF!*#REF!,IF(VLOOKUP(B467,M!$B$6:$I$733,8,FALSE)="ხმ",VLOOKUP(B467,M!$B$6:$I$733,3,FALSE)*0.001*#REF!*#REF!))))))))),2)</f>
        <v>11.15</v>
      </c>
      <c r="K467" s="31">
        <f>ROUND(E467*J467,2)</f>
        <v>216.31</v>
      </c>
      <c r="L467" s="14">
        <f>G467+I467+K467</f>
        <v>216.31</v>
      </c>
      <c r="M467" s="23" t="str">
        <f>(IF(ISNUMBER(MATCH(B467,E!$B$6:$B$197,0)),VLOOKUP(B467,E!$B$6:$E$197,4,FALSE),VLOOKUP(B467,M!$B$6:$I$733,7,FALSE)))</f>
        <v>ს.რ.ფ</v>
      </c>
    </row>
    <row r="468" spans="1:13" ht="39.950000000000003" customHeight="1" x14ac:dyDescent="0.25">
      <c r="A468" s="16" t="s">
        <v>673</v>
      </c>
      <c r="B468" s="2" t="s">
        <v>161</v>
      </c>
      <c r="C468" s="2" t="s">
        <v>672</v>
      </c>
      <c r="D468" s="2">
        <v>2.42</v>
      </c>
      <c r="E468" s="13">
        <f>ROUND(D468*E465,1)/100</f>
        <v>2.42</v>
      </c>
      <c r="F468" s="13"/>
      <c r="G468" s="13"/>
      <c r="H468" s="13"/>
      <c r="I468" s="13"/>
      <c r="J468" s="35">
        <f>ROUND(IF(ISNUMBER(MATCH(B468,E!$B$6:$B$197,0)),VLOOKUP(B468,E!$B$6:$E$197,2,FALSE),IF(#REF!="დიახ",IF(VLOOKUP(B468,M!$B$6:$I$733,8,FALSE)="ლ",VLOOKUP(B468,M!$B$6:$I$733,3,FALSE)*0.001*#REF!*#REF!,IF(VLOOKUP(B468,M!$B$6:$I$733,8,FALSE)="მბ",VLOOKUP(B468,M!$B$6:$I$733,3,FALSE)*0.001*#REF!*#REF!,IF(VLOOKUP(B468,M!$B$6:$I$733,8,FALSE)="აბ",VLOOKUP(B468,M!$B$6:$I$733,3,FALSE)*0.001*#REF!*#REF!,IF(VLOOKUP(B468,M!$B$6:$I$733,8,FALSE)="ინ",VLOOKUP(B468,M!$B$6:$I$733,3,FALSE)*0.001*#REF!*#REF!,IF(VLOOKUP(B468,M!$B$6:$I$733,8,FALSE)="ას",VLOOKUP(B468,M!$B$6:$I$733,3,FALSE)*0.001*#REF!*#REF!,IF(VLOOKUP(B468,M!$B$6:$I$733,8,FALSE)="სხ",VLOOKUP(B468,M!$B$6:$I$733,3,FALSE)*0.001*#REF!*#REF!,IF(VLOOKUP(B468,M!$B$6:$I$733,8,FALSE)="ხმ",VLOOKUP(B468,M!$B$6:$I$733,3,FALSE)*0.001*#REF!*#REF!))))))))),2)</f>
        <v>24.95</v>
      </c>
      <c r="K468" s="31">
        <f>ROUND(E468*J468,1)</f>
        <v>60.4</v>
      </c>
      <c r="L468" s="13">
        <f t="shared" ref="L468:L471" si="122">G468+I468+K468</f>
        <v>60.4</v>
      </c>
      <c r="M468" s="23" t="str">
        <f>(IF(ISNUMBER(MATCH(B468,E!$B$6:$B$197,0)),VLOOKUP(B468,E!$B$6:$E$197,4,FALSE),VLOOKUP(B468,M!$B$6:$I$733,7,FALSE)))</f>
        <v>14-6</v>
      </c>
    </row>
    <row r="469" spans="1:13" ht="39.950000000000003" customHeight="1" x14ac:dyDescent="0.25">
      <c r="A469" s="16" t="s">
        <v>675</v>
      </c>
      <c r="B469" s="17" t="s">
        <v>266</v>
      </c>
      <c r="C469" s="2" t="s">
        <v>672</v>
      </c>
      <c r="D469" s="2">
        <v>0.88</v>
      </c>
      <c r="E469" s="13">
        <f>ROUND(D469*E465,1)/100</f>
        <v>0.88</v>
      </c>
      <c r="F469" s="13"/>
      <c r="G469" s="13"/>
      <c r="H469" s="13"/>
      <c r="I469" s="13"/>
      <c r="J469" s="35">
        <f>ROUND(IF(ISNUMBER(MATCH(B469,E!$B$6:$B$197,0)),VLOOKUP(B469,E!$B$6:$E$197,2,FALSE),IF(#REF!="დიახ",IF(VLOOKUP(B469,M!$B$6:$I$733,8,FALSE)="ლ",VLOOKUP(B469,M!$B$6:$I$733,3,FALSE)*0.001*#REF!*#REF!,IF(VLOOKUP(B469,M!$B$6:$I$733,8,FALSE)="მბ",VLOOKUP(B469,M!$B$6:$I$733,3,FALSE)*0.001*#REF!*#REF!,IF(VLOOKUP(B469,M!$B$6:$I$733,8,FALSE)="აბ",VLOOKUP(B469,M!$B$6:$I$733,3,FALSE)*0.001*#REF!*#REF!,IF(VLOOKUP(B469,M!$B$6:$I$733,8,FALSE)="ინ",VLOOKUP(B469,M!$B$6:$I$733,3,FALSE)*0.001*#REF!*#REF!,IF(VLOOKUP(B469,M!$B$6:$I$733,8,FALSE)="ას",VLOOKUP(B469,M!$B$6:$I$733,3,FALSE)*0.001*#REF!*#REF!,IF(VLOOKUP(B469,M!$B$6:$I$733,8,FALSE)="სხ",VLOOKUP(B469,M!$B$6:$I$733,3,FALSE)*0.001*#REF!*#REF!,IF(VLOOKUP(B469,M!$B$6:$I$733,8,FALSE)="ხმ",VLOOKUP(B469,M!$B$6:$I$733,3,FALSE)*0.001*#REF!*#REF!))))))))),2)</f>
        <v>52.87</v>
      </c>
      <c r="K469" s="31">
        <f>ROUND(E469*J469,1)</f>
        <v>46.5</v>
      </c>
      <c r="L469" s="13">
        <f t="shared" si="122"/>
        <v>46.5</v>
      </c>
      <c r="M469" s="23" t="str">
        <f>(IF(ISNUMBER(MATCH(B469,E!$B$6:$B$197,0)),VLOOKUP(B469,E!$B$6:$E$197,4,FALSE),VLOOKUP(B469,M!$B$6:$I$733,7,FALSE)))</f>
        <v>14-228</v>
      </c>
    </row>
    <row r="470" spans="1:13" ht="39.950000000000003" customHeight="1" x14ac:dyDescent="0.25">
      <c r="A470" s="16" t="s">
        <v>695</v>
      </c>
      <c r="B470" s="17" t="s">
        <v>247</v>
      </c>
      <c r="C470" s="2" t="s">
        <v>672</v>
      </c>
      <c r="D470" s="2">
        <v>1.67</v>
      </c>
      <c r="E470" s="13">
        <f>ROUND(D470*E465,1)/100</f>
        <v>1.67</v>
      </c>
      <c r="F470" s="13"/>
      <c r="G470" s="13"/>
      <c r="H470" s="13"/>
      <c r="I470" s="13"/>
      <c r="J470" s="35">
        <f>ROUND(IF(ISNUMBER(MATCH(B470,E!$B$6:$B$197,0)),VLOOKUP(B470,E!$B$6:$E$197,2,FALSE),IF(#REF!="დიახ",IF(VLOOKUP(B470,M!$B$6:$I$733,8,FALSE)="ლ",VLOOKUP(B470,M!$B$6:$I$733,3,FALSE)*0.001*#REF!*#REF!,IF(VLOOKUP(B470,M!$B$6:$I$733,8,FALSE)="მბ",VLOOKUP(B470,M!$B$6:$I$733,3,FALSE)*0.001*#REF!*#REF!,IF(VLOOKUP(B470,M!$B$6:$I$733,8,FALSE)="აბ",VLOOKUP(B470,M!$B$6:$I$733,3,FALSE)*0.001*#REF!*#REF!,IF(VLOOKUP(B470,M!$B$6:$I$733,8,FALSE)="ინ",VLOOKUP(B470,M!$B$6:$I$733,3,FALSE)*0.001*#REF!*#REF!,IF(VLOOKUP(B470,M!$B$6:$I$733,8,FALSE)="ას",VLOOKUP(B470,M!$B$6:$I$733,3,FALSE)*0.001*#REF!*#REF!,IF(VLOOKUP(B470,M!$B$6:$I$733,8,FALSE)="სხ",VLOOKUP(B470,M!$B$6:$I$733,3,FALSE)*0.001*#REF!*#REF!,IF(VLOOKUP(B470,M!$B$6:$I$733,8,FALSE)="ხმ",VLOOKUP(B470,M!$B$6:$I$733,3,FALSE)*0.001*#REF!*#REF!))))))))),2)</f>
        <v>6.51</v>
      </c>
      <c r="K470" s="31">
        <f>ROUND(E470*J470,1)</f>
        <v>10.9</v>
      </c>
      <c r="L470" s="13">
        <f t="shared" ref="L470" si="123">G470+I470+K470</f>
        <v>10.9</v>
      </c>
      <c r="M470" s="23" t="str">
        <f>(IF(ISNUMBER(MATCH(B470,E!$B$6:$B$197,0)),VLOOKUP(B470,E!$B$6:$E$197,4,FALSE),VLOOKUP(B470,M!$B$6:$I$733,7,FALSE)))</f>
        <v>14-206</v>
      </c>
    </row>
    <row r="471" spans="1:13" ht="39.950000000000003" customHeight="1" x14ac:dyDescent="0.25">
      <c r="A471" s="16" t="s">
        <v>696</v>
      </c>
      <c r="B471" s="17" t="s">
        <v>654</v>
      </c>
      <c r="C471" s="2" t="s">
        <v>393</v>
      </c>
      <c r="D471" s="14">
        <v>6.37</v>
      </c>
      <c r="E471" s="14">
        <f>D471*E465/100</f>
        <v>6.37</v>
      </c>
      <c r="F471" s="13"/>
      <c r="G471" s="14"/>
      <c r="H471" s="2"/>
      <c r="I471" s="2"/>
      <c r="J471" s="35">
        <f>ROUND(IF(ISNUMBER(MATCH(B471,E!$B$6:$B$197,0)),VLOOKUP(B471,E!$B$6:$E$197,2,FALSE),IF(#REF!="დიახ",IF(VLOOKUP(B471,M!$B$6:$I$733,8,FALSE)="ლ",VLOOKUP(B471,M!$B$6:$I$733,3,FALSE)*0.001*#REF!*#REF!,IF(VLOOKUP(B471,M!$B$6:$I$733,8,FALSE)="მბ",VLOOKUP(B471,M!$B$6:$I$733,3,FALSE)*0.001*#REF!*#REF!,IF(VLOOKUP(B471,M!$B$6:$I$733,8,FALSE)="აბ",VLOOKUP(B471,M!$B$6:$I$733,3,FALSE)*0.001*#REF!*#REF!,IF(VLOOKUP(B471,M!$B$6:$I$733,8,FALSE)="ინ",VLOOKUP(B471,M!$B$6:$I$733,3,FALSE)*0.001*#REF!*#REF!,IF(VLOOKUP(B471,M!$B$6:$I$733,8,FALSE)="ას",VLOOKUP(B471,M!$B$6:$I$733,3,FALSE)*0.001*#REF!*#REF!,IF(VLOOKUP(B471,M!$B$6:$I$733,8,FALSE)="სხ",VLOOKUP(B471,M!$B$6:$I$733,3,FALSE)*0.001*#REF!*#REF!,IF(VLOOKUP(B471,M!$B$6:$I$733,8,FALSE)="ხმ",VLOOKUP(B471,M!$B$6:$I$733,3,FALSE)*0.001*#REF!*#REF!))))))))),2)</f>
        <v>3.2</v>
      </c>
      <c r="K471" s="31">
        <f t="shared" ref="K471:K475" si="124">ROUND(E471*J471,2)</f>
        <v>20.38</v>
      </c>
      <c r="L471" s="14">
        <f t="shared" si="122"/>
        <v>20.38</v>
      </c>
      <c r="M471" s="23" t="str">
        <f>(IF(ISNUMBER(MATCH(B471,E!$B$6:$B$197,0)),VLOOKUP(B471,E!$B$6:$E$197,4,FALSE),VLOOKUP(B471,M!$B$6:$I$733,7,FALSE)))</f>
        <v>ს.რ.ფ</v>
      </c>
    </row>
    <row r="472" spans="1:13" ht="39.950000000000003" customHeight="1" x14ac:dyDescent="0.25">
      <c r="A472" s="16" t="s">
        <v>733</v>
      </c>
      <c r="B472" s="2" t="s">
        <v>453</v>
      </c>
      <c r="C472" s="2" t="s">
        <v>814</v>
      </c>
      <c r="D472" s="2">
        <v>0.06</v>
      </c>
      <c r="E472" s="14">
        <f>D472*E465/100</f>
        <v>0.06</v>
      </c>
      <c r="F472" s="31" t="e">
        <f>ROUND(VLOOKUP(B472,M!$B$6:$H$733,IF(#REF!="დაბალი",4,IF(#REF!="საშუალო",6,IF(#REF!="მაღალი",5))),FALSE),2)</f>
        <v>#REF!</v>
      </c>
      <c r="G472" s="14" t="e">
        <f>ROUND(E472*F472,2)</f>
        <v>#REF!</v>
      </c>
      <c r="H472" s="13"/>
      <c r="I472" s="13"/>
      <c r="J472" s="35" t="e">
        <f>ROUND(IF(ISNUMBER(MATCH(B472,E!$B$6:$B$197,0)),VLOOKUP(B472,E!$B$6:$E$197,2,FALSE),IF(#REF!="დიახ",IF(VLOOKUP(B472,M!$B$6:$I$733,8,FALSE)="ლ",VLOOKUP(B472,M!$B$6:$I$733,3,FALSE)*0.001*#REF!*#REF!,IF(VLOOKUP(B472,M!$B$6:$I$733,8,FALSE)="მბ",VLOOKUP(B472,M!$B$6:$I$733,3,FALSE)*0.001*#REF!*#REF!,IF(VLOOKUP(B472,M!$B$6:$I$733,8,FALSE)="აბ",VLOOKUP(B472,M!$B$6:$I$733,3,FALSE)*0.001*#REF!*#REF!,IF(VLOOKUP(B472,M!$B$6:$I$733,8,FALSE)="ინ",VLOOKUP(B472,M!$B$6:$I$733,3,FALSE)*0.001*#REF!*#REF!,IF(VLOOKUP(B472,M!$B$6:$I$733,8,FALSE)="ას",VLOOKUP(B472,M!$B$6:$I$733,3,FALSE)*0.001*#REF!*#REF!,IF(VLOOKUP(B472,M!$B$6:$I$733,8,FALSE)="სხ",VLOOKUP(B472,M!$B$6:$I$733,3,FALSE)*0.001*#REF!*#REF!,IF(VLOOKUP(B472,M!$B$6:$I$733,8,FALSE)="ხმ",VLOOKUP(B472,M!$B$6:$I$733,3,FALSE)*0.001*#REF!*#REF!))))))))),2)</f>
        <v>#REF!</v>
      </c>
      <c r="K472" s="31" t="e">
        <f t="shared" si="124"/>
        <v>#REF!</v>
      </c>
      <c r="L472" s="14" t="e">
        <f>G472+I472+K472</f>
        <v>#REF!</v>
      </c>
      <c r="M472" s="23" t="str">
        <f>(IF(ISNUMBER(MATCH(B472,E!$B$6:$B$197,0)),VLOOKUP(B472,E!$B$6:$E$197,4,FALSE),VLOOKUP(B472,M!$B$6:$I$733,7,FALSE)))</f>
        <v>4.1-538</v>
      </c>
    </row>
    <row r="473" spans="1:13" ht="39.950000000000003" customHeight="1" x14ac:dyDescent="0.25">
      <c r="A473" s="16" t="s">
        <v>734</v>
      </c>
      <c r="B473" s="17" t="s">
        <v>693</v>
      </c>
      <c r="C473" s="2" t="s">
        <v>674</v>
      </c>
      <c r="D473" s="2">
        <v>6.2</v>
      </c>
      <c r="E473" s="13">
        <f>D473*E465/100</f>
        <v>6.2</v>
      </c>
      <c r="F473" s="31" t="e">
        <f>ROUND(VLOOKUP(B473,M!$B$6:$H$733,IF(#REF!="დაბალი",4,IF(#REF!="საშუალო",6,IF(#REF!="მაღალი",5))),FALSE),2)</f>
        <v>#REF!</v>
      </c>
      <c r="G473" s="14" t="e">
        <f>ROUND(E473*F473,2)</f>
        <v>#REF!</v>
      </c>
      <c r="H473" s="13"/>
      <c r="I473" s="13"/>
      <c r="J473" s="35" t="e">
        <f>ROUND(IF(ISNUMBER(MATCH(B473,E!$B$6:$B$197,0)),VLOOKUP(B473,E!$B$6:$E$197,2,FALSE),IF(#REF!="დიახ",IF(VLOOKUP(B473,M!$B$6:$I$733,8,FALSE)="ლ",VLOOKUP(B473,M!$B$6:$I$733,3,FALSE)*0.001*#REF!*#REF!,IF(VLOOKUP(B473,M!$B$6:$I$733,8,FALSE)="მბ",VLOOKUP(B473,M!$B$6:$I$733,3,FALSE)*0.001*#REF!*#REF!,IF(VLOOKUP(B473,M!$B$6:$I$733,8,FALSE)="აბ",VLOOKUP(B473,M!$B$6:$I$733,3,FALSE)*0.001*#REF!*#REF!,IF(VLOOKUP(B473,M!$B$6:$I$733,8,FALSE)="ინ",VLOOKUP(B473,M!$B$6:$I$733,3,FALSE)*0.001*#REF!*#REF!,IF(VLOOKUP(B473,M!$B$6:$I$733,8,FALSE)="ას",VLOOKUP(B473,M!$B$6:$I$733,3,FALSE)*0.001*#REF!*#REF!,IF(VLOOKUP(B473,M!$B$6:$I$733,8,FALSE)="სხ",VLOOKUP(B473,M!$B$6:$I$733,3,FALSE)*0.001*#REF!*#REF!,IF(VLOOKUP(B473,M!$B$6:$I$733,8,FALSE)="ხმ",VLOOKUP(B473,M!$B$6:$I$733,3,FALSE)*0.001*#REF!*#REF!))))))))),2)</f>
        <v>#REF!</v>
      </c>
      <c r="K473" s="31"/>
      <c r="L473" s="14" t="e">
        <f>G473+I473+K473</f>
        <v>#REF!</v>
      </c>
      <c r="M473" s="23" t="str">
        <f>(IF(ISNUMBER(MATCH(B473,E!$B$6:$B$197,0)),VLOOKUP(B473,E!$B$6:$E$197,4,FALSE),VLOOKUP(B473,M!$B$6:$I$733,7,FALSE)))</f>
        <v>საბ.</v>
      </c>
    </row>
    <row r="474" spans="1:13" ht="39.950000000000003" customHeight="1" x14ac:dyDescent="0.25">
      <c r="A474" s="16" t="s">
        <v>735</v>
      </c>
      <c r="B474" s="17" t="s">
        <v>329</v>
      </c>
      <c r="C474" s="2" t="s">
        <v>674</v>
      </c>
      <c r="D474" s="2">
        <v>1</v>
      </c>
      <c r="E474" s="13">
        <f>D474*E465/100</f>
        <v>1</v>
      </c>
      <c r="F474" s="31" t="e">
        <f>ROUND(VLOOKUP(B474,M!$B$6:$H$733,IF(#REF!="დაბალი",4,IF(#REF!="საშუალო",6,IF(#REF!="მაღალი",5))),FALSE),2)</f>
        <v>#REF!</v>
      </c>
      <c r="G474" s="14" t="e">
        <f>ROUND(E474*F474,2)</f>
        <v>#REF!</v>
      </c>
      <c r="H474" s="13"/>
      <c r="I474" s="13"/>
      <c r="J474" s="35" t="e">
        <f>ROUND(IF(ISNUMBER(MATCH(B474,E!$B$6:$B$197,0)),VLOOKUP(B474,E!$B$6:$E$197,2,FALSE),IF(#REF!="დიახ",IF(VLOOKUP(B474,M!$B$6:$I$733,8,FALSE)="ლ",VLOOKUP(B474,M!$B$6:$I$733,3,FALSE)*0.001*#REF!*#REF!,IF(VLOOKUP(B474,M!$B$6:$I$733,8,FALSE)="მბ",VLOOKUP(B474,M!$B$6:$I$733,3,FALSE)*0.001*#REF!*#REF!,IF(VLOOKUP(B474,M!$B$6:$I$733,8,FALSE)="აბ",VLOOKUP(B474,M!$B$6:$I$733,3,FALSE)*0.001*#REF!*#REF!,IF(VLOOKUP(B474,M!$B$6:$I$733,8,FALSE)="ინ",VLOOKUP(B474,M!$B$6:$I$733,3,FALSE)*0.001*#REF!*#REF!,IF(VLOOKUP(B474,M!$B$6:$I$733,8,FALSE)="ას",VLOOKUP(B474,M!$B$6:$I$733,3,FALSE)*0.001*#REF!*#REF!,IF(VLOOKUP(B474,M!$B$6:$I$733,8,FALSE)="სხ",VLOOKUP(B474,M!$B$6:$I$733,3,FALSE)*0.001*#REF!*#REF!,IF(VLOOKUP(B474,M!$B$6:$I$733,8,FALSE)="ხმ",VLOOKUP(B474,M!$B$6:$I$733,3,FALSE)*0.001*#REF!*#REF!))))))))),2)</f>
        <v>#REF!</v>
      </c>
      <c r="K474" s="31" t="e">
        <f t="shared" si="124"/>
        <v>#REF!</v>
      </c>
      <c r="L474" s="14" t="e">
        <f>G474+I474+K474</f>
        <v>#REF!</v>
      </c>
      <c r="M474" s="23" t="str">
        <f>(IF(ISNUMBER(MATCH(B474,E!$B$6:$B$197,0)),VLOOKUP(B474,E!$B$6:$E$197,4,FALSE),VLOOKUP(B474,M!$B$6:$I$733,7,FALSE)))</f>
        <v>4.1-226</v>
      </c>
    </row>
    <row r="475" spans="1:13" ht="39.950000000000003" customHeight="1" x14ac:dyDescent="0.25">
      <c r="A475" s="16" t="s">
        <v>736</v>
      </c>
      <c r="B475" s="2" t="s">
        <v>456</v>
      </c>
      <c r="C475" s="2" t="s">
        <v>674</v>
      </c>
      <c r="D475" s="2">
        <v>7.0000000000000007E-2</v>
      </c>
      <c r="E475" s="13">
        <f>D475*E465/100</f>
        <v>7.0000000000000007E-2</v>
      </c>
      <c r="F475" s="31" t="e">
        <f>ROUND(VLOOKUP(B475,M!$B$6:$H$733,IF(#REF!="დაბალი",4,IF(#REF!="საშუალო",6,IF(#REF!="მაღალი",5))),FALSE),2)</f>
        <v>#REF!</v>
      </c>
      <c r="G475" s="14" t="e">
        <f>ROUND(E475*F475,2)</f>
        <v>#REF!</v>
      </c>
      <c r="H475" s="13"/>
      <c r="I475" s="13"/>
      <c r="J475" s="35" t="e">
        <f>ROUND(IF(ISNUMBER(MATCH(B475,E!$B$6:$B$197,0)),VLOOKUP(B475,E!$B$6:$E$197,2,FALSE),IF(#REF!="დიახ",IF(VLOOKUP(B475,M!$B$6:$I$733,8,FALSE)="ლ",VLOOKUP(B475,M!$B$6:$I$733,3,FALSE)*0.001*#REF!*#REF!,IF(VLOOKUP(B475,M!$B$6:$I$733,8,FALSE)="მბ",VLOOKUP(B475,M!$B$6:$I$733,3,FALSE)*0.001*#REF!*#REF!,IF(VLOOKUP(B475,M!$B$6:$I$733,8,FALSE)="აბ",VLOOKUP(B475,M!$B$6:$I$733,3,FALSE)*0.001*#REF!*#REF!,IF(VLOOKUP(B475,M!$B$6:$I$733,8,FALSE)="ინ",VLOOKUP(B475,M!$B$6:$I$733,3,FALSE)*0.001*#REF!*#REF!,IF(VLOOKUP(B475,M!$B$6:$I$733,8,FALSE)="ას",VLOOKUP(B475,M!$B$6:$I$733,3,FALSE)*0.001*#REF!*#REF!,IF(VLOOKUP(B475,M!$B$6:$I$733,8,FALSE)="სხ",VLOOKUP(B475,M!$B$6:$I$733,3,FALSE)*0.001*#REF!*#REF!,IF(VLOOKUP(B475,M!$B$6:$I$733,8,FALSE)="ხმ",VLOOKUP(B475,M!$B$6:$I$733,3,FALSE)*0.001*#REF!*#REF!))))))))),2)</f>
        <v>#REF!</v>
      </c>
      <c r="K475" s="31" t="e">
        <f t="shared" si="124"/>
        <v>#REF!</v>
      </c>
      <c r="L475" s="14" t="e">
        <f>G475+I475+K475</f>
        <v>#REF!</v>
      </c>
      <c r="M475" s="23" t="str">
        <f>(IF(ISNUMBER(MATCH(B475,E!$B$6:$B$197,0)),VLOOKUP(B475,E!$B$6:$E$197,4,FALSE),VLOOKUP(B475,M!$B$6:$I$733,7,FALSE)))</f>
        <v>4.1-541</v>
      </c>
    </row>
    <row r="476" spans="1:13" ht="39.950000000000003" customHeight="1" x14ac:dyDescent="0.25">
      <c r="A476" s="16" t="s">
        <v>737</v>
      </c>
      <c r="B476" s="17" t="s">
        <v>677</v>
      </c>
      <c r="C476" s="2" t="s">
        <v>393</v>
      </c>
      <c r="D476" s="2">
        <v>1.78</v>
      </c>
      <c r="E476" s="14">
        <f>D476*E465/100</f>
        <v>1.78</v>
      </c>
      <c r="F476" s="31" t="e">
        <f>ROUND(VLOOKUP(B476,M!$B$6:$H$733,IF(#REF!="დაბალი",4,IF(#REF!="საშუალო",6,IF(#REF!="მაღალი",5))),FALSE),2)</f>
        <v>#REF!</v>
      </c>
      <c r="G476" s="14" t="e">
        <f>ROUND(E476*F476,2)</f>
        <v>#REF!</v>
      </c>
      <c r="H476" s="2"/>
      <c r="I476" s="2"/>
      <c r="J476" s="31"/>
      <c r="K476" s="31"/>
      <c r="L476" s="14" t="e">
        <f t="shared" ref="L476" si="125">G476+I476+K476</f>
        <v>#REF!</v>
      </c>
      <c r="M476" s="23" t="str">
        <f>(IF(ISNUMBER(MATCH(B476,E!$B$6:$B$197,0)),VLOOKUP(B476,E!$B$6:$E$197,4,FALSE),VLOOKUP(B476,M!$B$6:$I$733,7,FALSE)))</f>
        <v>ს.რ.ფ</v>
      </c>
    </row>
    <row r="477" spans="1:13" s="45" customFormat="1" ht="39.950000000000003" customHeight="1" x14ac:dyDescent="0.25">
      <c r="A477" s="39">
        <v>1.1000000000000001</v>
      </c>
      <c r="B477" s="40" t="s">
        <v>1018</v>
      </c>
      <c r="C477" s="41" t="s">
        <v>842</v>
      </c>
      <c r="D477" s="41"/>
      <c r="E477" s="52">
        <v>100</v>
      </c>
      <c r="F477" s="42"/>
      <c r="G477" s="42"/>
      <c r="H477" s="42"/>
      <c r="I477" s="42"/>
      <c r="J477" s="46"/>
      <c r="K477" s="46"/>
      <c r="L477" s="43" t="e">
        <f>SUM(L478:L481)</f>
        <v>#REF!</v>
      </c>
      <c r="M477" s="57" t="s">
        <v>841</v>
      </c>
    </row>
    <row r="478" spans="1:13" ht="39.950000000000003" customHeight="1" x14ac:dyDescent="0.25">
      <c r="A478" s="16" t="s">
        <v>668</v>
      </c>
      <c r="B478" s="17" t="s">
        <v>669</v>
      </c>
      <c r="C478" s="2" t="s">
        <v>670</v>
      </c>
      <c r="D478" s="2">
        <f>14.4</f>
        <v>14.4</v>
      </c>
      <c r="E478" s="14">
        <f>D478*E477/100</f>
        <v>14.4</v>
      </c>
      <c r="F478" s="13"/>
      <c r="G478" s="13"/>
      <c r="H478" s="27">
        <f>IF((ISNUMBER(--LEFT(M477,2))),VLOOKUP(--LEFT(M477,2),N!$A$5:$C$54,3,FALSE),VLOOKUP(--LEFT(M477,1),N!$A$5:$C$54,3,FALSE))</f>
        <v>6</v>
      </c>
      <c r="I478" s="14">
        <f>ROUND(E478*H478,2)</f>
        <v>86.4</v>
      </c>
      <c r="J478" s="31"/>
      <c r="K478" s="31"/>
      <c r="L478" s="14">
        <f t="shared" ref="L478:L481" si="126">G478+I478+K478</f>
        <v>86.4</v>
      </c>
      <c r="M478" s="23" t="str">
        <f>(IF(ISNUMBER(MATCH(B478,E!$B$6:$B$197,0)),VLOOKUP(B478,E!$B$6:$E$197,4,FALSE),VLOOKUP(B478,M!$B$6:$I$733,7,FALSE)))</f>
        <v>მ.ც</v>
      </c>
    </row>
    <row r="479" spans="1:13" ht="39.950000000000003" customHeight="1" x14ac:dyDescent="0.25">
      <c r="A479" s="16" t="s">
        <v>671</v>
      </c>
      <c r="B479" s="2" t="s">
        <v>445</v>
      </c>
      <c r="C479" s="2" t="s">
        <v>9</v>
      </c>
      <c r="D479" s="2">
        <f>7.14</f>
        <v>7.14</v>
      </c>
      <c r="E479" s="14">
        <f>D479*E477/100</f>
        <v>7.14</v>
      </c>
      <c r="F479" s="31" t="e">
        <f>ROUND(VLOOKUP(B479,M!$B$6:$H$733,IF(#REF!="დაბალი",4,IF(#REF!="საშუალო",6,IF(#REF!="მაღალი",5))),FALSE),2)</f>
        <v>#REF!</v>
      </c>
      <c r="G479" s="14" t="e">
        <f>ROUND(E479*F479,2)</f>
        <v>#REF!</v>
      </c>
      <c r="H479" s="13"/>
      <c r="I479" s="13"/>
      <c r="J479" s="35" t="e">
        <f>ROUND(IF(ISNUMBER(MATCH(B479,E!$B$6:$B$197,0)),VLOOKUP(B479,E!$B$6:$E$197,2,FALSE),IF(#REF!="დიახ",IF(VLOOKUP(B479,M!$B$6:$I$733,8,FALSE)="ლ",VLOOKUP(B479,M!$B$6:$I$733,3,FALSE)*0.001*#REF!*#REF!,IF(VLOOKUP(B479,M!$B$6:$I$733,8,FALSE)="მბ",VLOOKUP(B479,M!$B$6:$I$733,3,FALSE)*0.001*#REF!*#REF!,IF(VLOOKUP(B479,M!$B$6:$I$733,8,FALSE)="აბ",VLOOKUP(B479,M!$B$6:$I$733,3,FALSE)*0.001*#REF!*#REF!,IF(VLOOKUP(B479,M!$B$6:$I$733,8,FALSE)="ინ",VLOOKUP(B479,M!$B$6:$I$733,3,FALSE)*0.001*#REF!*#REF!,IF(VLOOKUP(B479,M!$B$6:$I$733,8,FALSE)="ას",VLOOKUP(B479,M!$B$6:$I$733,3,FALSE)*0.001*#REF!*#REF!,IF(VLOOKUP(B479,M!$B$6:$I$733,8,FALSE)="სხ",VLOOKUP(B479,M!$B$6:$I$733,3,FALSE)*0.001*#REF!*#REF!,IF(VLOOKUP(B479,M!$B$6:$I$733,8,FALSE)="ხმ",VLOOKUP(B479,M!$B$6:$I$733,3,FALSE)*0.001*#REF!*#REF!))))))))),2)</f>
        <v>#REF!</v>
      </c>
      <c r="K479" s="31" t="e">
        <f t="shared" ref="K479:K481" si="127">ROUND(E479*J479,2)</f>
        <v>#REF!</v>
      </c>
      <c r="L479" s="14" t="e">
        <f t="shared" si="126"/>
        <v>#REF!</v>
      </c>
      <c r="M479" s="23" t="str">
        <f>(IF(ISNUMBER(MATCH(B479,E!$B$6:$B$197,0)),VLOOKUP(B479,E!$B$6:$E$197,4,FALSE),VLOOKUP(B479,M!$B$6:$I$733,7,FALSE)))</f>
        <v>4.1-527</v>
      </c>
    </row>
    <row r="480" spans="1:13" ht="39.950000000000003" customHeight="1" x14ac:dyDescent="0.25">
      <c r="A480" s="16" t="s">
        <v>673</v>
      </c>
      <c r="B480" s="2" t="s">
        <v>452</v>
      </c>
      <c r="C480" s="2" t="s">
        <v>9</v>
      </c>
      <c r="D480" s="2">
        <v>0.06</v>
      </c>
      <c r="E480" s="14">
        <f>D480*E477/100</f>
        <v>0.06</v>
      </c>
      <c r="F480" s="31" t="e">
        <f>ROUND(VLOOKUP(B480,M!$B$6:$H$733,IF(#REF!="დაბალი",4,IF(#REF!="საშუალო",6,IF(#REF!="მაღალი",5))),FALSE),2)</f>
        <v>#REF!</v>
      </c>
      <c r="G480" s="14" t="e">
        <f t="shared" ref="G480:G481" si="128">ROUND(E480*F480,2)</f>
        <v>#REF!</v>
      </c>
      <c r="H480" s="13"/>
      <c r="I480" s="13"/>
      <c r="J480" s="35" t="e">
        <f>ROUND(IF(ISNUMBER(MATCH(B480,E!$B$6:$B$197,0)),VLOOKUP(B480,E!$B$6:$E$197,2,FALSE),IF(#REF!="დიახ",IF(VLOOKUP(B480,M!$B$6:$I$733,8,FALSE)="ლ",VLOOKUP(B480,M!$B$6:$I$733,3,FALSE)*0.001*#REF!*#REF!,IF(VLOOKUP(B480,M!$B$6:$I$733,8,FALSE)="მბ",VLOOKUP(B480,M!$B$6:$I$733,3,FALSE)*0.001*#REF!*#REF!,IF(VLOOKUP(B480,M!$B$6:$I$733,8,FALSE)="აბ",VLOOKUP(B480,M!$B$6:$I$733,3,FALSE)*0.001*#REF!*#REF!,IF(VLOOKUP(B480,M!$B$6:$I$733,8,FALSE)="ინ",VLOOKUP(B480,M!$B$6:$I$733,3,FALSE)*0.001*#REF!*#REF!,IF(VLOOKUP(B480,M!$B$6:$I$733,8,FALSE)="ას",VLOOKUP(B480,M!$B$6:$I$733,3,FALSE)*0.001*#REF!*#REF!,IF(VLOOKUP(B480,M!$B$6:$I$733,8,FALSE)="სხ",VLOOKUP(B480,M!$B$6:$I$733,3,FALSE)*0.001*#REF!*#REF!,IF(VLOOKUP(B480,M!$B$6:$I$733,8,FALSE)="ხმ",VLOOKUP(B480,M!$B$6:$I$733,3,FALSE)*0.001*#REF!*#REF!))))))))),2)</f>
        <v>#REF!</v>
      </c>
      <c r="K480" s="31" t="e">
        <f t="shared" si="127"/>
        <v>#REF!</v>
      </c>
      <c r="L480" s="14" t="e">
        <f t="shared" si="126"/>
        <v>#REF!</v>
      </c>
      <c r="M480" s="23" t="str">
        <f>(IF(ISNUMBER(MATCH(B480,E!$B$6:$B$197,0)),VLOOKUP(B480,E!$B$6:$E$197,4,FALSE),VLOOKUP(B480,M!$B$6:$I$733,7,FALSE)))</f>
        <v>4.1-537</v>
      </c>
    </row>
    <row r="481" spans="1:13" ht="39.950000000000003" customHeight="1" x14ac:dyDescent="0.25">
      <c r="A481" s="16" t="s">
        <v>675</v>
      </c>
      <c r="B481" s="17" t="s">
        <v>328</v>
      </c>
      <c r="C481" s="2" t="s">
        <v>674</v>
      </c>
      <c r="D481" s="2">
        <v>0.5</v>
      </c>
      <c r="E481" s="14">
        <f>D481*E477/100</f>
        <v>0.5</v>
      </c>
      <c r="F481" s="31" t="e">
        <f>ROUND(VLOOKUP(B481,M!$B$6:$H$733,IF(#REF!="დაბალი",4,IF(#REF!="საშუალო",6,IF(#REF!="მაღალი",5))),FALSE),2)</f>
        <v>#REF!</v>
      </c>
      <c r="G481" s="14" t="e">
        <f t="shared" si="128"/>
        <v>#REF!</v>
      </c>
      <c r="H481" s="13"/>
      <c r="I481" s="13"/>
      <c r="J481" s="35" t="e">
        <f>ROUND(IF(ISNUMBER(MATCH(B481,E!$B$6:$B$197,0)),VLOOKUP(B481,E!$B$6:$E$197,2,FALSE),IF(#REF!="დიახ",IF(VLOOKUP(B481,M!$B$6:$I$733,8,FALSE)="ლ",VLOOKUP(B481,M!$B$6:$I$733,3,FALSE)*0.001*#REF!*#REF!,IF(VLOOKUP(B481,M!$B$6:$I$733,8,FALSE)="მბ",VLOOKUP(B481,M!$B$6:$I$733,3,FALSE)*0.001*#REF!*#REF!,IF(VLOOKUP(B481,M!$B$6:$I$733,8,FALSE)="აბ",VLOOKUP(B481,M!$B$6:$I$733,3,FALSE)*0.001*#REF!*#REF!,IF(VLOOKUP(B481,M!$B$6:$I$733,8,FALSE)="ინ",VLOOKUP(B481,M!$B$6:$I$733,3,FALSE)*0.001*#REF!*#REF!,IF(VLOOKUP(B481,M!$B$6:$I$733,8,FALSE)="ას",VLOOKUP(B481,M!$B$6:$I$733,3,FALSE)*0.001*#REF!*#REF!,IF(VLOOKUP(B481,M!$B$6:$I$733,8,FALSE)="სხ",VLOOKUP(B481,M!$B$6:$I$733,3,FALSE)*0.001*#REF!*#REF!,IF(VLOOKUP(B481,M!$B$6:$I$733,8,FALSE)="ხმ",VLOOKUP(B481,M!$B$6:$I$733,3,FALSE)*0.001*#REF!*#REF!))))))))),2)</f>
        <v>#REF!</v>
      </c>
      <c r="K481" s="31" t="e">
        <f t="shared" si="127"/>
        <v>#REF!</v>
      </c>
      <c r="L481" s="14" t="e">
        <f t="shared" si="126"/>
        <v>#REF!</v>
      </c>
      <c r="M481" s="23" t="str">
        <f>(IF(ISNUMBER(MATCH(B481,E!$B$6:$B$197,0)),VLOOKUP(B481,E!$B$6:$E$197,4,FALSE),VLOOKUP(B481,M!$B$6:$I$733,7,FALSE)))</f>
        <v>4.1-225</v>
      </c>
    </row>
    <row r="482" spans="1:13" s="45" customFormat="1" ht="39.950000000000003" customHeight="1" x14ac:dyDescent="0.25">
      <c r="A482" s="39">
        <v>1.1000000000000001</v>
      </c>
      <c r="B482" s="40" t="s">
        <v>854</v>
      </c>
      <c r="C482" s="41" t="s">
        <v>855</v>
      </c>
      <c r="D482" s="41"/>
      <c r="E482" s="52">
        <v>100</v>
      </c>
      <c r="F482" s="42"/>
      <c r="G482" s="42"/>
      <c r="H482" s="42"/>
      <c r="I482" s="42"/>
      <c r="J482" s="46"/>
      <c r="K482" s="46"/>
      <c r="L482" s="43" t="e">
        <f>SUM(L483:L497)</f>
        <v>#REF!</v>
      </c>
      <c r="M482" s="57" t="s">
        <v>856</v>
      </c>
    </row>
    <row r="483" spans="1:13" ht="39.950000000000003" customHeight="1" x14ac:dyDescent="0.25">
      <c r="A483" s="16" t="s">
        <v>668</v>
      </c>
      <c r="B483" s="17" t="s">
        <v>669</v>
      </c>
      <c r="C483" s="2" t="s">
        <v>670</v>
      </c>
      <c r="D483" s="2">
        <v>323</v>
      </c>
      <c r="E483" s="14">
        <f>D483*E482/100</f>
        <v>323</v>
      </c>
      <c r="F483" s="13"/>
      <c r="G483" s="13"/>
      <c r="H483" s="27">
        <f>IF((ISNUMBER(--LEFT(M482,2))),VLOOKUP(--LEFT(M482,2),N!$A$5:$C$54,3,FALSE),VLOOKUP(--LEFT(M482,1),N!$A$5:$C$54,3,FALSE))</f>
        <v>6</v>
      </c>
      <c r="I483" s="14">
        <f>ROUND(E483*H483,2)</f>
        <v>1938</v>
      </c>
      <c r="J483" s="31"/>
      <c r="K483" s="31"/>
      <c r="L483" s="14">
        <f t="shared" ref="L483:L497" si="129">G483+I483+K483</f>
        <v>1938</v>
      </c>
      <c r="M483" s="23" t="str">
        <f>(IF(ISNUMBER(MATCH(B483,E!$B$6:$B$197,0)),VLOOKUP(B483,E!$B$6:$E$197,4,FALSE),VLOOKUP(B483,M!$B$6:$I$733,7,FALSE)))</f>
        <v>მ.ც</v>
      </c>
    </row>
    <row r="484" spans="1:13" ht="39.950000000000003" customHeight="1" x14ac:dyDescent="0.25">
      <c r="A484" s="16" t="s">
        <v>671</v>
      </c>
      <c r="B484" s="17" t="s">
        <v>871</v>
      </c>
      <c r="C484" s="2" t="s">
        <v>670</v>
      </c>
      <c r="D484" s="2">
        <v>49.4</v>
      </c>
      <c r="E484" s="14">
        <f>D484*1.41</f>
        <v>69.653999999999996</v>
      </c>
      <c r="F484" s="13"/>
      <c r="G484" s="13"/>
      <c r="H484" s="13">
        <v>6</v>
      </c>
      <c r="I484" s="14">
        <f>ROUND(E484*H484,2)</f>
        <v>417.92</v>
      </c>
      <c r="J484" s="31"/>
      <c r="K484" s="31"/>
      <c r="L484" s="14">
        <f t="shared" si="129"/>
        <v>417.92</v>
      </c>
      <c r="M484" s="23" t="s">
        <v>689</v>
      </c>
    </row>
    <row r="485" spans="1:13" ht="39.950000000000003" customHeight="1" x14ac:dyDescent="0.25">
      <c r="A485" s="16" t="s">
        <v>673</v>
      </c>
      <c r="B485" s="17" t="s">
        <v>867</v>
      </c>
      <c r="C485" s="2" t="s">
        <v>672</v>
      </c>
      <c r="D485" s="2">
        <v>15</v>
      </c>
      <c r="E485" s="14">
        <f>D485*E482/100</f>
        <v>15</v>
      </c>
      <c r="F485" s="13"/>
      <c r="G485" s="13"/>
      <c r="H485" s="13"/>
      <c r="I485" s="14"/>
      <c r="J485" s="35">
        <f>ROUND(IF(ISNUMBER(MATCH(B485,E!$B$6:$B$197,0)),VLOOKUP(B485,E!$B$6:$E$197,2,FALSE),IF(#REF!="დიახ",IF(VLOOKUP(B485,M!$B$6:$I$733,8,FALSE)="ლ",VLOOKUP(B485,M!$B$6:$I$733,3,FALSE)*0.001*#REF!*#REF!,IF(VLOOKUP(B485,M!$B$6:$I$733,8,FALSE)="მბ",VLOOKUP(B485,M!$B$6:$I$733,3,FALSE)*0.001*#REF!*#REF!,IF(VLOOKUP(B485,M!$B$6:$I$733,8,FALSE)="აბ",VLOOKUP(B485,M!$B$6:$I$733,3,FALSE)*0.001*#REF!*#REF!,IF(VLOOKUP(B485,M!$B$6:$I$733,8,FALSE)="ინ",VLOOKUP(B485,M!$B$6:$I$733,3,FALSE)*0.001*#REF!*#REF!,IF(VLOOKUP(B485,M!$B$6:$I$733,8,FALSE)="ას",VLOOKUP(B485,M!$B$6:$I$733,3,FALSE)*0.001*#REF!*#REF!,IF(VLOOKUP(B485,M!$B$6:$I$733,8,FALSE)="სხ",VLOOKUP(B485,M!$B$6:$I$733,3,FALSE)*0.001*#REF!*#REF!,IF(VLOOKUP(B485,M!$B$6:$I$733,8,FALSE)="ხმ",VLOOKUP(B485,M!$B$6:$I$733,3,FALSE)*0.001*#REF!*#REF!))))))))),2)</f>
        <v>30.29</v>
      </c>
      <c r="K485" s="31">
        <f>ROUND(E485*J485,2)</f>
        <v>454.35</v>
      </c>
      <c r="L485" s="14">
        <f t="shared" si="129"/>
        <v>454.35</v>
      </c>
      <c r="M485" s="23" t="str">
        <f>(IF(ISNUMBER(MATCH(B485,E!$B$6:$B$197,0)),VLOOKUP(B485,E!$B$6:$E$197,4,FALSE),VLOOKUP(B485,M!$B$6:$I$733,7,FALSE)))</f>
        <v>14-299</v>
      </c>
    </row>
    <row r="486" spans="1:13" ht="39.950000000000003" customHeight="1" x14ac:dyDescent="0.25">
      <c r="A486" s="16" t="s">
        <v>675</v>
      </c>
      <c r="B486" s="2" t="s">
        <v>169</v>
      </c>
      <c r="C486" s="2" t="s">
        <v>672</v>
      </c>
      <c r="D486" s="2">
        <v>28.6</v>
      </c>
      <c r="E486" s="14">
        <f>D486*E482/100</f>
        <v>28.6</v>
      </c>
      <c r="F486" s="13"/>
      <c r="G486" s="13"/>
      <c r="H486" s="13"/>
      <c r="I486" s="13"/>
      <c r="J486" s="35">
        <f>ROUND(IF(ISNUMBER(MATCH(B486,E!$B$6:$B$197,0)),VLOOKUP(B486,E!$B$6:$E$197,2,FALSE),IF(#REF!="დიახ",IF(VLOOKUP(B486,M!$B$6:$I$733,8,FALSE)="ლ",VLOOKUP(B486,M!$B$6:$I$733,3,FALSE)*0.001*#REF!*#REF!,IF(VLOOKUP(B486,M!$B$6:$I$733,8,FALSE)="მბ",VLOOKUP(B486,M!$B$6:$I$733,3,FALSE)*0.001*#REF!*#REF!,IF(VLOOKUP(B486,M!$B$6:$I$733,8,FALSE)="აბ",VLOOKUP(B486,M!$B$6:$I$733,3,FALSE)*0.001*#REF!*#REF!,IF(VLOOKUP(B486,M!$B$6:$I$733,8,FALSE)="ინ",VLOOKUP(B486,M!$B$6:$I$733,3,FALSE)*0.001*#REF!*#REF!,IF(VLOOKUP(B486,M!$B$6:$I$733,8,FALSE)="ას",VLOOKUP(B486,M!$B$6:$I$733,3,FALSE)*0.001*#REF!*#REF!,IF(VLOOKUP(B486,M!$B$6:$I$733,8,FALSE)="სხ",VLOOKUP(B486,M!$B$6:$I$733,3,FALSE)*0.001*#REF!*#REF!,IF(VLOOKUP(B486,M!$B$6:$I$733,8,FALSE)="ხმ",VLOOKUP(B486,M!$B$6:$I$733,3,FALSE)*0.001*#REF!*#REF!))))))))),2)</f>
        <v>15.06</v>
      </c>
      <c r="K486" s="31">
        <f>ROUND(E486*J486,2)</f>
        <v>430.72</v>
      </c>
      <c r="L486" s="14">
        <f t="shared" si="129"/>
        <v>430.72</v>
      </c>
      <c r="M486" s="23" t="str">
        <f>(IF(ISNUMBER(MATCH(B486,E!$B$6:$B$197,0)),VLOOKUP(B486,E!$B$6:$E$197,4,FALSE),VLOOKUP(B486,M!$B$6:$I$733,7,FALSE)))</f>
        <v>14-43</v>
      </c>
    </row>
    <row r="487" spans="1:13" ht="39.950000000000003" customHeight="1" x14ac:dyDescent="0.25">
      <c r="A487" s="16" t="s">
        <v>695</v>
      </c>
      <c r="B487" s="2" t="s">
        <v>800</v>
      </c>
      <c r="C487" s="2" t="s">
        <v>674</v>
      </c>
      <c r="D487" s="2">
        <v>15</v>
      </c>
      <c r="E487" s="14">
        <f>D487*E482/100</f>
        <v>15</v>
      </c>
      <c r="F487" s="31" t="e">
        <f>ROUND(VLOOKUP(B487,M!$B$6:$H$733,IF(#REF!="დაბალი",4,IF(#REF!="საშუალო",6,IF(#REF!="მაღალი",5))),FALSE),2)</f>
        <v>#REF!</v>
      </c>
      <c r="G487" s="14" t="e">
        <f>ROUND(E487*F487,2)</f>
        <v>#REF!</v>
      </c>
      <c r="H487" s="2"/>
      <c r="I487" s="2"/>
      <c r="J487" s="35" t="e">
        <f>ROUND(IF(ISNUMBER(MATCH(B487,E!$B$6:$B$197,0)),VLOOKUP(B487,E!$B$6:$E$197,2,FALSE),IF(#REF!="დიახ",IF(VLOOKUP(B487,M!$B$6:$I$733,8,FALSE)="ლ",VLOOKUP(B487,M!$B$6:$I$733,3,FALSE)*0.001*#REF!*#REF!,IF(VLOOKUP(B487,M!$B$6:$I$733,8,FALSE)="მბ",VLOOKUP(B487,M!$B$6:$I$733,3,FALSE)*0.001*#REF!*#REF!,IF(VLOOKUP(B487,M!$B$6:$I$733,8,FALSE)="აბ",VLOOKUP(B487,M!$B$6:$I$733,3,FALSE)*0.001*#REF!*#REF!,IF(VLOOKUP(B487,M!$B$6:$I$733,8,FALSE)="ინ",VLOOKUP(B487,M!$B$6:$I$733,3,FALSE)*0.001*#REF!*#REF!,IF(VLOOKUP(B487,M!$B$6:$I$733,8,FALSE)="ას",VLOOKUP(B487,M!$B$6:$I$733,3,FALSE)*0.001*#REF!*#REF!,IF(VLOOKUP(B487,M!$B$6:$I$733,8,FALSE)="სხ",VLOOKUP(B487,M!$B$6:$I$733,3,FALSE)*0.001*#REF!*#REF!,IF(VLOOKUP(B487,M!$B$6:$I$733,8,FALSE)="ხმ",VLOOKUP(B487,M!$B$6:$I$733,3,FALSE)*0.001*#REF!*#REF!))))))))),2)</f>
        <v>#REF!</v>
      </c>
      <c r="K487" s="31" t="e">
        <f>ROUND(E487*J487,2)</f>
        <v>#REF!</v>
      </c>
      <c r="L487" s="14" t="e">
        <f t="shared" si="129"/>
        <v>#REF!</v>
      </c>
      <c r="M487" s="23" t="str">
        <f>(IF(ISNUMBER(MATCH(B487,E!$B$6:$B$197,0)),VLOOKUP(B487,E!$B$6:$E$197,4,FALSE),VLOOKUP(B487,M!$B$6:$I$733,7,FALSE)))</f>
        <v>4.1-344</v>
      </c>
    </row>
    <row r="488" spans="1:13" ht="39.950000000000003" customHeight="1" x14ac:dyDescent="0.25">
      <c r="A488" s="16" t="s">
        <v>696</v>
      </c>
      <c r="B488" s="17" t="s">
        <v>857</v>
      </c>
      <c r="C488" s="2" t="s">
        <v>66</v>
      </c>
      <c r="D488" s="2" t="s">
        <v>827</v>
      </c>
      <c r="E488" s="13">
        <v>153</v>
      </c>
      <c r="F488" s="14">
        <f>65+37</f>
        <v>102</v>
      </c>
      <c r="G488" s="14">
        <f t="shared" ref="G488:G497" si="130">ROUND(E488*F488,2)</f>
        <v>15606</v>
      </c>
      <c r="H488" s="13"/>
      <c r="I488" s="13"/>
      <c r="J488" s="31"/>
      <c r="K488" s="31"/>
      <c r="L488" s="14">
        <f t="shared" si="129"/>
        <v>15606</v>
      </c>
      <c r="M488" s="23" t="s">
        <v>845</v>
      </c>
    </row>
    <row r="489" spans="1:13" ht="39.950000000000003" customHeight="1" x14ac:dyDescent="0.25">
      <c r="A489" s="16" t="s">
        <v>733</v>
      </c>
      <c r="B489" s="17" t="s">
        <v>858</v>
      </c>
      <c r="C489" s="2" t="s">
        <v>66</v>
      </c>
      <c r="D489" s="2" t="s">
        <v>827</v>
      </c>
      <c r="E489" s="13">
        <v>30</v>
      </c>
      <c r="F489" s="14">
        <v>50</v>
      </c>
      <c r="G489" s="14">
        <f>ROUND(E489*F489,2)</f>
        <v>1500</v>
      </c>
      <c r="H489" s="13"/>
      <c r="I489" s="13"/>
      <c r="J489" s="31"/>
      <c r="K489" s="31"/>
      <c r="L489" s="14">
        <f>G489+I489+K489</f>
        <v>1500</v>
      </c>
      <c r="M489" s="23" t="s">
        <v>845</v>
      </c>
    </row>
    <row r="490" spans="1:13" ht="39.950000000000003" customHeight="1" x14ac:dyDescent="0.25">
      <c r="A490" s="16" t="s">
        <v>734</v>
      </c>
      <c r="B490" s="17" t="s">
        <v>859</v>
      </c>
      <c r="C490" s="2" t="s">
        <v>66</v>
      </c>
      <c r="D490" s="2" t="s">
        <v>827</v>
      </c>
      <c r="E490" s="13">
        <v>144</v>
      </c>
      <c r="F490" s="14">
        <v>55</v>
      </c>
      <c r="G490" s="14">
        <f>ROUND(E490*F490,2)</f>
        <v>7920</v>
      </c>
      <c r="H490" s="13"/>
      <c r="I490" s="13"/>
      <c r="J490" s="31"/>
      <c r="K490" s="31"/>
      <c r="L490" s="14">
        <f>G490+I490+K490</f>
        <v>7920</v>
      </c>
      <c r="M490" s="23" t="s">
        <v>845</v>
      </c>
    </row>
    <row r="491" spans="1:13" ht="39.950000000000003" customHeight="1" x14ac:dyDescent="0.25">
      <c r="A491" s="16" t="s">
        <v>735</v>
      </c>
      <c r="B491" s="17" t="s">
        <v>860</v>
      </c>
      <c r="C491" s="2" t="s">
        <v>66</v>
      </c>
      <c r="D491" s="2" t="s">
        <v>827</v>
      </c>
      <c r="E491" s="13">
        <v>6</v>
      </c>
      <c r="F491" s="14">
        <v>50</v>
      </c>
      <c r="G491" s="14">
        <f t="shared" si="130"/>
        <v>300</v>
      </c>
      <c r="H491" s="13"/>
      <c r="I491" s="13"/>
      <c r="J491" s="31"/>
      <c r="K491" s="31"/>
      <c r="L491" s="14">
        <f t="shared" si="129"/>
        <v>300</v>
      </c>
      <c r="M491" s="23" t="s">
        <v>845</v>
      </c>
    </row>
    <row r="492" spans="1:13" ht="39.950000000000003" customHeight="1" x14ac:dyDescent="0.25">
      <c r="A492" s="16" t="s">
        <v>736</v>
      </c>
      <c r="B492" s="17" t="s">
        <v>870</v>
      </c>
      <c r="C492" s="2" t="s">
        <v>66</v>
      </c>
      <c r="D492" s="2" t="s">
        <v>827</v>
      </c>
      <c r="E492" s="13">
        <v>32</v>
      </c>
      <c r="F492" s="14">
        <v>52</v>
      </c>
      <c r="G492" s="14">
        <f>ROUND(E492*F492,2)</f>
        <v>1664</v>
      </c>
      <c r="H492" s="13"/>
      <c r="I492" s="13"/>
      <c r="J492" s="31"/>
      <c r="K492" s="31"/>
      <c r="L492" s="14">
        <f>G492+I492+K492</f>
        <v>1664</v>
      </c>
      <c r="M492" s="23" t="s">
        <v>845</v>
      </c>
    </row>
    <row r="493" spans="1:13" ht="39.75" customHeight="1" x14ac:dyDescent="0.25">
      <c r="A493" s="16" t="s">
        <v>861</v>
      </c>
      <c r="B493" s="17" t="s">
        <v>862</v>
      </c>
      <c r="C493" s="2" t="s">
        <v>66</v>
      </c>
      <c r="D493" s="2" t="s">
        <v>827</v>
      </c>
      <c r="E493" s="69">
        <v>16</v>
      </c>
      <c r="F493" s="31" t="e">
        <f>ROUND(VLOOKUP(B493,M!$B$6:$H$733,IF(#REF!="დაბალი",4,IF(#REF!="საშუალო",6,IF(#REF!="მაღალი",5))),FALSE),2)</f>
        <v>#REF!</v>
      </c>
      <c r="G493" s="14" t="e">
        <f t="shared" si="130"/>
        <v>#REF!</v>
      </c>
      <c r="H493" s="13"/>
      <c r="I493" s="13"/>
      <c r="J493" s="35" t="e">
        <f>ROUND(IF(ISNUMBER(MATCH(B493,E!$B$6:$B$197,0)),VLOOKUP(B493,E!$B$6:$E$197,2,FALSE),IF(#REF!="დიახ",IF(VLOOKUP(B493,M!$B$6:$I$733,8,FALSE)="ლ",VLOOKUP(B493,M!$B$6:$I$733,3,FALSE)*0.001*#REF!*#REF!,IF(VLOOKUP(B493,M!$B$6:$I$733,8,FALSE)="მბ",VLOOKUP(B493,M!$B$6:$I$733,3,FALSE)*0.001*#REF!*#REF!,IF(VLOOKUP(B493,M!$B$6:$I$733,8,FALSE)="აბ",VLOOKUP(B493,M!$B$6:$I$733,3,FALSE)*0.001*#REF!*#REF!,IF(VLOOKUP(B493,M!$B$6:$I$733,8,FALSE)="ინ",VLOOKUP(B493,M!$B$6:$I$733,3,FALSE)*0.001*#REF!*#REF!,IF(VLOOKUP(B493,M!$B$6:$I$733,8,FALSE)="ას",VLOOKUP(B493,M!$B$6:$I$733,3,FALSE)*0.001*#REF!*#REF!,IF(VLOOKUP(B493,M!$B$6:$I$733,8,FALSE)="სხ",VLOOKUP(B493,M!$B$6:$I$733,3,FALSE)*0.001*#REF!*#REF!,IF(VLOOKUP(B493,M!$B$6:$I$733,8,FALSE)="ხმ",VLOOKUP(B493,M!$B$6:$I$733,3,FALSE)*0.001*#REF!*#REF!))))))))),2)</f>
        <v>#REF!</v>
      </c>
      <c r="K493" s="31" t="e">
        <f>ROUND(E493*J493,2)</f>
        <v>#REF!</v>
      </c>
      <c r="L493" s="14" t="e">
        <f t="shared" si="129"/>
        <v>#REF!</v>
      </c>
      <c r="M493" s="23" t="str">
        <f>(IF(ISNUMBER(MATCH(B493,E!$B$6:$B$197,0)),VLOOKUP(B493,E!$B$6:$E$197,4,FALSE),VLOOKUP(B493,M!$B$6:$I$733,7,FALSE)))</f>
        <v>ს.რ.ფ</v>
      </c>
    </row>
    <row r="494" spans="1:13" ht="39.75" customHeight="1" x14ac:dyDescent="0.25">
      <c r="A494" s="16" t="s">
        <v>863</v>
      </c>
      <c r="B494" s="17" t="s">
        <v>864</v>
      </c>
      <c r="C494" s="2" t="s">
        <v>66</v>
      </c>
      <c r="D494" s="2" t="s">
        <v>827</v>
      </c>
      <c r="E494" s="69">
        <v>171</v>
      </c>
      <c r="F494" s="31" t="e">
        <f>ROUND(VLOOKUP(B494,M!$B$6:$H$733,IF(#REF!="დაბალი",4,IF(#REF!="საშუალო",6,IF(#REF!="მაღალი",5))),FALSE),2)</f>
        <v>#REF!</v>
      </c>
      <c r="G494" s="14" t="e">
        <f t="shared" si="130"/>
        <v>#REF!</v>
      </c>
      <c r="H494" s="13"/>
      <c r="I494" s="13"/>
      <c r="J494" s="35" t="e">
        <f>ROUND(IF(ISNUMBER(MATCH(B494,E!$B$6:$B$197,0)),VLOOKUP(B494,E!$B$6:$E$197,2,FALSE),IF(#REF!="დიახ",IF(VLOOKUP(B494,M!$B$6:$I$733,8,FALSE)="ლ",VLOOKUP(B494,M!$B$6:$I$733,3,FALSE)*0.001*#REF!*#REF!,IF(VLOOKUP(B494,M!$B$6:$I$733,8,FALSE)="მბ",VLOOKUP(B494,M!$B$6:$I$733,3,FALSE)*0.001*#REF!*#REF!,IF(VLOOKUP(B494,M!$B$6:$I$733,8,FALSE)="აბ",VLOOKUP(B494,M!$B$6:$I$733,3,FALSE)*0.001*#REF!*#REF!,IF(VLOOKUP(B494,M!$B$6:$I$733,8,FALSE)="ინ",VLOOKUP(B494,M!$B$6:$I$733,3,FALSE)*0.001*#REF!*#REF!,IF(VLOOKUP(B494,M!$B$6:$I$733,8,FALSE)="ას",VLOOKUP(B494,M!$B$6:$I$733,3,FALSE)*0.001*#REF!*#REF!,IF(VLOOKUP(B494,M!$B$6:$I$733,8,FALSE)="სხ",VLOOKUP(B494,M!$B$6:$I$733,3,FALSE)*0.001*#REF!*#REF!,IF(VLOOKUP(B494,M!$B$6:$I$733,8,FALSE)="ხმ",VLOOKUP(B494,M!$B$6:$I$733,3,FALSE)*0.001*#REF!*#REF!))))))))),2)</f>
        <v>#REF!</v>
      </c>
      <c r="K494" s="31" t="e">
        <f>ROUND(E494*J494,2)</f>
        <v>#REF!</v>
      </c>
      <c r="L494" s="14" t="e">
        <f t="shared" si="129"/>
        <v>#REF!</v>
      </c>
      <c r="M494" s="23" t="str">
        <f>(IF(ISNUMBER(MATCH(B494,E!$B$6:$B$197,0)),VLOOKUP(B494,E!$B$6:$E$197,4,FALSE),VLOOKUP(B494,M!$B$6:$I$733,7,FALSE)))</f>
        <v>ს.რ.ფ</v>
      </c>
    </row>
    <row r="495" spans="1:13" ht="39.75" customHeight="1" x14ac:dyDescent="0.25">
      <c r="A495" s="16" t="s">
        <v>865</v>
      </c>
      <c r="B495" s="17" t="s">
        <v>868</v>
      </c>
      <c r="C495" s="2" t="s">
        <v>66</v>
      </c>
      <c r="D495" s="2" t="s">
        <v>827</v>
      </c>
      <c r="E495" s="69">
        <v>37</v>
      </c>
      <c r="F495" s="31" t="e">
        <f>ROUND(VLOOKUP(B495,M!$B$6:$H$733,IF(#REF!="დაბალი",4,IF(#REF!="საშუალო",6,IF(#REF!="მაღალი",5))),FALSE),2)</f>
        <v>#REF!</v>
      </c>
      <c r="G495" s="14" t="e">
        <f t="shared" si="130"/>
        <v>#REF!</v>
      </c>
      <c r="H495" s="13"/>
      <c r="I495" s="13"/>
      <c r="J495" s="35" t="e">
        <f>ROUND(IF(ISNUMBER(MATCH(B495,E!$B$6:$B$197,0)),VLOOKUP(B495,E!$B$6:$E$197,2,FALSE),IF(#REF!="დიახ",IF(VLOOKUP(B495,M!$B$6:$I$733,8,FALSE)="ლ",VLOOKUP(B495,M!$B$6:$I$733,3,FALSE)*0.001*#REF!*#REF!,IF(VLOOKUP(B495,M!$B$6:$I$733,8,FALSE)="მბ",VLOOKUP(B495,M!$B$6:$I$733,3,FALSE)*0.001*#REF!*#REF!,IF(VLOOKUP(B495,M!$B$6:$I$733,8,FALSE)="აბ",VLOOKUP(B495,M!$B$6:$I$733,3,FALSE)*0.001*#REF!*#REF!,IF(VLOOKUP(B495,M!$B$6:$I$733,8,FALSE)="ინ",VLOOKUP(B495,M!$B$6:$I$733,3,FALSE)*0.001*#REF!*#REF!,IF(VLOOKUP(B495,M!$B$6:$I$733,8,FALSE)="ას",VLOOKUP(B495,M!$B$6:$I$733,3,FALSE)*0.001*#REF!*#REF!,IF(VLOOKUP(B495,M!$B$6:$I$733,8,FALSE)="სხ",VLOOKUP(B495,M!$B$6:$I$733,3,FALSE)*0.001*#REF!*#REF!,IF(VLOOKUP(B495,M!$B$6:$I$733,8,FALSE)="ხმ",VLOOKUP(B495,M!$B$6:$I$733,3,FALSE)*0.001*#REF!*#REF!))))))))),2)</f>
        <v>#REF!</v>
      </c>
      <c r="K495" s="31" t="e">
        <f t="shared" ref="K495" si="131">ROUND(E495*J495,2)</f>
        <v>#REF!</v>
      </c>
      <c r="L495" s="14" t="e">
        <f t="shared" si="129"/>
        <v>#REF!</v>
      </c>
      <c r="M495" s="23" t="str">
        <f>(IF(ISNUMBER(MATCH(B495,E!$B$6:$B$197,0)),VLOOKUP(B495,E!$B$6:$E$197,4,FALSE),VLOOKUP(B495,M!$B$6:$I$733,7,FALSE)))</f>
        <v>ს.რ.ფ</v>
      </c>
    </row>
    <row r="496" spans="1:13" ht="39.950000000000003" customHeight="1" x14ac:dyDescent="0.25">
      <c r="A496" s="16" t="s">
        <v>866</v>
      </c>
      <c r="B496" s="2" t="s">
        <v>128</v>
      </c>
      <c r="C496" s="2" t="s">
        <v>28</v>
      </c>
      <c r="D496" s="2">
        <v>51</v>
      </c>
      <c r="E496" s="14">
        <f>D496*1.41</f>
        <v>71.91</v>
      </c>
      <c r="F496" s="31" t="e">
        <f>ROUND(VLOOKUP(B496,M!$B$6:$H$733,IF(#REF!="დაბალი",4,IF(#REF!="საშუალო",6,IF(#REF!="მაღალი",5))),FALSE),2)</f>
        <v>#REF!</v>
      </c>
      <c r="G496" s="14" t="e">
        <f t="shared" si="130"/>
        <v>#REF!</v>
      </c>
      <c r="H496" s="13"/>
      <c r="I496" s="13"/>
      <c r="J496" s="35"/>
      <c r="K496" s="31"/>
      <c r="L496" s="14" t="e">
        <f t="shared" si="129"/>
        <v>#REF!</v>
      </c>
      <c r="M496" s="23" t="str">
        <f>(IF(ISNUMBER(MATCH(B496,E!$B$6:$B$197,0)),VLOOKUP(B496,E!$B$6:$E$197,4,FALSE),VLOOKUP(B496,M!$B$6:$I$733,7,FALSE)))</f>
        <v>1.9-68</v>
      </c>
    </row>
    <row r="497" spans="1:13" ht="39.950000000000003" customHeight="1" x14ac:dyDescent="0.25">
      <c r="A497" s="16" t="s">
        <v>869</v>
      </c>
      <c r="B497" s="17" t="s">
        <v>677</v>
      </c>
      <c r="C497" s="2" t="s">
        <v>393</v>
      </c>
      <c r="D497" s="2">
        <v>64.900000000000006</v>
      </c>
      <c r="E497" s="14">
        <f>D497*E482/100</f>
        <v>64.900000000000006</v>
      </c>
      <c r="F497" s="31" t="e">
        <f>ROUND(VLOOKUP(B497,M!$B$6:$H$733,IF(#REF!="დაბალი",4,IF(#REF!="საშუალო",6,IF(#REF!="მაღალი",5))),FALSE),2)</f>
        <v>#REF!</v>
      </c>
      <c r="G497" s="14" t="e">
        <f t="shared" si="130"/>
        <v>#REF!</v>
      </c>
      <c r="H497" s="13"/>
      <c r="I497" s="13"/>
      <c r="J497" s="35" t="e">
        <f>ROUND(IF(ISNUMBER(MATCH(B497,E!$B$6:$B$197,0)),VLOOKUP(B497,E!$B$6:$E$197,2,FALSE),IF(#REF!="დიახ",IF(VLOOKUP(B497,M!$B$6:$I$733,8,FALSE)="ლ",VLOOKUP(B497,M!$B$6:$I$733,3,FALSE)*0.001*#REF!*#REF!,IF(VLOOKUP(B497,M!$B$6:$I$733,8,FALSE)="მბ",VLOOKUP(B497,M!$B$6:$I$733,3,FALSE)*0.001*#REF!*#REF!,IF(VLOOKUP(B497,M!$B$6:$I$733,8,FALSE)="აბ",VLOOKUP(B497,M!$B$6:$I$733,3,FALSE)*0.001*#REF!*#REF!,IF(VLOOKUP(B497,M!$B$6:$I$733,8,FALSE)="ინ",VLOOKUP(B497,M!$B$6:$I$733,3,FALSE)*0.001*#REF!*#REF!,IF(VLOOKUP(B497,M!$B$6:$I$733,8,FALSE)="ას",VLOOKUP(B497,M!$B$6:$I$733,3,FALSE)*0.001*#REF!*#REF!,IF(VLOOKUP(B497,M!$B$6:$I$733,8,FALSE)="სხ",VLOOKUP(B497,M!$B$6:$I$733,3,FALSE)*0.001*#REF!*#REF!,IF(VLOOKUP(B497,M!$B$6:$I$733,8,FALSE)="ხმ",VLOOKUP(B497,M!$B$6:$I$733,3,FALSE)*0.001*#REF!*#REF!))))))))),2)</f>
        <v>#REF!</v>
      </c>
      <c r="K497" s="31"/>
      <c r="L497" s="14" t="e">
        <f t="shared" si="129"/>
        <v>#REF!</v>
      </c>
      <c r="M497" s="23" t="str">
        <f>(IF(ISNUMBER(MATCH(B497,E!$B$6:$B$197,0)),VLOOKUP(B497,E!$B$6:$E$197,4,FALSE),VLOOKUP(B497,M!$B$6:$I$733,7,FALSE)))</f>
        <v>ს.რ.ფ</v>
      </c>
    </row>
    <row r="498" spans="1:13" s="45" customFormat="1" ht="39.950000000000003" customHeight="1" x14ac:dyDescent="0.25">
      <c r="A498" s="39">
        <v>1.1000000000000001</v>
      </c>
      <c r="B498" s="40" t="s">
        <v>998</v>
      </c>
      <c r="C498" s="41" t="s">
        <v>855</v>
      </c>
      <c r="D498" s="41"/>
      <c r="E498" s="52">
        <v>100</v>
      </c>
      <c r="F498" s="42"/>
      <c r="G498" s="42"/>
      <c r="H498" s="42"/>
      <c r="I498" s="42"/>
      <c r="J498" s="46"/>
      <c r="K498" s="46"/>
      <c r="L498" s="43" t="e">
        <f>SUM(L499:L506)</f>
        <v>#REF!</v>
      </c>
      <c r="M498" s="44" t="s">
        <v>999</v>
      </c>
    </row>
    <row r="499" spans="1:13" ht="39.950000000000003" customHeight="1" x14ac:dyDescent="0.25">
      <c r="A499" s="16" t="s">
        <v>668</v>
      </c>
      <c r="B499" s="17" t="s">
        <v>669</v>
      </c>
      <c r="C499" s="2" t="s">
        <v>670</v>
      </c>
      <c r="D499" s="2">
        <v>658</v>
      </c>
      <c r="E499" s="14">
        <f>D499*E498/100</f>
        <v>658</v>
      </c>
      <c r="F499" s="13"/>
      <c r="G499" s="13"/>
      <c r="H499" s="27">
        <f>IF((ISNUMBER(--LEFT(M498,2))),VLOOKUP(--LEFT(M498,2),N!$A$5:$C$54,3,FALSE),VLOOKUP(--LEFT(M498,1),N!$A$5:$C$54,3,FALSE))</f>
        <v>6</v>
      </c>
      <c r="I499" s="14">
        <f>ROUND(E499*H499,2)</f>
        <v>3948</v>
      </c>
      <c r="J499" s="31"/>
      <c r="K499" s="31"/>
      <c r="L499" s="14">
        <f t="shared" ref="L499:L506" si="132">G499+I499+K499</f>
        <v>3948</v>
      </c>
      <c r="M499" s="23" t="str">
        <f>(IF(ISNUMBER(MATCH(B499,E!$B$6:$B$197,0)),VLOOKUP(B499,E!$B$6:$E$197,4,FALSE),VLOOKUP(B499,M!$B$6:$I$733,7,FALSE)))</f>
        <v>მ.ც</v>
      </c>
    </row>
    <row r="500" spans="1:13" ht="39.950000000000003" customHeight="1" x14ac:dyDescent="0.25">
      <c r="A500" s="16" t="s">
        <v>671</v>
      </c>
      <c r="B500" s="17" t="s">
        <v>867</v>
      </c>
      <c r="C500" s="2" t="s">
        <v>672</v>
      </c>
      <c r="D500" s="2">
        <v>30</v>
      </c>
      <c r="E500" s="14">
        <f>D500*E498/100</f>
        <v>30</v>
      </c>
      <c r="F500" s="13"/>
      <c r="G500" s="13"/>
      <c r="H500" s="13"/>
      <c r="I500" s="13"/>
      <c r="J500" s="35">
        <f>ROUND(IF(ISNUMBER(MATCH(B500,E!$B$6:$B$197,0)),VLOOKUP(B500,E!$B$6:$E$197,2,FALSE),IF(#REF!="დიახ",IF(VLOOKUP(B500,M!$B$6:$I$733,8,FALSE)="ლ",VLOOKUP(B500,M!$B$6:$I$733,3,FALSE)*0.001*#REF!*#REF!,IF(VLOOKUP(B500,M!$B$6:$I$733,8,FALSE)="მბ",VLOOKUP(B500,M!$B$6:$I$733,3,FALSE)*0.001*#REF!*#REF!,IF(VLOOKUP(B500,M!$B$6:$I$733,8,FALSE)="აბ",VLOOKUP(B500,M!$B$6:$I$733,3,FALSE)*0.001*#REF!*#REF!,IF(VLOOKUP(B500,M!$B$6:$I$733,8,FALSE)="ინ",VLOOKUP(B500,M!$B$6:$I$733,3,FALSE)*0.001*#REF!*#REF!,IF(VLOOKUP(B500,M!$B$6:$I$733,8,FALSE)="ას",VLOOKUP(B500,M!$B$6:$I$733,3,FALSE)*0.001*#REF!*#REF!,IF(VLOOKUP(B500,M!$B$6:$I$733,8,FALSE)="სხ",VLOOKUP(B500,M!$B$6:$I$733,3,FALSE)*0.001*#REF!*#REF!,IF(VLOOKUP(B500,M!$B$6:$I$733,8,FALSE)="ხმ",VLOOKUP(B500,M!$B$6:$I$733,3,FALSE)*0.001*#REF!*#REF!))))))))),2)</f>
        <v>30.29</v>
      </c>
      <c r="K500" s="31">
        <f>ROUND(E500*J500,2)</f>
        <v>908.7</v>
      </c>
      <c r="L500" s="14">
        <f t="shared" si="132"/>
        <v>908.7</v>
      </c>
      <c r="M500" s="23" t="str">
        <f>(IF(ISNUMBER(MATCH(B500,E!$B$6:$B$197,0)),VLOOKUP(B500,E!$B$6:$E$197,4,FALSE),VLOOKUP(B500,M!$B$6:$I$733,7,FALSE)))</f>
        <v>14-299</v>
      </c>
    </row>
    <row r="501" spans="1:13" ht="39.950000000000003" customHeight="1" x14ac:dyDescent="0.25">
      <c r="A501" s="16" t="s">
        <v>673</v>
      </c>
      <c r="B501" s="2" t="s">
        <v>169</v>
      </c>
      <c r="C501" s="2" t="s">
        <v>672</v>
      </c>
      <c r="D501" s="2">
        <v>63.8</v>
      </c>
      <c r="E501" s="14">
        <f>D501*E498/100</f>
        <v>63.8</v>
      </c>
      <c r="F501" s="13"/>
      <c r="G501" s="13"/>
      <c r="H501" s="13"/>
      <c r="I501" s="13"/>
      <c r="J501" s="35">
        <f>ROUND(IF(ISNUMBER(MATCH(B501,E!$B$6:$B$197,0)),VLOOKUP(B501,E!$B$6:$E$197,2,FALSE),IF(#REF!="დიახ",IF(VLOOKUP(B501,M!$B$6:$I$733,8,FALSE)="ლ",VLOOKUP(B501,M!$B$6:$I$733,3,FALSE)*0.001*#REF!*#REF!,IF(VLOOKUP(B501,M!$B$6:$I$733,8,FALSE)="მბ",VLOOKUP(B501,M!$B$6:$I$733,3,FALSE)*0.001*#REF!*#REF!,IF(VLOOKUP(B501,M!$B$6:$I$733,8,FALSE)="აბ",VLOOKUP(B501,M!$B$6:$I$733,3,FALSE)*0.001*#REF!*#REF!,IF(VLOOKUP(B501,M!$B$6:$I$733,8,FALSE)="ინ",VLOOKUP(B501,M!$B$6:$I$733,3,FALSE)*0.001*#REF!*#REF!,IF(VLOOKUP(B501,M!$B$6:$I$733,8,FALSE)="ას",VLOOKUP(B501,M!$B$6:$I$733,3,FALSE)*0.001*#REF!*#REF!,IF(VLOOKUP(B501,M!$B$6:$I$733,8,FALSE)="სხ",VLOOKUP(B501,M!$B$6:$I$733,3,FALSE)*0.001*#REF!*#REF!,IF(VLOOKUP(B501,M!$B$6:$I$733,8,FALSE)="ხმ",VLOOKUP(B501,M!$B$6:$I$733,3,FALSE)*0.001*#REF!*#REF!))))))))),2)</f>
        <v>15.06</v>
      </c>
      <c r="K501" s="31">
        <f t="shared" ref="K501:K502" si="133">ROUND(E501*J501,2)</f>
        <v>960.83</v>
      </c>
      <c r="L501" s="14">
        <f t="shared" si="132"/>
        <v>960.83</v>
      </c>
      <c r="M501" s="23" t="str">
        <f>(IF(ISNUMBER(MATCH(B501,E!$B$6:$B$197,0)),VLOOKUP(B501,E!$B$6:$E$197,4,FALSE),VLOOKUP(B501,M!$B$6:$I$733,7,FALSE)))</f>
        <v>14-43</v>
      </c>
    </row>
    <row r="502" spans="1:13" ht="39.950000000000003" customHeight="1" x14ac:dyDescent="0.25">
      <c r="A502" s="16" t="s">
        <v>675</v>
      </c>
      <c r="B502" s="17" t="s">
        <v>654</v>
      </c>
      <c r="C502" s="2" t="s">
        <v>393</v>
      </c>
      <c r="D502" s="2">
        <v>4.74</v>
      </c>
      <c r="E502" s="14">
        <f>D502*E498/100</f>
        <v>4.74</v>
      </c>
      <c r="F502" s="13"/>
      <c r="G502" s="13"/>
      <c r="H502" s="13"/>
      <c r="I502" s="13"/>
      <c r="J502" s="35">
        <f>ROUND(IF(ISNUMBER(MATCH(B502,E!$B$6:$B$197,0)),VLOOKUP(B502,E!$B$6:$E$197,2,FALSE),IF(#REF!="დიახ",IF(VLOOKUP(B502,M!$B$6:$I$733,8,FALSE)="ლ",VLOOKUP(B502,M!$B$6:$I$733,3,FALSE)*0.001*#REF!*#REF!,IF(VLOOKUP(B502,M!$B$6:$I$733,8,FALSE)="მბ",VLOOKUP(B502,M!$B$6:$I$733,3,FALSE)*0.001*#REF!*#REF!,IF(VLOOKUP(B502,M!$B$6:$I$733,8,FALSE)="აბ",VLOOKUP(B502,M!$B$6:$I$733,3,FALSE)*0.001*#REF!*#REF!,IF(VLOOKUP(B502,M!$B$6:$I$733,8,FALSE)="ინ",VLOOKUP(B502,M!$B$6:$I$733,3,FALSE)*0.001*#REF!*#REF!,IF(VLOOKUP(B502,M!$B$6:$I$733,8,FALSE)="ას",VLOOKUP(B502,M!$B$6:$I$733,3,FALSE)*0.001*#REF!*#REF!,IF(VLOOKUP(B502,M!$B$6:$I$733,8,FALSE)="სხ",VLOOKUP(B502,M!$B$6:$I$733,3,FALSE)*0.001*#REF!*#REF!,IF(VLOOKUP(B502,M!$B$6:$I$733,8,FALSE)="ხმ",VLOOKUP(B502,M!$B$6:$I$733,3,FALSE)*0.001*#REF!*#REF!))))))))),2)</f>
        <v>3.2</v>
      </c>
      <c r="K502" s="31">
        <f t="shared" si="133"/>
        <v>15.17</v>
      </c>
      <c r="L502" s="14">
        <f t="shared" si="132"/>
        <v>15.17</v>
      </c>
      <c r="M502" s="23" t="str">
        <f>(IF(ISNUMBER(MATCH(B502,E!$B$6:$B$197,0)),VLOOKUP(B502,E!$B$6:$E$197,4,FALSE),VLOOKUP(B502,M!$B$6:$I$733,7,FALSE)))</f>
        <v>ს.რ.ფ</v>
      </c>
    </row>
    <row r="503" spans="1:13" ht="39.950000000000003" customHeight="1" x14ac:dyDescent="0.25">
      <c r="A503" s="16" t="s">
        <v>695</v>
      </c>
      <c r="B503" s="17" t="s">
        <v>1000</v>
      </c>
      <c r="C503" s="2" t="s">
        <v>814</v>
      </c>
      <c r="D503" s="2" t="s">
        <v>827</v>
      </c>
      <c r="E503" s="14">
        <v>1</v>
      </c>
      <c r="F503" s="13">
        <v>208.8</v>
      </c>
      <c r="G503" s="14">
        <f>ROUND(E503*F503,2)</f>
        <v>208.8</v>
      </c>
      <c r="H503" s="13"/>
      <c r="I503" s="13"/>
      <c r="J503" s="31"/>
      <c r="K503" s="31"/>
      <c r="L503" s="14">
        <f t="shared" si="132"/>
        <v>208.8</v>
      </c>
      <c r="M503" s="23" t="s">
        <v>845</v>
      </c>
    </row>
    <row r="504" spans="1:13" ht="39.950000000000003" customHeight="1" x14ac:dyDescent="0.25">
      <c r="A504" s="16" t="s">
        <v>696</v>
      </c>
      <c r="B504" s="17" t="s">
        <v>1001</v>
      </c>
      <c r="C504" s="2" t="s">
        <v>814</v>
      </c>
      <c r="D504" s="2" t="s">
        <v>827</v>
      </c>
      <c r="E504" s="14">
        <v>1</v>
      </c>
      <c r="F504" s="13">
        <v>208.8</v>
      </c>
      <c r="G504" s="14">
        <f t="shared" ref="G504:G506" si="134">ROUND(E504*F504,2)</f>
        <v>208.8</v>
      </c>
      <c r="H504" s="13"/>
      <c r="I504" s="13"/>
      <c r="J504" s="31"/>
      <c r="K504" s="31"/>
      <c r="L504" s="14">
        <f t="shared" si="132"/>
        <v>208.8</v>
      </c>
      <c r="M504" s="23" t="s">
        <v>845</v>
      </c>
    </row>
    <row r="505" spans="1:13" ht="39.75" customHeight="1" x14ac:dyDescent="0.25">
      <c r="A505" s="16" t="s">
        <v>733</v>
      </c>
      <c r="B505" s="17" t="s">
        <v>868</v>
      </c>
      <c r="C505" s="2" t="s">
        <v>66</v>
      </c>
      <c r="D505" s="2" t="s">
        <v>827</v>
      </c>
      <c r="E505" s="69">
        <v>1</v>
      </c>
      <c r="F505" s="31" t="e">
        <f>ROUND(VLOOKUP(B505,M!$B$6:$H$733,IF(#REF!="დაბალი",4,IF(#REF!="საშუალო",6,IF(#REF!="მაღალი",5))),FALSE),2)</f>
        <v>#REF!</v>
      </c>
      <c r="G505" s="14" t="e">
        <f t="shared" si="134"/>
        <v>#REF!</v>
      </c>
      <c r="H505" s="13"/>
      <c r="I505" s="13"/>
      <c r="J505" s="35" t="e">
        <f>ROUND(IF(ISNUMBER(MATCH(B505,E!$B$6:$B$197,0)),VLOOKUP(B505,E!$B$6:$E$197,2,FALSE),IF(#REF!="დიახ",IF(VLOOKUP(B505,M!$B$6:$I$733,8,FALSE)="ლ",VLOOKUP(B505,M!$B$6:$I$733,3,FALSE)*0.001*#REF!*#REF!,IF(VLOOKUP(B505,M!$B$6:$I$733,8,FALSE)="მბ",VLOOKUP(B505,M!$B$6:$I$733,3,FALSE)*0.001*#REF!*#REF!,IF(VLOOKUP(B505,M!$B$6:$I$733,8,FALSE)="აბ",VLOOKUP(B505,M!$B$6:$I$733,3,FALSE)*0.001*#REF!*#REF!,IF(VLOOKUP(B505,M!$B$6:$I$733,8,FALSE)="ინ",VLOOKUP(B505,M!$B$6:$I$733,3,FALSE)*0.001*#REF!*#REF!,IF(VLOOKUP(B505,M!$B$6:$I$733,8,FALSE)="ას",VLOOKUP(B505,M!$B$6:$I$733,3,FALSE)*0.001*#REF!*#REF!,IF(VLOOKUP(B505,M!$B$6:$I$733,8,FALSE)="სხ",VLOOKUP(B505,M!$B$6:$I$733,3,FALSE)*0.001*#REF!*#REF!,IF(VLOOKUP(B505,M!$B$6:$I$733,8,FALSE)="ხმ",VLOOKUP(B505,M!$B$6:$I$733,3,FALSE)*0.001*#REF!*#REF!))))))))),2)</f>
        <v>#REF!</v>
      </c>
      <c r="K505" s="31" t="e">
        <f t="shared" ref="K505" si="135">ROUND(E505*J505,2)</f>
        <v>#REF!</v>
      </c>
      <c r="L505" s="14" t="e">
        <f t="shared" si="132"/>
        <v>#REF!</v>
      </c>
      <c r="M505" s="23" t="str">
        <f>(IF(ISNUMBER(MATCH(B505,E!$B$6:$B$197,0)),VLOOKUP(B505,E!$B$6:$E$197,4,FALSE),VLOOKUP(B505,M!$B$6:$I$733,7,FALSE)))</f>
        <v>ს.რ.ფ</v>
      </c>
    </row>
    <row r="506" spans="1:13" ht="39.950000000000003" customHeight="1" x14ac:dyDescent="0.25">
      <c r="A506" s="16" t="s">
        <v>734</v>
      </c>
      <c r="B506" s="17" t="s">
        <v>677</v>
      </c>
      <c r="C506" s="2" t="s">
        <v>393</v>
      </c>
      <c r="D506" s="2">
        <v>308</v>
      </c>
      <c r="E506" s="13">
        <f>D506*E498/100</f>
        <v>308</v>
      </c>
      <c r="F506" s="31" t="e">
        <f>ROUND(VLOOKUP(B506,M!$B$6:$H$733,IF(#REF!="დაბალი",4,IF(#REF!="საშუალო",6,IF(#REF!="მაღალი",5))),FALSE),2)</f>
        <v>#REF!</v>
      </c>
      <c r="G506" s="14" t="e">
        <f t="shared" si="134"/>
        <v>#REF!</v>
      </c>
      <c r="H506" s="13"/>
      <c r="I506" s="13"/>
      <c r="J506" s="31"/>
      <c r="K506" s="31"/>
      <c r="L506" s="14" t="e">
        <f t="shared" si="132"/>
        <v>#REF!</v>
      </c>
      <c r="M506" s="23" t="str">
        <f>(IF(ISNUMBER(MATCH(B506,E!$B$6:$B$197,0)),VLOOKUP(B506,E!$B$6:$E$197,4,FALSE),VLOOKUP(B506,M!$B$6:$I$733,7,FALSE)))</f>
        <v>ს.რ.ფ</v>
      </c>
    </row>
    <row r="507" spans="1:13" s="45" customFormat="1" ht="39.75" customHeight="1" x14ac:dyDescent="0.25">
      <c r="A507" s="39">
        <v>1.1000000000000001</v>
      </c>
      <c r="B507" s="40" t="s">
        <v>873</v>
      </c>
      <c r="C507" s="41" t="s">
        <v>808</v>
      </c>
      <c r="D507" s="41"/>
      <c r="E507" s="52">
        <f>(1*3)</f>
        <v>3</v>
      </c>
      <c r="F507" s="42"/>
      <c r="G507" s="42"/>
      <c r="H507" s="42"/>
      <c r="I507" s="42"/>
      <c r="J507" s="46"/>
      <c r="K507" s="46"/>
      <c r="L507" s="43" t="e">
        <f>SUM(L508:L513)</f>
        <v>#REF!</v>
      </c>
      <c r="M507" s="44" t="s">
        <v>874</v>
      </c>
    </row>
    <row r="508" spans="1:13" ht="39.950000000000003" customHeight="1" x14ac:dyDescent="0.25">
      <c r="A508" s="16" t="s">
        <v>668</v>
      </c>
      <c r="B508" s="17" t="s">
        <v>669</v>
      </c>
      <c r="C508" s="2" t="s">
        <v>670</v>
      </c>
      <c r="D508" s="2">
        <v>85.8</v>
      </c>
      <c r="E508" s="14">
        <f>D508*E507/100</f>
        <v>2.5739999999999998</v>
      </c>
      <c r="F508" s="13"/>
      <c r="G508" s="13"/>
      <c r="H508" s="27">
        <f>IF((ISNUMBER(--LEFT(M507,2))),VLOOKUP(--LEFT(M507,2),N!$A$5:$C$54,3,FALSE),VLOOKUP(--LEFT(M507,1),N!$A$5:$C$54,3,FALSE))</f>
        <v>6</v>
      </c>
      <c r="I508" s="14">
        <f>ROUND(E508*H508,2)</f>
        <v>15.44</v>
      </c>
      <c r="J508" s="31"/>
      <c r="K508" s="31"/>
      <c r="L508" s="14">
        <f t="shared" ref="L508:L513" si="136">G508+I508+K508</f>
        <v>15.44</v>
      </c>
      <c r="M508" s="23" t="str">
        <f>(IF(ISNUMBER(MATCH(B508,E!$B$6:$B$197,0)),VLOOKUP(B508,E!$B$6:$E$197,4,FALSE),VLOOKUP(B508,M!$B$6:$I$733,7,FALSE)))</f>
        <v>მ.ც</v>
      </c>
    </row>
    <row r="509" spans="1:13" ht="39.950000000000003" customHeight="1" x14ac:dyDescent="0.25">
      <c r="A509" s="16" t="s">
        <v>671</v>
      </c>
      <c r="B509" s="17" t="s">
        <v>867</v>
      </c>
      <c r="C509" s="2" t="s">
        <v>672</v>
      </c>
      <c r="D509" s="2">
        <v>5.79</v>
      </c>
      <c r="E509" s="14">
        <f>D509*E507/100</f>
        <v>0.17370000000000002</v>
      </c>
      <c r="F509" s="13"/>
      <c r="G509" s="13"/>
      <c r="H509" s="13"/>
      <c r="I509" s="13"/>
      <c r="J509" s="35">
        <f>ROUND(IF(ISNUMBER(MATCH(B509,E!$B$6:$B$197,0)),VLOOKUP(B509,E!$B$6:$E$197,2,FALSE),IF(#REF!="დიახ",IF(VLOOKUP(B509,M!$B$6:$I$733,8,FALSE)="ლ",VLOOKUP(B509,M!$B$6:$I$733,3,FALSE)*0.001*#REF!*#REF!,IF(VLOOKUP(B509,M!$B$6:$I$733,8,FALSE)="მბ",VLOOKUP(B509,M!$B$6:$I$733,3,FALSE)*0.001*#REF!*#REF!,IF(VLOOKUP(B509,M!$B$6:$I$733,8,FALSE)="აბ",VLOOKUP(B509,M!$B$6:$I$733,3,FALSE)*0.001*#REF!*#REF!,IF(VLOOKUP(B509,M!$B$6:$I$733,8,FALSE)="ინ",VLOOKUP(B509,M!$B$6:$I$733,3,FALSE)*0.001*#REF!*#REF!,IF(VLOOKUP(B509,M!$B$6:$I$733,8,FALSE)="ას",VLOOKUP(B509,M!$B$6:$I$733,3,FALSE)*0.001*#REF!*#REF!,IF(VLOOKUP(B509,M!$B$6:$I$733,8,FALSE)="სხ",VLOOKUP(B509,M!$B$6:$I$733,3,FALSE)*0.001*#REF!*#REF!,IF(VLOOKUP(B509,M!$B$6:$I$733,8,FALSE)="ხმ",VLOOKUP(B509,M!$B$6:$I$733,3,FALSE)*0.001*#REF!*#REF!))))))))),2)</f>
        <v>30.29</v>
      </c>
      <c r="K509" s="31">
        <f t="shared" ref="K509:K511" si="137">ROUND(E509*J509,2)</f>
        <v>5.26</v>
      </c>
      <c r="L509" s="14">
        <f t="shared" si="136"/>
        <v>5.26</v>
      </c>
      <c r="M509" s="23" t="str">
        <f>(IF(ISNUMBER(MATCH(B509,E!$B$6:$B$197,0)),VLOOKUP(B509,E!$B$6:$E$197,4,FALSE),VLOOKUP(B509,M!$B$6:$I$733,7,FALSE)))</f>
        <v>14-299</v>
      </c>
    </row>
    <row r="510" spans="1:13" ht="39.950000000000003" customHeight="1" x14ac:dyDescent="0.25">
      <c r="A510" s="16" t="s">
        <v>673</v>
      </c>
      <c r="B510" s="2" t="s">
        <v>169</v>
      </c>
      <c r="C510" s="2" t="s">
        <v>672</v>
      </c>
      <c r="D510" s="2">
        <v>9.9</v>
      </c>
      <c r="E510" s="14">
        <f>D510*E507/100</f>
        <v>0.29700000000000004</v>
      </c>
      <c r="F510" s="13"/>
      <c r="G510" s="13"/>
      <c r="H510" s="13"/>
      <c r="I510" s="13"/>
      <c r="J510" s="35">
        <f>ROUND(IF(ISNUMBER(MATCH(B510,E!$B$6:$B$197,0)),VLOOKUP(B510,E!$B$6:$E$197,2,FALSE),IF(#REF!="დიახ",IF(VLOOKUP(B510,M!$B$6:$I$733,8,FALSE)="ლ",VLOOKUP(B510,M!$B$6:$I$733,3,FALSE)*0.001*#REF!*#REF!,IF(VLOOKUP(B510,M!$B$6:$I$733,8,FALSE)="მბ",VLOOKUP(B510,M!$B$6:$I$733,3,FALSE)*0.001*#REF!*#REF!,IF(VLOOKUP(B510,M!$B$6:$I$733,8,FALSE)="აბ",VLOOKUP(B510,M!$B$6:$I$733,3,FALSE)*0.001*#REF!*#REF!,IF(VLOOKUP(B510,M!$B$6:$I$733,8,FALSE)="ინ",VLOOKUP(B510,M!$B$6:$I$733,3,FALSE)*0.001*#REF!*#REF!,IF(VLOOKUP(B510,M!$B$6:$I$733,8,FALSE)="ას",VLOOKUP(B510,M!$B$6:$I$733,3,FALSE)*0.001*#REF!*#REF!,IF(VLOOKUP(B510,M!$B$6:$I$733,8,FALSE)="სხ",VLOOKUP(B510,M!$B$6:$I$733,3,FALSE)*0.001*#REF!*#REF!,IF(VLOOKUP(B510,M!$B$6:$I$733,8,FALSE)="ხმ",VLOOKUP(B510,M!$B$6:$I$733,3,FALSE)*0.001*#REF!*#REF!))))))))),2)</f>
        <v>15.06</v>
      </c>
      <c r="K510" s="31">
        <f t="shared" si="137"/>
        <v>4.47</v>
      </c>
      <c r="L510" s="14">
        <f t="shared" si="136"/>
        <v>4.47</v>
      </c>
      <c r="M510" s="23" t="str">
        <f>(IF(ISNUMBER(MATCH(B510,E!$B$6:$B$197,0)),VLOOKUP(B510,E!$B$6:$E$197,4,FALSE),VLOOKUP(B510,M!$B$6:$I$733,7,FALSE)))</f>
        <v>14-43</v>
      </c>
    </row>
    <row r="511" spans="1:13" ht="39.950000000000003" customHeight="1" x14ac:dyDescent="0.25">
      <c r="A511" s="16" t="s">
        <v>675</v>
      </c>
      <c r="B511" s="17" t="s">
        <v>654</v>
      </c>
      <c r="C511" s="2" t="s">
        <v>393</v>
      </c>
      <c r="D511" s="2">
        <v>2.79</v>
      </c>
      <c r="E511" s="14">
        <f>D511*E507/100</f>
        <v>8.3700000000000011E-2</v>
      </c>
      <c r="F511" s="13"/>
      <c r="G511" s="13"/>
      <c r="H511" s="13"/>
      <c r="I511" s="13"/>
      <c r="J511" s="35">
        <f>ROUND(IF(ISNUMBER(MATCH(B511,E!$B$6:$B$197,0)),VLOOKUP(B511,E!$B$6:$E$197,2,FALSE),IF(#REF!="დიახ",IF(VLOOKUP(B511,M!$B$6:$I$733,8,FALSE)="ლ",VLOOKUP(B511,M!$B$6:$I$733,3,FALSE)*0.001*#REF!*#REF!,IF(VLOOKUP(B511,M!$B$6:$I$733,8,FALSE)="მბ",VLOOKUP(B511,M!$B$6:$I$733,3,FALSE)*0.001*#REF!*#REF!,IF(VLOOKUP(B511,M!$B$6:$I$733,8,FALSE)="აბ",VLOOKUP(B511,M!$B$6:$I$733,3,FALSE)*0.001*#REF!*#REF!,IF(VLOOKUP(B511,M!$B$6:$I$733,8,FALSE)="ინ",VLOOKUP(B511,M!$B$6:$I$733,3,FALSE)*0.001*#REF!*#REF!,IF(VLOOKUP(B511,M!$B$6:$I$733,8,FALSE)="ას",VLOOKUP(B511,M!$B$6:$I$733,3,FALSE)*0.001*#REF!*#REF!,IF(VLOOKUP(B511,M!$B$6:$I$733,8,FALSE)="სხ",VLOOKUP(B511,M!$B$6:$I$733,3,FALSE)*0.001*#REF!*#REF!,IF(VLOOKUP(B511,M!$B$6:$I$733,8,FALSE)="ხმ",VLOOKUP(B511,M!$B$6:$I$733,3,FALSE)*0.001*#REF!*#REF!))))))))),2)</f>
        <v>3.2</v>
      </c>
      <c r="K511" s="31">
        <f t="shared" si="137"/>
        <v>0.27</v>
      </c>
      <c r="L511" s="14">
        <f t="shared" si="136"/>
        <v>0.27</v>
      </c>
      <c r="M511" s="23" t="str">
        <f>(IF(ISNUMBER(MATCH(B511,E!$B$6:$B$197,0)),VLOOKUP(B511,E!$B$6:$E$197,4,FALSE),VLOOKUP(B511,M!$B$6:$I$733,7,FALSE)))</f>
        <v>ს.რ.ფ</v>
      </c>
    </row>
    <row r="512" spans="1:13" ht="39.950000000000003" customHeight="1" x14ac:dyDescent="0.25">
      <c r="A512" s="16" t="s">
        <v>695</v>
      </c>
      <c r="B512" s="2" t="s">
        <v>317</v>
      </c>
      <c r="C512" s="2" t="s">
        <v>595</v>
      </c>
      <c r="D512" s="2">
        <v>100</v>
      </c>
      <c r="E512" s="14">
        <f>D512*E507/100</f>
        <v>3</v>
      </c>
      <c r="F512" s="31" t="e">
        <f>ROUND(VLOOKUP(B512,M!$B$6:$H$733,IF(#REF!="დაბალი",4,IF(#REF!="საშუალო",6,IF(#REF!="მაღალი",5))),FALSE),2)</f>
        <v>#REF!</v>
      </c>
      <c r="G512" s="14" t="e">
        <f>ROUND(E512*F512,2)</f>
        <v>#REF!</v>
      </c>
      <c r="H512" s="13"/>
      <c r="I512" s="13"/>
      <c r="J512" s="35" t="e">
        <f>ROUND(IF(ISNUMBER(MATCH(B512,E!$B$6:$B$197,0)),VLOOKUP(B512,E!$B$6:$E$197,2,FALSE),IF(#REF!="დიახ",IF(VLOOKUP(B512,M!$B$6:$I$733,8,FALSE)="ლ",VLOOKUP(B512,M!$B$6:$I$733,3,FALSE)*0.001*#REF!*#REF!,IF(VLOOKUP(B512,M!$B$6:$I$733,8,FALSE)="მბ",VLOOKUP(B512,M!$B$6:$I$733,3,FALSE)*0.001*#REF!*#REF!,IF(VLOOKUP(B512,M!$B$6:$I$733,8,FALSE)="აბ",VLOOKUP(B512,M!$B$6:$I$733,3,FALSE)*0.001*#REF!*#REF!,IF(VLOOKUP(B512,M!$B$6:$I$733,8,FALSE)="ინ",VLOOKUP(B512,M!$B$6:$I$733,3,FALSE)*0.001*#REF!*#REF!,IF(VLOOKUP(B512,M!$B$6:$I$733,8,FALSE)="ას",VLOOKUP(B512,M!$B$6:$I$733,3,FALSE)*0.001*#REF!*#REF!,IF(VLOOKUP(B512,M!$B$6:$I$733,8,FALSE)="სხ",VLOOKUP(B512,M!$B$6:$I$733,3,FALSE)*0.001*#REF!*#REF!,IF(VLOOKUP(B512,M!$B$6:$I$733,8,FALSE)="ხმ",VLOOKUP(B512,M!$B$6:$I$733,3,FALSE)*0.001*#REF!*#REF!))))))))),2)</f>
        <v>#REF!</v>
      </c>
      <c r="K512" s="31"/>
      <c r="L512" s="14" t="e">
        <f t="shared" si="136"/>
        <v>#REF!</v>
      </c>
      <c r="M512" s="23" t="str">
        <f>(IF(ISNUMBER(MATCH(B512,E!$B$6:$B$197,0)),VLOOKUP(B512,E!$B$6:$E$197,4,FALSE),VLOOKUP(B512,M!$B$6:$I$733,7,FALSE)))</f>
        <v>4.1-173</v>
      </c>
    </row>
    <row r="513" spans="1:13" ht="39.950000000000003" customHeight="1" x14ac:dyDescent="0.25">
      <c r="A513" s="16" t="s">
        <v>696</v>
      </c>
      <c r="B513" s="17" t="s">
        <v>677</v>
      </c>
      <c r="C513" s="2" t="s">
        <v>393</v>
      </c>
      <c r="D513" s="2">
        <v>61.4</v>
      </c>
      <c r="E513" s="14">
        <f>D513*E507/100</f>
        <v>1.8419999999999999</v>
      </c>
      <c r="F513" s="31" t="e">
        <f>ROUND(VLOOKUP(B513,M!$B$6:$H$733,IF(#REF!="დაბალი",4,IF(#REF!="საშუალო",6,IF(#REF!="მაღალი",5))),FALSE),2)</f>
        <v>#REF!</v>
      </c>
      <c r="G513" s="14" t="e">
        <f t="shared" ref="G513" si="138">ROUND(E513*F513,2)</f>
        <v>#REF!</v>
      </c>
      <c r="H513" s="13"/>
      <c r="I513" s="13"/>
      <c r="J513" s="31"/>
      <c r="K513" s="31"/>
      <c r="L513" s="14" t="e">
        <f t="shared" si="136"/>
        <v>#REF!</v>
      </c>
      <c r="M513" s="23" t="str">
        <f>(IF(ISNUMBER(MATCH(B513,E!$B$6:$B$197,0)),VLOOKUP(B513,E!$B$6:$E$197,4,FALSE),VLOOKUP(B513,M!$B$6:$I$733,7,FALSE)))</f>
        <v>ს.რ.ფ</v>
      </c>
    </row>
    <row r="514" spans="1:13" s="45" customFormat="1" ht="39.950000000000003" customHeight="1" x14ac:dyDescent="0.25">
      <c r="A514" s="39">
        <v>1.1000000000000001</v>
      </c>
      <c r="B514" s="40" t="s">
        <v>810</v>
      </c>
      <c r="C514" s="41" t="s">
        <v>808</v>
      </c>
      <c r="D514" s="41"/>
      <c r="E514" s="52">
        <v>100</v>
      </c>
      <c r="F514" s="41"/>
      <c r="G514" s="41"/>
      <c r="H514" s="42"/>
      <c r="I514" s="42"/>
      <c r="J514" s="35"/>
      <c r="K514" s="46"/>
      <c r="L514" s="43" t="e">
        <f>SUM(L515:L520)</f>
        <v>#REF!</v>
      </c>
      <c r="M514" s="57" t="s">
        <v>809</v>
      </c>
    </row>
    <row r="515" spans="1:13" ht="39.950000000000003" customHeight="1" x14ac:dyDescent="0.25">
      <c r="A515" s="16" t="s">
        <v>668</v>
      </c>
      <c r="B515" s="17" t="s">
        <v>669</v>
      </c>
      <c r="C515" s="2" t="s">
        <v>670</v>
      </c>
      <c r="D515" s="14">
        <v>397</v>
      </c>
      <c r="E515" s="14">
        <f>D515*E514/100</f>
        <v>397</v>
      </c>
      <c r="F515" s="13"/>
      <c r="G515" s="13"/>
      <c r="H515" s="27">
        <f>IF((ISNUMBER(--LEFT(M514,2))),VLOOKUP(--LEFT(M514,2),N!$A$5:$C$54,3,FALSE),VLOOKUP(--LEFT(M514,1),N!$A$5:$C$54,3,FALSE))</f>
        <v>6</v>
      </c>
      <c r="I515" s="14">
        <f>ROUND(E515*H515,2)</f>
        <v>2382</v>
      </c>
      <c r="J515" s="35"/>
      <c r="K515" s="31"/>
      <c r="L515" s="14">
        <f t="shared" ref="L515:L520" si="139">G515+I515+K515</f>
        <v>2382</v>
      </c>
      <c r="M515" s="23" t="str">
        <f>(IF(ISNUMBER(MATCH(B515,E!$B$6:$B$197,0)),VLOOKUP(B515,E!$B$6:$E$197,4,FALSE),VLOOKUP(B515,M!$B$6:$I$733,7,FALSE)))</f>
        <v>მ.ც</v>
      </c>
    </row>
    <row r="516" spans="1:13" ht="39.950000000000003" customHeight="1" x14ac:dyDescent="0.25">
      <c r="A516" s="16" t="s">
        <v>675</v>
      </c>
      <c r="B516" s="17" t="s">
        <v>266</v>
      </c>
      <c r="C516" s="2" t="s">
        <v>672</v>
      </c>
      <c r="D516" s="2">
        <v>8.74</v>
      </c>
      <c r="E516" s="14">
        <f>D516*E514/100</f>
        <v>8.74</v>
      </c>
      <c r="F516" s="13"/>
      <c r="G516" s="13"/>
      <c r="H516" s="13"/>
      <c r="I516" s="13"/>
      <c r="J516" s="35">
        <f>ROUND(IF(ISNUMBER(MATCH(B516,E!$B$6:$B$197,0)),VLOOKUP(B516,E!$B$6:$E$197,2,FALSE),IF(#REF!="დიახ",IF(VLOOKUP(B516,M!$B$6:$I$733,8,FALSE)="ლ",VLOOKUP(B516,M!$B$6:$I$733,3,FALSE)*0.001*#REF!*#REF!,IF(VLOOKUP(B516,M!$B$6:$I$733,8,FALSE)="მბ",VLOOKUP(B516,M!$B$6:$I$733,3,FALSE)*0.001*#REF!*#REF!,IF(VLOOKUP(B516,M!$B$6:$I$733,8,FALSE)="აბ",VLOOKUP(B516,M!$B$6:$I$733,3,FALSE)*0.001*#REF!*#REF!,IF(VLOOKUP(B516,M!$B$6:$I$733,8,FALSE)="ინ",VLOOKUP(B516,M!$B$6:$I$733,3,FALSE)*0.001*#REF!*#REF!,IF(VLOOKUP(B516,M!$B$6:$I$733,8,FALSE)="ას",VLOOKUP(B516,M!$B$6:$I$733,3,FALSE)*0.001*#REF!*#REF!,IF(VLOOKUP(B516,M!$B$6:$I$733,8,FALSE)="სხ",VLOOKUP(B516,M!$B$6:$I$733,3,FALSE)*0.001*#REF!*#REF!,IF(VLOOKUP(B516,M!$B$6:$I$733,8,FALSE)="ხმ",VLOOKUP(B516,M!$B$6:$I$733,3,FALSE)*0.001*#REF!*#REF!))))))))),2)</f>
        <v>52.87</v>
      </c>
      <c r="K516" s="31">
        <f t="shared" ref="K516" si="140">ROUND(E516*J516,2)</f>
        <v>462.08</v>
      </c>
      <c r="L516" s="14">
        <f t="shared" si="139"/>
        <v>462.08</v>
      </c>
      <c r="M516" s="23" t="str">
        <f>(IF(ISNUMBER(MATCH(B516,E!$B$6:$B$197,0)),VLOOKUP(B516,E!$B$6:$E$197,4,FALSE),VLOOKUP(B516,M!$B$6:$I$733,7,FALSE)))</f>
        <v>14-228</v>
      </c>
    </row>
    <row r="517" spans="1:13" ht="39.950000000000003" customHeight="1" x14ac:dyDescent="0.25">
      <c r="A517" s="16" t="s">
        <v>673</v>
      </c>
      <c r="B517" s="17" t="s">
        <v>654</v>
      </c>
      <c r="C517" s="2" t="s">
        <v>393</v>
      </c>
      <c r="D517" s="14">
        <v>0.51</v>
      </c>
      <c r="E517" s="14">
        <f>D517*E514/100</f>
        <v>0.51</v>
      </c>
      <c r="F517" s="13"/>
      <c r="G517" s="14"/>
      <c r="H517" s="2"/>
      <c r="I517" s="2"/>
      <c r="J517" s="35">
        <f>ROUND(IF(ISNUMBER(MATCH(B517,E!$B$6:$B$197,0)),VLOOKUP(B517,E!$B$6:$E$197,2,FALSE),IF(#REF!="დიახ",IF(VLOOKUP(B517,M!$B$6:$I$733,8,FALSE)="ლ",VLOOKUP(B517,M!$B$6:$I$733,3,FALSE)*0.001*#REF!*#REF!,IF(VLOOKUP(B517,M!$B$6:$I$733,8,FALSE)="მბ",VLOOKUP(B517,M!$B$6:$I$733,3,FALSE)*0.001*#REF!*#REF!,IF(VLOOKUP(B517,M!$B$6:$I$733,8,FALSE)="აბ",VLOOKUP(B517,M!$B$6:$I$733,3,FALSE)*0.001*#REF!*#REF!,IF(VLOOKUP(B517,M!$B$6:$I$733,8,FALSE)="ინ",VLOOKUP(B517,M!$B$6:$I$733,3,FALSE)*0.001*#REF!*#REF!,IF(VLOOKUP(B517,M!$B$6:$I$733,8,FALSE)="ას",VLOOKUP(B517,M!$B$6:$I$733,3,FALSE)*0.001*#REF!*#REF!,IF(VLOOKUP(B517,M!$B$6:$I$733,8,FALSE)="სხ",VLOOKUP(B517,M!$B$6:$I$733,3,FALSE)*0.001*#REF!*#REF!,IF(VLOOKUP(B517,M!$B$6:$I$733,8,FALSE)="ხმ",VLOOKUP(B517,M!$B$6:$I$733,3,FALSE)*0.001*#REF!*#REF!))))))))),2)</f>
        <v>3.2</v>
      </c>
      <c r="K517" s="31">
        <f t="shared" ref="K517:K519" si="141">ROUND(E517*J517,2)</f>
        <v>1.63</v>
      </c>
      <c r="L517" s="14">
        <f t="shared" si="139"/>
        <v>1.63</v>
      </c>
      <c r="M517" s="23" t="str">
        <f>(IF(ISNUMBER(MATCH(B517,E!$B$6:$B$197,0)),VLOOKUP(B517,E!$B$6:$E$197,4,FALSE),VLOOKUP(B517,M!$B$6:$I$733,7,FALSE)))</f>
        <v>ს.რ.ფ</v>
      </c>
    </row>
    <row r="518" spans="1:13" ht="39.950000000000003" customHeight="1" x14ac:dyDescent="0.25">
      <c r="A518" s="16" t="s">
        <v>675</v>
      </c>
      <c r="B518" s="2" t="s">
        <v>800</v>
      </c>
      <c r="C518" s="2" t="s">
        <v>674</v>
      </c>
      <c r="D518" s="14">
        <f>0.325*0.325*1.05</f>
        <v>0.11090625000000001</v>
      </c>
      <c r="E518" s="14">
        <f>D518*E514/100</f>
        <v>0.11090625000000001</v>
      </c>
      <c r="F518" s="31" t="e">
        <f>ROUND(VLOOKUP(B518,M!$B$6:$H$733,IF(#REF!="დაბალი",4,IF(#REF!="საშუალო",6,IF(#REF!="მაღალი",5))),FALSE),2)</f>
        <v>#REF!</v>
      </c>
      <c r="G518" s="14" t="e">
        <f>ROUND(E518*F518,2)</f>
        <v>#REF!</v>
      </c>
      <c r="H518" s="2"/>
      <c r="I518" s="2"/>
      <c r="J518" s="35" t="e">
        <f>ROUND(IF(ISNUMBER(MATCH(B518,E!$B$6:$B$197,0)),VLOOKUP(B518,E!$B$6:$E$197,2,FALSE),IF(#REF!="დიახ",IF(VLOOKUP(B518,M!$B$6:$I$733,8,FALSE)="ლ",VLOOKUP(B518,M!$B$6:$I$733,3,FALSE)*0.001*#REF!*#REF!,IF(VLOOKUP(B518,M!$B$6:$I$733,8,FALSE)="მბ",VLOOKUP(B518,M!$B$6:$I$733,3,FALSE)*0.001*#REF!*#REF!,IF(VLOOKUP(B518,M!$B$6:$I$733,8,FALSE)="აბ",VLOOKUP(B518,M!$B$6:$I$733,3,FALSE)*0.001*#REF!*#REF!,IF(VLOOKUP(B518,M!$B$6:$I$733,8,FALSE)="ინ",VLOOKUP(B518,M!$B$6:$I$733,3,FALSE)*0.001*#REF!*#REF!,IF(VLOOKUP(B518,M!$B$6:$I$733,8,FALSE)="ას",VLOOKUP(B518,M!$B$6:$I$733,3,FALSE)*0.001*#REF!*#REF!,IF(VLOOKUP(B518,M!$B$6:$I$733,8,FALSE)="სხ",VLOOKUP(B518,M!$B$6:$I$733,3,FALSE)*0.001*#REF!*#REF!,IF(VLOOKUP(B518,M!$B$6:$I$733,8,FALSE)="ხმ",VLOOKUP(B518,M!$B$6:$I$733,3,FALSE)*0.001*#REF!*#REF!))))))))),2)</f>
        <v>#REF!</v>
      </c>
      <c r="K518" s="31" t="e">
        <f t="shared" si="141"/>
        <v>#REF!</v>
      </c>
      <c r="L518" s="14" t="e">
        <f t="shared" si="139"/>
        <v>#REF!</v>
      </c>
      <c r="M518" s="23" t="str">
        <f>(IF(ISNUMBER(MATCH(B518,E!$B$6:$B$197,0)),VLOOKUP(B518,E!$B$6:$E$197,4,FALSE),VLOOKUP(B518,M!$B$6:$I$733,7,FALSE)))</f>
        <v>4.1-344</v>
      </c>
    </row>
    <row r="519" spans="1:13" ht="39.950000000000003" customHeight="1" x14ac:dyDescent="0.25">
      <c r="A519" s="16" t="s">
        <v>695</v>
      </c>
      <c r="B519" s="2" t="s">
        <v>582</v>
      </c>
      <c r="C519" s="58" t="s">
        <v>811</v>
      </c>
      <c r="D519" s="2">
        <v>83</v>
      </c>
      <c r="E519" s="14">
        <f>D519*E514/100</f>
        <v>83</v>
      </c>
      <c r="F519" s="31" t="e">
        <f>ROUND(VLOOKUP(B519,M!$B$6:$H$733,IF(#REF!="დაბალი",4,IF(#REF!="საშუალო",6,IF(#REF!="მაღალი",5))),FALSE),2)</f>
        <v>#REF!</v>
      </c>
      <c r="G519" s="14" t="e">
        <f>ROUND(E519*F519,2)</f>
        <v>#REF!</v>
      </c>
      <c r="H519" s="13"/>
      <c r="I519" s="13"/>
      <c r="J519" s="35" t="e">
        <f>ROUND(IF(ISNUMBER(MATCH(B519,E!$B$6:$B$197,0)),VLOOKUP(B519,E!$B$6:$E$197,2,FALSE),IF(#REF!="დიახ",IF(VLOOKUP(B519,M!$B$6:$I$733,8,FALSE)="ლ",VLOOKUP(B519,M!$B$6:$I$733,3,FALSE)*0.001*#REF!*#REF!,IF(VLOOKUP(B519,M!$B$6:$I$733,8,FALSE)="მბ",VLOOKUP(B519,M!$B$6:$I$733,3,FALSE)*0.001*#REF!*#REF!,IF(VLOOKUP(B519,M!$B$6:$I$733,8,FALSE)="აბ",VLOOKUP(B519,M!$B$6:$I$733,3,FALSE)*0.001*#REF!*#REF!,IF(VLOOKUP(B519,M!$B$6:$I$733,8,FALSE)="ინ",VLOOKUP(B519,M!$B$6:$I$733,3,FALSE)*0.001*#REF!*#REF!,IF(VLOOKUP(B519,M!$B$6:$I$733,8,FALSE)="ას",VLOOKUP(B519,M!$B$6:$I$733,3,FALSE)*0.001*#REF!*#REF!,IF(VLOOKUP(B519,M!$B$6:$I$733,8,FALSE)="სხ",VLOOKUP(B519,M!$B$6:$I$733,3,FALSE)*0.001*#REF!*#REF!,IF(VLOOKUP(B519,M!$B$6:$I$733,8,FALSE)="ხმ",VLOOKUP(B519,M!$B$6:$I$733,3,FALSE)*0.001*#REF!*#REF!))))))))),2)</f>
        <v>#REF!</v>
      </c>
      <c r="K519" s="31" t="e">
        <f t="shared" si="141"/>
        <v>#REF!</v>
      </c>
      <c r="L519" s="14" t="e">
        <f t="shared" si="139"/>
        <v>#REF!</v>
      </c>
      <c r="M519" s="23" t="str">
        <f>(IF(ISNUMBER(MATCH(B519,E!$B$6:$B$197,0)),VLOOKUP(B519,E!$B$6:$E$197,4,FALSE),VLOOKUP(B519,M!$B$6:$I$733,7,FALSE)))</f>
        <v>5.1-138</v>
      </c>
    </row>
    <row r="520" spans="1:13" ht="39.950000000000003" customHeight="1" x14ac:dyDescent="0.25">
      <c r="A520" s="16" t="s">
        <v>696</v>
      </c>
      <c r="B520" s="17" t="s">
        <v>677</v>
      </c>
      <c r="C520" s="2" t="s">
        <v>393</v>
      </c>
      <c r="D520" s="2">
        <v>53.9</v>
      </c>
      <c r="E520" s="14">
        <f>D520*E514/100</f>
        <v>53.9</v>
      </c>
      <c r="F520" s="31" t="e">
        <f>ROUND(VLOOKUP(B520,M!$B$6:$H$733,IF(#REF!="დაბალი",4,IF(#REF!="საშუალო",6,IF(#REF!="მაღალი",5))),FALSE),2)</f>
        <v>#REF!</v>
      </c>
      <c r="G520" s="14" t="e">
        <f>ROUND(E520*F520,2)</f>
        <v>#REF!</v>
      </c>
      <c r="H520" s="2"/>
      <c r="I520" s="2"/>
      <c r="J520" s="35" t="e">
        <f>ROUND(IF(ISNUMBER(MATCH(B520,E!$B$6:$B$197,0)),VLOOKUP(B520,E!$B$6:$E$197,2,FALSE),IF(#REF!="დიახ",IF(VLOOKUP(B520,M!$B$6:$I$733,8,FALSE)="ლ",VLOOKUP(B520,M!$B$6:$I$733,3,FALSE)*0.001*#REF!*#REF!,IF(VLOOKUP(B520,M!$B$6:$I$733,8,FALSE)="მბ",VLOOKUP(B520,M!$B$6:$I$733,3,FALSE)*0.001*#REF!*#REF!,IF(VLOOKUP(B520,M!$B$6:$I$733,8,FALSE)="აბ",VLOOKUP(B520,M!$B$6:$I$733,3,FALSE)*0.001*#REF!*#REF!,IF(VLOOKUP(B520,M!$B$6:$I$733,8,FALSE)="ინ",VLOOKUP(B520,M!$B$6:$I$733,3,FALSE)*0.001*#REF!*#REF!,IF(VLOOKUP(B520,M!$B$6:$I$733,8,FALSE)="ას",VLOOKUP(B520,M!$B$6:$I$733,3,FALSE)*0.001*#REF!*#REF!,IF(VLOOKUP(B520,M!$B$6:$I$733,8,FALSE)="სხ",VLOOKUP(B520,M!$B$6:$I$733,3,FALSE)*0.001*#REF!*#REF!,IF(VLOOKUP(B520,M!$B$6:$I$733,8,FALSE)="ხმ",VLOOKUP(B520,M!$B$6:$I$733,3,FALSE)*0.001*#REF!*#REF!))))))))),2)</f>
        <v>#REF!</v>
      </c>
      <c r="K520" s="31"/>
      <c r="L520" s="14" t="e">
        <f t="shared" si="139"/>
        <v>#REF!</v>
      </c>
      <c r="M520" s="23" t="str">
        <f>(IF(ISNUMBER(MATCH(B520,E!$B$6:$B$197,0)),VLOOKUP(B520,E!$B$6:$E$197,4,FALSE),VLOOKUP(B520,M!$B$6:$I$733,7,FALSE)))</f>
        <v>ს.რ.ფ</v>
      </c>
    </row>
    <row r="521" spans="1:13" s="45" customFormat="1" ht="39.950000000000003" customHeight="1" x14ac:dyDescent="0.25">
      <c r="A521" s="39">
        <v>1.1000000000000001</v>
      </c>
      <c r="B521" s="121" t="s">
        <v>1112</v>
      </c>
      <c r="C521" s="122" t="s">
        <v>808</v>
      </c>
      <c r="D521" s="123"/>
      <c r="E521" s="52">
        <v>100</v>
      </c>
      <c r="F521" s="123"/>
      <c r="G521" s="93"/>
      <c r="H521" s="123"/>
      <c r="I521" s="94"/>
      <c r="J521" s="123"/>
      <c r="K521" s="93"/>
      <c r="L521" s="43" t="e">
        <f>SUM(L522:L529)</f>
        <v>#REF!</v>
      </c>
      <c r="M521" s="124" t="s">
        <v>1113</v>
      </c>
    </row>
    <row r="522" spans="1:13" ht="39.950000000000003" customHeight="1" x14ac:dyDescent="0.25">
      <c r="A522" s="16" t="s">
        <v>668</v>
      </c>
      <c r="B522" s="17" t="s">
        <v>669</v>
      </c>
      <c r="C522" s="2" t="s">
        <v>670</v>
      </c>
      <c r="D522" s="117">
        <v>65.5</v>
      </c>
      <c r="E522" s="14">
        <f>D522*E521/100</f>
        <v>65.5</v>
      </c>
      <c r="F522" s="117"/>
      <c r="G522" s="89"/>
      <c r="H522" s="27">
        <f>IF((ISNUMBER(--LEFT(M521,2))),VLOOKUP(--LEFT(M521,2),N!$A$5:$C$54,3,FALSE),VLOOKUP(--LEFT(M521,1),N!$A$5:$C$54,3,FALSE))</f>
        <v>6</v>
      </c>
      <c r="I522" s="90">
        <f t="shared" ref="I522" si="142">H522*E522</f>
        <v>393</v>
      </c>
      <c r="J522" s="117"/>
      <c r="K522" s="89"/>
      <c r="L522" s="120">
        <f t="shared" ref="L522:L529" si="143">K522+I522+G522</f>
        <v>393</v>
      </c>
      <c r="M522" s="23" t="str">
        <f>(IF(ISNUMBER(MATCH(B522,E!$B$6:$B$197,0)),VLOOKUP(B522,E!$B$6:$E$197,4,FALSE),VLOOKUP(B522,M!$B$6:$I$733,7,FALSE)))</f>
        <v>მ.ც</v>
      </c>
    </row>
    <row r="523" spans="1:13" ht="39.950000000000003" customHeight="1" x14ac:dyDescent="0.25">
      <c r="A523" s="16" t="s">
        <v>671</v>
      </c>
      <c r="B523" s="17" t="s">
        <v>867</v>
      </c>
      <c r="C523" s="2" t="s">
        <v>672</v>
      </c>
      <c r="D523" s="117">
        <v>4.67</v>
      </c>
      <c r="E523" s="14">
        <f>D523*E521/100</f>
        <v>4.67</v>
      </c>
      <c r="F523" s="117"/>
      <c r="G523" s="89"/>
      <c r="H523" s="117"/>
      <c r="I523" s="90"/>
      <c r="J523" s="35">
        <f>ROUND(IF(ISNUMBER(MATCH(B523,E!$B$6:$B$197,0)),VLOOKUP(B523,E!$B$6:$E$197,2,FALSE),IF(#REF!="დიახ",IF(VLOOKUP(B523,M!$B$6:$I$733,8,FALSE)="ლ",VLOOKUP(B523,M!$B$6:$I$733,3,FALSE)*0.001*#REF!*#REF!,IF(VLOOKUP(B523,M!$B$6:$I$733,8,FALSE)="მბ",VLOOKUP(B523,M!$B$6:$I$733,3,FALSE)*0.001*#REF!*#REF!,IF(VLOOKUP(B523,M!$B$6:$I$733,8,FALSE)="აბ",VLOOKUP(B523,M!$B$6:$I$733,3,FALSE)*0.001*#REF!*#REF!,IF(VLOOKUP(B523,M!$B$6:$I$733,8,FALSE)="ინ",VLOOKUP(B523,M!$B$6:$I$733,3,FALSE)*0.001*#REF!*#REF!,IF(VLOOKUP(B523,M!$B$6:$I$733,8,FALSE)="ას",VLOOKUP(B523,M!$B$6:$I$733,3,FALSE)*0.001*#REF!*#REF!,IF(VLOOKUP(B523,M!$B$6:$I$733,8,FALSE)="სხ",VLOOKUP(B523,M!$B$6:$I$733,3,FALSE)*0.001*#REF!*#REF!,IF(VLOOKUP(B523,M!$B$6:$I$733,8,FALSE)="ხმ",VLOOKUP(B523,M!$B$6:$I$733,3,FALSE)*0.001*#REF!*#REF!))))))))),2)</f>
        <v>30.29</v>
      </c>
      <c r="K523" s="89">
        <f t="shared" ref="K523:K525" si="144">J523*E523</f>
        <v>141.45429999999999</v>
      </c>
      <c r="L523" s="120">
        <f t="shared" si="143"/>
        <v>141.45429999999999</v>
      </c>
      <c r="M523" s="23" t="str">
        <f>(IF(ISNUMBER(MATCH(B523,E!$B$6:$B$197,0)),VLOOKUP(B523,E!$B$6:$E$197,4,FALSE),VLOOKUP(B523,M!$B$6:$I$733,7,FALSE)))</f>
        <v>14-299</v>
      </c>
    </row>
    <row r="524" spans="1:13" ht="39.950000000000003" customHeight="1" x14ac:dyDescent="0.25">
      <c r="A524" s="16" t="s">
        <v>673</v>
      </c>
      <c r="B524" s="2" t="s">
        <v>169</v>
      </c>
      <c r="C524" s="2" t="s">
        <v>672</v>
      </c>
      <c r="D524" s="117">
        <v>4.29</v>
      </c>
      <c r="E524" s="14">
        <f>D524*E521/100</f>
        <v>4.29</v>
      </c>
      <c r="F524" s="117"/>
      <c r="G524" s="89"/>
      <c r="H524" s="117"/>
      <c r="I524" s="90"/>
      <c r="J524" s="35">
        <f>ROUND(IF(ISNUMBER(MATCH(B524,E!$B$6:$B$197,0)),VLOOKUP(B524,E!$B$6:$E$197,2,FALSE),IF(#REF!="დიახ",IF(VLOOKUP(B524,M!$B$6:$I$733,8,FALSE)="ლ",VLOOKUP(B524,M!$B$6:$I$733,3,FALSE)*0.001*#REF!*#REF!,IF(VLOOKUP(B524,M!$B$6:$I$733,8,FALSE)="მბ",VLOOKUP(B524,M!$B$6:$I$733,3,FALSE)*0.001*#REF!*#REF!,IF(VLOOKUP(B524,M!$B$6:$I$733,8,FALSE)="აბ",VLOOKUP(B524,M!$B$6:$I$733,3,FALSE)*0.001*#REF!*#REF!,IF(VLOOKUP(B524,M!$B$6:$I$733,8,FALSE)="ინ",VLOOKUP(B524,M!$B$6:$I$733,3,FALSE)*0.001*#REF!*#REF!,IF(VLOOKUP(B524,M!$B$6:$I$733,8,FALSE)="ას",VLOOKUP(B524,M!$B$6:$I$733,3,FALSE)*0.001*#REF!*#REF!,IF(VLOOKUP(B524,M!$B$6:$I$733,8,FALSE)="სხ",VLOOKUP(B524,M!$B$6:$I$733,3,FALSE)*0.001*#REF!*#REF!,IF(VLOOKUP(B524,M!$B$6:$I$733,8,FALSE)="ხმ",VLOOKUP(B524,M!$B$6:$I$733,3,FALSE)*0.001*#REF!*#REF!))))))))),2)</f>
        <v>15.06</v>
      </c>
      <c r="K524" s="89">
        <f t="shared" si="144"/>
        <v>64.607399999999998</v>
      </c>
      <c r="L524" s="120">
        <f t="shared" si="143"/>
        <v>64.607399999999998</v>
      </c>
      <c r="M524" s="23" t="str">
        <f>(IF(ISNUMBER(MATCH(B524,E!$B$6:$B$197,0)),VLOOKUP(B524,E!$B$6:$E$197,4,FALSE),VLOOKUP(B524,M!$B$6:$I$733,7,FALSE)))</f>
        <v>14-43</v>
      </c>
    </row>
    <row r="525" spans="1:13" ht="39.950000000000003" customHeight="1" x14ac:dyDescent="0.25">
      <c r="A525" s="16" t="s">
        <v>675</v>
      </c>
      <c r="B525" s="119" t="s">
        <v>654</v>
      </c>
      <c r="C525" s="2" t="s">
        <v>393</v>
      </c>
      <c r="D525" s="117">
        <v>0.44</v>
      </c>
      <c r="E525" s="14">
        <f>D525*E521/100</f>
        <v>0.44</v>
      </c>
      <c r="F525" s="117"/>
      <c r="G525" s="89"/>
      <c r="H525" s="117"/>
      <c r="I525" s="90"/>
      <c r="J525" s="35">
        <f>ROUND(IF(ISNUMBER(MATCH(B525,E!$B$6:$B$197,0)),VLOOKUP(B525,E!$B$6:$E$197,2,FALSE),IF(#REF!="დიახ",IF(VLOOKUP(B525,M!$B$6:$I$733,8,FALSE)="ლ",VLOOKUP(B525,M!$B$6:$I$733,3,FALSE)*0.001*#REF!*#REF!,IF(VLOOKUP(B525,M!$B$6:$I$733,8,FALSE)="მბ",VLOOKUP(B525,M!$B$6:$I$733,3,FALSE)*0.001*#REF!*#REF!,IF(VLOOKUP(B525,M!$B$6:$I$733,8,FALSE)="აბ",VLOOKUP(B525,M!$B$6:$I$733,3,FALSE)*0.001*#REF!*#REF!,IF(VLOOKUP(B525,M!$B$6:$I$733,8,FALSE)="ინ",VLOOKUP(B525,M!$B$6:$I$733,3,FALSE)*0.001*#REF!*#REF!,IF(VLOOKUP(B525,M!$B$6:$I$733,8,FALSE)="ას",VLOOKUP(B525,M!$B$6:$I$733,3,FALSE)*0.001*#REF!*#REF!,IF(VLOOKUP(B525,M!$B$6:$I$733,8,FALSE)="სხ",VLOOKUP(B525,M!$B$6:$I$733,3,FALSE)*0.001*#REF!*#REF!,IF(VLOOKUP(B525,M!$B$6:$I$733,8,FALSE)="ხმ",VLOOKUP(B525,M!$B$6:$I$733,3,FALSE)*0.001*#REF!*#REF!))))))))),2)</f>
        <v>3.2</v>
      </c>
      <c r="K525" s="89">
        <f t="shared" si="144"/>
        <v>1.4080000000000001</v>
      </c>
      <c r="L525" s="120">
        <f t="shared" si="143"/>
        <v>1.4080000000000001</v>
      </c>
      <c r="M525" s="23" t="str">
        <f>(IF(ISNUMBER(MATCH(B525,E!$B$6:$B$197,0)),VLOOKUP(B525,E!$B$6:$E$197,4,FALSE),VLOOKUP(B525,M!$B$6:$I$733,7,FALSE)))</f>
        <v>ს.რ.ფ</v>
      </c>
    </row>
    <row r="526" spans="1:13" ht="39.950000000000003" customHeight="1" x14ac:dyDescent="0.25">
      <c r="A526" s="16" t="s">
        <v>695</v>
      </c>
      <c r="B526" s="119" t="s">
        <v>566</v>
      </c>
      <c r="C526" s="2" t="s">
        <v>674</v>
      </c>
      <c r="D526" s="117">
        <v>1.3</v>
      </c>
      <c r="E526" s="14">
        <f>D526*E521/100</f>
        <v>1.3</v>
      </c>
      <c r="F526" s="31" t="e">
        <f>ROUND(VLOOKUP(B526,M!$B$6:$H$733,IF(#REF!="დაბალი",4,IF(#REF!="საშუალო",6,IF(#REF!="მაღალი",5))),FALSE),2)</f>
        <v>#REF!</v>
      </c>
      <c r="G526" s="14" t="e">
        <f>ROUND(E526*F526,2)</f>
        <v>#REF!</v>
      </c>
      <c r="H526" s="117"/>
      <c r="I526" s="90"/>
      <c r="J526" s="35" t="e">
        <f>ROUND(IF(ISNUMBER(MATCH(B526,E!$B$6:$B$197,0)),VLOOKUP(B526,E!$B$6:$E$197,2,FALSE),IF(#REF!="დიახ",IF(VLOOKUP(B526,M!$B$6:$I$733,8,FALSE)="ლ",VLOOKUP(B526,M!$B$6:$I$733,3,FALSE)*0.001*#REF!*#REF!,IF(VLOOKUP(B526,M!$B$6:$I$733,8,FALSE)="მბ",VLOOKUP(B526,M!$B$6:$I$733,3,FALSE)*0.001*#REF!*#REF!,IF(VLOOKUP(B526,M!$B$6:$I$733,8,FALSE)="აბ",VLOOKUP(B526,M!$B$6:$I$733,3,FALSE)*0.001*#REF!*#REF!,IF(VLOOKUP(B526,M!$B$6:$I$733,8,FALSE)="ინ",VLOOKUP(B526,M!$B$6:$I$733,3,FALSE)*0.001*#REF!*#REF!,IF(VLOOKUP(B526,M!$B$6:$I$733,8,FALSE)="ას",VLOOKUP(B526,M!$B$6:$I$733,3,FALSE)*0.001*#REF!*#REF!,IF(VLOOKUP(B526,M!$B$6:$I$733,8,FALSE)="სხ",VLOOKUP(B526,M!$B$6:$I$733,3,FALSE)*0.001*#REF!*#REF!,IF(VLOOKUP(B526,M!$B$6:$I$733,8,FALSE)="ხმ",VLOOKUP(B526,M!$B$6:$I$733,3,FALSE)*0.001*#REF!*#REF!))))))))),2)</f>
        <v>#REF!</v>
      </c>
      <c r="K526" s="89" t="e">
        <f t="shared" ref="K526:K528" si="145">J526*E526</f>
        <v>#REF!</v>
      </c>
      <c r="L526" s="120" t="e">
        <f t="shared" si="143"/>
        <v>#REF!</v>
      </c>
      <c r="M526" s="23" t="str">
        <f>(IF(ISNUMBER(MATCH(B526,E!$B$6:$B$197,0)),VLOOKUP(B526,E!$B$6:$E$197,4,FALSE),VLOOKUP(B526,M!$B$6:$I$733,7,FALSE)))</f>
        <v>5.1-37</v>
      </c>
    </row>
    <row r="527" spans="1:13" ht="39.950000000000003" customHeight="1" x14ac:dyDescent="0.25">
      <c r="A527" s="16" t="s">
        <v>696</v>
      </c>
      <c r="B527" s="2" t="s">
        <v>108</v>
      </c>
      <c r="C527" s="2" t="s">
        <v>1114</v>
      </c>
      <c r="D527" s="117">
        <v>147</v>
      </c>
      <c r="E527" s="14">
        <f>D527*E521/100</f>
        <v>147</v>
      </c>
      <c r="F527" s="31" t="e">
        <f>ROUND(VLOOKUP(B527,M!$B$6:$H$733,IF(#REF!="დაბალი",4,IF(#REF!="საშუალო",6,IF(#REF!="მაღალი",5))),FALSE),2)</f>
        <v>#REF!</v>
      </c>
      <c r="G527" s="14" t="e">
        <f>ROUND(E527*F527,2)</f>
        <v>#REF!</v>
      </c>
      <c r="H527" s="117"/>
      <c r="I527" s="90"/>
      <c r="J527" s="35"/>
      <c r="K527" s="89"/>
      <c r="L527" s="120" t="e">
        <f t="shared" si="143"/>
        <v>#REF!</v>
      </c>
      <c r="M527" s="23" t="str">
        <f>(IF(ISNUMBER(MATCH(B527,E!$B$6:$B$197,0)),VLOOKUP(B527,E!$B$6:$E$197,4,FALSE),VLOOKUP(B527,M!$B$6:$I$733,7,FALSE)))</f>
        <v>1.9-10</v>
      </c>
    </row>
    <row r="528" spans="1:13" ht="39.950000000000003" customHeight="1" x14ac:dyDescent="0.25">
      <c r="A528" s="16" t="s">
        <v>733</v>
      </c>
      <c r="B528" s="2" t="s">
        <v>27</v>
      </c>
      <c r="C528" s="116" t="s">
        <v>28</v>
      </c>
      <c r="D528" s="117">
        <v>3.8</v>
      </c>
      <c r="E528" s="118">
        <f>E521*D528/100</f>
        <v>3.8</v>
      </c>
      <c r="F528" s="31" t="e">
        <f>ROUND(VLOOKUP(B528,M!$B$6:$H$733,IF(#REF!="დაბალი",4,IF(#REF!="საშუალო",6,IF(#REF!="მაღალი",5))),FALSE),2)</f>
        <v>#REF!</v>
      </c>
      <c r="G528" s="14" t="e">
        <f>ROUND(E528*F528,2)</f>
        <v>#REF!</v>
      </c>
      <c r="H528" s="117"/>
      <c r="I528" s="90"/>
      <c r="J528" s="35" t="e">
        <f>ROUND(IF(ISNUMBER(MATCH(B528,E!$B$6:$B$197,0)),VLOOKUP(B528,E!$B$6:$E$197,2,FALSE),IF(#REF!="დიახ",IF(VLOOKUP(B528,M!$B$6:$I$733,8,FALSE)="ლ",VLOOKUP(B528,M!$B$6:$I$733,3,FALSE)*0.001*#REF!*#REF!,IF(VLOOKUP(B528,M!$B$6:$I$733,8,FALSE)="მბ",VLOOKUP(B528,M!$B$6:$I$733,3,FALSE)*0.001*#REF!*#REF!,IF(VLOOKUP(B528,M!$B$6:$I$733,8,FALSE)="აბ",VLOOKUP(B528,M!$B$6:$I$733,3,FALSE)*0.001*#REF!*#REF!,IF(VLOOKUP(B528,M!$B$6:$I$733,8,FALSE)="ინ",VLOOKUP(B528,M!$B$6:$I$733,3,FALSE)*0.001*#REF!*#REF!,IF(VLOOKUP(B528,M!$B$6:$I$733,8,FALSE)="ას",VLOOKUP(B528,M!$B$6:$I$733,3,FALSE)*0.001*#REF!*#REF!,IF(VLOOKUP(B528,M!$B$6:$I$733,8,FALSE)="სხ",VLOOKUP(B528,M!$B$6:$I$733,3,FALSE)*0.001*#REF!*#REF!,IF(VLOOKUP(B528,M!$B$6:$I$733,8,FALSE)="ხმ",VLOOKUP(B528,M!$B$6:$I$733,3,FALSE)*0.001*#REF!*#REF!))))))))),2)</f>
        <v>#REF!</v>
      </c>
      <c r="K528" s="89" t="e">
        <f t="shared" si="145"/>
        <v>#REF!</v>
      </c>
      <c r="L528" s="120" t="e">
        <f t="shared" si="143"/>
        <v>#REF!</v>
      </c>
      <c r="M528" s="23" t="str">
        <f>(IF(ISNUMBER(MATCH(B528,E!$B$6:$B$197,0)),VLOOKUP(B528,E!$B$6:$E$197,4,FALSE),VLOOKUP(B528,M!$B$6:$I$733,7,FALSE)))</f>
        <v>1.1-35</v>
      </c>
    </row>
    <row r="529" spans="1:13" ht="39.950000000000003" customHeight="1" x14ac:dyDescent="0.25">
      <c r="A529" s="16" t="s">
        <v>734</v>
      </c>
      <c r="B529" s="119" t="s">
        <v>677</v>
      </c>
      <c r="C529" s="2" t="s">
        <v>393</v>
      </c>
      <c r="D529" s="117">
        <v>41.3</v>
      </c>
      <c r="E529" s="118">
        <f>E521*D529/100</f>
        <v>41.3</v>
      </c>
      <c r="F529" s="31" t="e">
        <f>ROUND(VLOOKUP(B529,M!$B$6:$H$733,IF(#REF!="დაბალი",4,IF(#REF!="საშუალო",6,IF(#REF!="მაღალი",5))),FALSE),2)</f>
        <v>#REF!</v>
      </c>
      <c r="G529" s="14" t="e">
        <f>ROUND(E529*F529,2)</f>
        <v>#REF!</v>
      </c>
      <c r="H529" s="117"/>
      <c r="I529" s="90"/>
      <c r="J529" s="35"/>
      <c r="K529" s="89"/>
      <c r="L529" s="120" t="e">
        <f t="shared" si="143"/>
        <v>#REF!</v>
      </c>
      <c r="M529" s="23" t="str">
        <f>(IF(ISNUMBER(MATCH(B529,E!$B$6:$B$197,0)),VLOOKUP(B529,E!$B$6:$E$197,4,FALSE),VLOOKUP(B529,M!$B$6:$I$733,7,FALSE)))</f>
        <v>ს.რ.ფ</v>
      </c>
    </row>
    <row r="530" spans="1:13" s="45" customFormat="1" ht="39.950000000000003" customHeight="1" x14ac:dyDescent="0.25">
      <c r="A530" s="39">
        <v>1.1000000000000001</v>
      </c>
      <c r="B530" s="40" t="s">
        <v>740</v>
      </c>
      <c r="C530" s="41" t="s">
        <v>741</v>
      </c>
      <c r="D530" s="41"/>
      <c r="E530" s="52">
        <v>100</v>
      </c>
      <c r="F530" s="42"/>
      <c r="G530" s="42"/>
      <c r="H530" s="42"/>
      <c r="I530" s="42"/>
      <c r="J530" s="35"/>
      <c r="K530" s="46"/>
      <c r="L530" s="43" t="e">
        <f>SUM(L531:L535)</f>
        <v>#REF!</v>
      </c>
      <c r="M530" s="57" t="s">
        <v>745</v>
      </c>
    </row>
    <row r="531" spans="1:13" ht="39.950000000000003" customHeight="1" x14ac:dyDescent="0.25">
      <c r="A531" s="16" t="s">
        <v>668</v>
      </c>
      <c r="B531" s="17" t="s">
        <v>669</v>
      </c>
      <c r="C531" s="2" t="s">
        <v>670</v>
      </c>
      <c r="D531" s="2">
        <v>1.7430000000000001</v>
      </c>
      <c r="E531" s="14">
        <f>D531*E530/100</f>
        <v>1.7430000000000001</v>
      </c>
      <c r="F531" s="13"/>
      <c r="G531" s="13"/>
      <c r="H531" s="27">
        <f>IF((ISNUMBER(--LEFT(M530,2))),VLOOKUP(--LEFT(M530,2),N!$A$5:$C$54,3,FALSE),VLOOKUP(--LEFT(M530,1),N!$A$5:$C$54,3,FALSE))</f>
        <v>6</v>
      </c>
      <c r="I531" s="14">
        <f>ROUND(E531*H531,2)</f>
        <v>10.46</v>
      </c>
      <c r="J531" s="35">
        <f>ROUND(IF(ISNUMBER(MATCH(B531,E!$B$6:$B$197,0)),VLOOKUP(B531,E!$B$6:$E$197,2,FALSE),IF(#REF!="დიახ",IF(VLOOKUP(B531,M!$B$6:$I$733,8,FALSE)="ლ",VLOOKUP(B531,M!$B$6:$I$733,3,FALSE)*0.001*#REF!*#REF!,IF(VLOOKUP(B531,M!$B$6:$I$733,8,FALSE)="მბ",VLOOKUP(B531,M!$B$6:$I$733,3,FALSE)*0.001*#REF!*#REF!,IF(VLOOKUP(B531,M!$B$6:$I$733,8,FALSE)="აბ",VLOOKUP(B531,M!$B$6:$I$733,3,FALSE)*0.001*#REF!*#REF!,IF(VLOOKUP(B531,M!$B$6:$I$733,8,FALSE)="ინ",VLOOKUP(B531,M!$B$6:$I$733,3,FALSE)*0.001*#REF!*#REF!,IF(VLOOKUP(B531,M!$B$6:$I$733,8,FALSE)="ას",VLOOKUP(B531,M!$B$6:$I$733,3,FALSE)*0.001*#REF!*#REF!,IF(VLOOKUP(B531,M!$B$6:$I$733,8,FALSE)="სხ",VLOOKUP(B531,M!$B$6:$I$733,3,FALSE)*0.001*#REF!*#REF!,IF(VLOOKUP(B531,M!$B$6:$I$733,8,FALSE)="ხმ",VLOOKUP(B531,M!$B$6:$I$733,3,FALSE)*0.001*#REF!*#REF!))))))))),2)</f>
        <v>0</v>
      </c>
      <c r="K531" s="31"/>
      <c r="L531" s="14">
        <f>G531+I531+K531</f>
        <v>10.46</v>
      </c>
      <c r="M531" s="23" t="str">
        <f>(IF(ISNUMBER(MATCH(B531,E!$B$6:$B$197,0)),VLOOKUP(B531,E!$B$6:$E$197,4,FALSE),VLOOKUP(B531,M!$B$6:$I$733,7,FALSE)))</f>
        <v>მ.ც</v>
      </c>
    </row>
    <row r="532" spans="1:13" ht="39.950000000000003" customHeight="1" x14ac:dyDescent="0.25">
      <c r="A532" s="16" t="s">
        <v>671</v>
      </c>
      <c r="B532" s="17" t="s">
        <v>266</v>
      </c>
      <c r="C532" s="2" t="s">
        <v>672</v>
      </c>
      <c r="D532" s="2">
        <v>0.91</v>
      </c>
      <c r="E532" s="14">
        <f>D532*E530/100</f>
        <v>0.91</v>
      </c>
      <c r="F532" s="13"/>
      <c r="G532" s="13"/>
      <c r="H532" s="13"/>
      <c r="I532" s="13"/>
      <c r="J532" s="35">
        <f>ROUND(IF(ISNUMBER(MATCH(B532,E!$B$6:$B$197,0)),VLOOKUP(B532,E!$B$6:$E$197,2,FALSE),IF(#REF!="დიახ",IF(VLOOKUP(B532,M!$B$6:$I$733,8,FALSE)="ლ",VLOOKUP(B532,M!$B$6:$I$733,3,FALSE)*0.001*#REF!*#REF!,IF(VLOOKUP(B532,M!$B$6:$I$733,8,FALSE)="მბ",VLOOKUP(B532,M!$B$6:$I$733,3,FALSE)*0.001*#REF!*#REF!,IF(VLOOKUP(B532,M!$B$6:$I$733,8,FALSE)="აბ",VLOOKUP(B532,M!$B$6:$I$733,3,FALSE)*0.001*#REF!*#REF!,IF(VLOOKUP(B532,M!$B$6:$I$733,8,FALSE)="ინ",VLOOKUP(B532,M!$B$6:$I$733,3,FALSE)*0.001*#REF!*#REF!,IF(VLOOKUP(B532,M!$B$6:$I$733,8,FALSE)="ას",VLOOKUP(B532,M!$B$6:$I$733,3,FALSE)*0.001*#REF!*#REF!,IF(VLOOKUP(B532,M!$B$6:$I$733,8,FALSE)="სხ",VLOOKUP(B532,M!$B$6:$I$733,3,FALSE)*0.001*#REF!*#REF!,IF(VLOOKUP(B532,M!$B$6:$I$733,8,FALSE)="ხმ",VLOOKUP(B532,M!$B$6:$I$733,3,FALSE)*0.001*#REF!*#REF!))))))))),2)</f>
        <v>52.87</v>
      </c>
      <c r="K532" s="31">
        <f>ROUND(E532*J532,2)</f>
        <v>48.11</v>
      </c>
      <c r="L532" s="14">
        <f>G532+I532+K532</f>
        <v>48.11</v>
      </c>
      <c r="M532" s="23" t="str">
        <f>(IF(ISNUMBER(MATCH(B532,E!$B$6:$B$197,0)),VLOOKUP(B532,E!$B$6:$E$197,4,FALSE),VLOOKUP(B532,M!$B$6:$I$733,7,FALSE)))</f>
        <v>14-228</v>
      </c>
    </row>
    <row r="533" spans="1:13" ht="39.950000000000003" customHeight="1" x14ac:dyDescent="0.25">
      <c r="A533" s="16" t="s">
        <v>673</v>
      </c>
      <c r="B533" s="17" t="s">
        <v>270</v>
      </c>
      <c r="C533" s="2" t="s">
        <v>672</v>
      </c>
      <c r="D533" s="2">
        <v>0.91</v>
      </c>
      <c r="E533" s="14">
        <f>D533*E530/100</f>
        <v>0.91</v>
      </c>
      <c r="F533" s="13"/>
      <c r="G533" s="13"/>
      <c r="H533" s="13"/>
      <c r="I533" s="13"/>
      <c r="J533" s="35">
        <f>ROUND(IF(ISNUMBER(MATCH(B533,E!$B$6:$B$197,0)),VLOOKUP(B533,E!$B$6:$E$197,2,FALSE),IF(#REF!="დიახ",IF(VLOOKUP(B533,M!$B$6:$I$733,8,FALSE)="ლ",VLOOKUP(B533,M!$B$6:$I$733,3,FALSE)*0.001*#REF!*#REF!,IF(VLOOKUP(B533,M!$B$6:$I$733,8,FALSE)="მბ",VLOOKUP(B533,M!$B$6:$I$733,3,FALSE)*0.001*#REF!*#REF!,IF(VLOOKUP(B533,M!$B$6:$I$733,8,FALSE)="აბ",VLOOKUP(B533,M!$B$6:$I$733,3,FALSE)*0.001*#REF!*#REF!,IF(VLOOKUP(B533,M!$B$6:$I$733,8,FALSE)="ინ",VLOOKUP(B533,M!$B$6:$I$733,3,FALSE)*0.001*#REF!*#REF!,IF(VLOOKUP(B533,M!$B$6:$I$733,8,FALSE)="ას",VLOOKUP(B533,M!$B$6:$I$733,3,FALSE)*0.001*#REF!*#REF!,IF(VLOOKUP(B533,M!$B$6:$I$733,8,FALSE)="სხ",VLOOKUP(B533,M!$B$6:$I$733,3,FALSE)*0.001*#REF!*#REF!,IF(VLOOKUP(B533,M!$B$6:$I$733,8,FALSE)="ხმ",VLOOKUP(B533,M!$B$6:$I$733,3,FALSE)*0.001*#REF!*#REF!))))))))),2)</f>
        <v>39.92</v>
      </c>
      <c r="K533" s="31">
        <f>ROUND(E533*J533,2)</f>
        <v>36.33</v>
      </c>
      <c r="L533" s="14">
        <f>G533+I533+K533</f>
        <v>36.33</v>
      </c>
      <c r="M533" s="23" t="str">
        <f>(IF(ISNUMBER(MATCH(B533,E!$B$6:$B$197,0)),VLOOKUP(B533,E!$B$6:$E$197,4,FALSE),VLOOKUP(B533,M!$B$6:$I$733,7,FALSE)))</f>
        <v>14-232</v>
      </c>
    </row>
    <row r="534" spans="1:13" ht="39.950000000000003" customHeight="1" x14ac:dyDescent="0.25">
      <c r="A534" s="16" t="s">
        <v>675</v>
      </c>
      <c r="B534" s="2" t="s">
        <v>775</v>
      </c>
      <c r="C534" s="2" t="s">
        <v>672</v>
      </c>
      <c r="D534" s="2">
        <v>0.91</v>
      </c>
      <c r="E534" s="14">
        <f>D534*E530/100</f>
        <v>0.91</v>
      </c>
      <c r="F534" s="13"/>
      <c r="G534" s="13"/>
      <c r="H534" s="13"/>
      <c r="I534" s="13"/>
      <c r="J534" s="35">
        <f>ROUND(IF(ISNUMBER(MATCH(B534,E!$B$6:$B$197,0)),VLOOKUP(B534,E!$B$6:$E$197,2,FALSE),IF(#REF!="დიახ",IF(VLOOKUP(B534,M!$B$6:$I$733,8,FALSE)="ლ",VLOOKUP(B534,M!$B$6:$I$733,3,FALSE)*0.001*#REF!*#REF!,IF(VLOOKUP(B534,M!$B$6:$I$733,8,FALSE)="მბ",VLOOKUP(B534,M!$B$6:$I$733,3,FALSE)*0.001*#REF!*#REF!,IF(VLOOKUP(B534,M!$B$6:$I$733,8,FALSE)="აბ",VLOOKUP(B534,M!$B$6:$I$733,3,FALSE)*0.001*#REF!*#REF!,IF(VLOOKUP(B534,M!$B$6:$I$733,8,FALSE)="ინ",VLOOKUP(B534,M!$B$6:$I$733,3,FALSE)*0.001*#REF!*#REF!,IF(VLOOKUP(B534,M!$B$6:$I$733,8,FALSE)="ას",VLOOKUP(B534,M!$B$6:$I$733,3,FALSE)*0.001*#REF!*#REF!,IF(VLOOKUP(B534,M!$B$6:$I$733,8,FALSE)="სხ",VLOOKUP(B534,M!$B$6:$I$733,3,FALSE)*0.001*#REF!*#REF!,IF(VLOOKUP(B534,M!$B$6:$I$733,8,FALSE)="ხმ",VLOOKUP(B534,M!$B$6:$I$733,3,FALSE)*0.001*#REF!*#REF!))))))))),2)</f>
        <v>17.72</v>
      </c>
      <c r="K534" s="31">
        <f>ROUND(E534*J534,2)</f>
        <v>16.13</v>
      </c>
      <c r="L534" s="14">
        <f>G534+I534+K534</f>
        <v>16.13</v>
      </c>
      <c r="M534" s="23" t="str">
        <f>(IF(ISNUMBER(MATCH(B534,E!$B$6:$B$197,0)),VLOOKUP(B534,E!$B$6:$E$197,4,FALSE),VLOOKUP(B534,M!$B$6:$I$733,7,FALSE)))</f>
        <v>14-314</v>
      </c>
    </row>
    <row r="535" spans="1:13" ht="39.950000000000003" customHeight="1" x14ac:dyDescent="0.25">
      <c r="A535" s="16" t="s">
        <v>695</v>
      </c>
      <c r="B535" s="17" t="s">
        <v>693</v>
      </c>
      <c r="C535" s="2" t="s">
        <v>674</v>
      </c>
      <c r="D535" s="2">
        <v>3.2</v>
      </c>
      <c r="E535" s="13">
        <f>D535*E530/100</f>
        <v>3.2</v>
      </c>
      <c r="F535" s="31" t="e">
        <f>ROUND(VLOOKUP(B535,M!$B$6:$H$733,IF(#REF!="დაბალი",4,IF(#REF!="საშუალო",6,IF(#REF!="მაღალი",5))),FALSE),2)</f>
        <v>#REF!</v>
      </c>
      <c r="G535" s="14" t="e">
        <f>ROUND(E535*F535,2)</f>
        <v>#REF!</v>
      </c>
      <c r="H535" s="13"/>
      <c r="I535" s="13"/>
      <c r="J535" s="35" t="e">
        <f>ROUND(IF(ISNUMBER(MATCH(B535,E!$B$6:$B$197,0)),VLOOKUP(B535,E!$B$6:$E$197,2,FALSE),IF(#REF!="დიახ",IF(VLOOKUP(B535,M!$B$6:$I$733,8,FALSE)="ლ",VLOOKUP(B535,M!$B$6:$I$733,3,FALSE)*0.001*#REF!*#REF!,IF(VLOOKUP(B535,M!$B$6:$I$733,8,FALSE)="მბ",VLOOKUP(B535,M!$B$6:$I$733,3,FALSE)*0.001*#REF!*#REF!,IF(VLOOKUP(B535,M!$B$6:$I$733,8,FALSE)="აბ",VLOOKUP(B535,M!$B$6:$I$733,3,FALSE)*0.001*#REF!*#REF!,IF(VLOOKUP(B535,M!$B$6:$I$733,8,FALSE)="ინ",VLOOKUP(B535,M!$B$6:$I$733,3,FALSE)*0.001*#REF!*#REF!,IF(VLOOKUP(B535,M!$B$6:$I$733,8,FALSE)="ას",VLOOKUP(B535,M!$B$6:$I$733,3,FALSE)*0.001*#REF!*#REF!,IF(VLOOKUP(B535,M!$B$6:$I$733,8,FALSE)="სხ",VLOOKUP(B535,M!$B$6:$I$733,3,FALSE)*0.001*#REF!*#REF!,IF(VLOOKUP(B535,M!$B$6:$I$733,8,FALSE)="ხმ",VLOOKUP(B535,M!$B$6:$I$733,3,FALSE)*0.001*#REF!*#REF!))))))))),2)</f>
        <v>#REF!</v>
      </c>
      <c r="K535" s="31"/>
      <c r="L535" s="14" t="e">
        <f>G535+I535+K535</f>
        <v>#REF!</v>
      </c>
      <c r="M535" s="23" t="str">
        <f>(IF(ISNUMBER(MATCH(B535,E!$B$6:$B$197,0)),VLOOKUP(B535,E!$B$6:$E$197,4,FALSE),VLOOKUP(B535,M!$B$6:$I$733,7,FALSE)))</f>
        <v>საბ.</v>
      </c>
    </row>
    <row r="536" spans="1:13" s="45" customFormat="1" ht="39.950000000000003" customHeight="1" x14ac:dyDescent="0.25">
      <c r="A536" s="39">
        <v>1.1000000000000001</v>
      </c>
      <c r="B536" s="40" t="s">
        <v>1066</v>
      </c>
      <c r="C536" s="41" t="s">
        <v>595</v>
      </c>
      <c r="D536" s="41"/>
      <c r="E536" s="47">
        <v>1</v>
      </c>
      <c r="F536" s="42"/>
      <c r="G536" s="42"/>
      <c r="H536" s="42"/>
      <c r="I536" s="42"/>
      <c r="J536" s="35"/>
      <c r="K536" s="46"/>
      <c r="L536" s="43" t="e">
        <f>SUM(L537:L538)</f>
        <v>#REF!</v>
      </c>
      <c r="M536" s="57" t="s">
        <v>845</v>
      </c>
    </row>
    <row r="537" spans="1:13" ht="39.950000000000003" customHeight="1" x14ac:dyDescent="0.25">
      <c r="A537" s="16" t="s">
        <v>668</v>
      </c>
      <c r="B537" s="17" t="s">
        <v>669</v>
      </c>
      <c r="C537" s="2" t="s">
        <v>670</v>
      </c>
      <c r="D537" s="2">
        <v>10</v>
      </c>
      <c r="E537" s="14">
        <f>D537*E536</f>
        <v>10</v>
      </c>
      <c r="F537" s="13"/>
      <c r="G537" s="13"/>
      <c r="H537" s="27">
        <v>6</v>
      </c>
      <c r="I537" s="14">
        <f>ROUND(E537*H537,2)</f>
        <v>60</v>
      </c>
      <c r="J537" s="35">
        <f>ROUND(IF(ISNUMBER(MATCH(B537,E!$B$6:$B$197,0)),VLOOKUP(B537,E!$B$6:$E$197,2,FALSE),IF(#REF!="დიახ",IF(VLOOKUP(B537,M!$B$6:$I$733,8,FALSE)="ლ",VLOOKUP(B537,M!$B$6:$I$733,3,FALSE)*0.001*#REF!*#REF!,IF(VLOOKUP(B537,M!$B$6:$I$733,8,FALSE)="მბ",VLOOKUP(B537,M!$B$6:$I$733,3,FALSE)*0.001*#REF!*#REF!,IF(VLOOKUP(B537,M!$B$6:$I$733,8,FALSE)="აბ",VLOOKUP(B537,M!$B$6:$I$733,3,FALSE)*0.001*#REF!*#REF!,IF(VLOOKUP(B537,M!$B$6:$I$733,8,FALSE)="ინ",VLOOKUP(B537,M!$B$6:$I$733,3,FALSE)*0.001*#REF!*#REF!,IF(VLOOKUP(B537,M!$B$6:$I$733,8,FALSE)="ას",VLOOKUP(B537,M!$B$6:$I$733,3,FALSE)*0.001*#REF!*#REF!,IF(VLOOKUP(B537,M!$B$6:$I$733,8,FALSE)="სხ",VLOOKUP(B537,M!$B$6:$I$733,3,FALSE)*0.001*#REF!*#REF!,IF(VLOOKUP(B537,M!$B$6:$I$733,8,FALSE)="ხმ",VLOOKUP(B537,M!$B$6:$I$733,3,FALSE)*0.001*#REF!*#REF!))))))))),2)</f>
        <v>0</v>
      </c>
      <c r="K537" s="31"/>
      <c r="L537" s="14">
        <f>G537+I537+K537</f>
        <v>60</v>
      </c>
      <c r="M537" s="23" t="str">
        <f>(IF(ISNUMBER(MATCH(B537,E!$B$6:$B$197,0)),VLOOKUP(B537,E!$B$6:$E$197,4,FALSE),VLOOKUP(B537,M!$B$6:$I$733,7,FALSE)))</f>
        <v>მ.ც</v>
      </c>
    </row>
    <row r="538" spans="1:13" ht="39.950000000000003" customHeight="1" x14ac:dyDescent="0.25">
      <c r="A538" s="16" t="s">
        <v>671</v>
      </c>
      <c r="B538" s="2" t="s">
        <v>586</v>
      </c>
      <c r="C538" s="2" t="s">
        <v>595</v>
      </c>
      <c r="D538" s="2">
        <v>1</v>
      </c>
      <c r="E538" s="14">
        <f>D538*E536</f>
        <v>1</v>
      </c>
      <c r="F538" s="31" t="e">
        <f>ROUND(VLOOKUP(B538,M!$B$6:$H$733,IF(#REF!="დაბალი",4,IF(#REF!="საშუალო",6,IF(#REF!="მაღალი",5))),FALSE),2)</f>
        <v>#REF!</v>
      </c>
      <c r="G538" s="14" t="e">
        <f>ROUND(E538*F538,2)</f>
        <v>#REF!</v>
      </c>
      <c r="H538" s="2"/>
      <c r="I538" s="2"/>
      <c r="J538" s="35" t="e">
        <f>ROUND(IF(ISNUMBER(MATCH(B538,E!$B$6:$B$197,0)),VLOOKUP(B538,E!$B$6:$E$197,2,FALSE),IF(#REF!="დიახ",IF(VLOOKUP(B538,M!$B$6:$I$733,8,FALSE)="ლ",VLOOKUP(B538,M!$B$6:$I$733,3,FALSE)*0.001*#REF!*#REF!,IF(VLOOKUP(B538,M!$B$6:$I$733,8,FALSE)="მბ",VLOOKUP(B538,M!$B$6:$I$733,3,FALSE)*0.001*#REF!*#REF!,IF(VLOOKUP(B538,M!$B$6:$I$733,8,FALSE)="აბ",VLOOKUP(B538,M!$B$6:$I$733,3,FALSE)*0.001*#REF!*#REF!,IF(VLOOKUP(B538,M!$B$6:$I$733,8,FALSE)="ინ",VLOOKUP(B538,M!$B$6:$I$733,3,FALSE)*0.001*#REF!*#REF!,IF(VLOOKUP(B538,M!$B$6:$I$733,8,FALSE)="ას",VLOOKUP(B538,M!$B$6:$I$733,3,FALSE)*0.001*#REF!*#REF!,IF(VLOOKUP(B538,M!$B$6:$I$733,8,FALSE)="სხ",VLOOKUP(B538,M!$B$6:$I$733,3,FALSE)*0.001*#REF!*#REF!,IF(VLOOKUP(B538,M!$B$6:$I$733,8,FALSE)="ხმ",VLOOKUP(B538,M!$B$6:$I$733,3,FALSE)*0.001*#REF!*#REF!))))))))),2)</f>
        <v>#REF!</v>
      </c>
      <c r="K538" s="31" t="e">
        <f>ROUND(E538*J538,2)</f>
        <v>#REF!</v>
      </c>
      <c r="L538" s="14" t="e">
        <f>G538+I538+K538</f>
        <v>#REF!</v>
      </c>
      <c r="M538" s="23" t="str">
        <f>(IF(ISNUMBER(MATCH(B538,E!$B$6:$B$197,0)),VLOOKUP(B538,E!$B$6:$E$197,4,FALSE),VLOOKUP(B538,M!$B$6:$I$733,7,FALSE)))</f>
        <v>11.2-3</v>
      </c>
    </row>
    <row r="539" spans="1:13" ht="39.950000000000003" customHeight="1" x14ac:dyDescent="0.25">
      <c r="A539" s="16"/>
      <c r="B539" s="2"/>
      <c r="C539" s="2"/>
      <c r="D539" s="2"/>
      <c r="E539" s="14"/>
      <c r="F539" s="13"/>
      <c r="G539" s="13"/>
      <c r="H539" s="13"/>
      <c r="I539" s="13"/>
      <c r="J539" s="35"/>
      <c r="K539" s="31"/>
      <c r="L539" s="14"/>
      <c r="M539" s="23"/>
    </row>
    <row r="540" spans="1:13" ht="39.950000000000003" customHeight="1" x14ac:dyDescent="0.25">
      <c r="A540" s="16"/>
      <c r="B540" s="2"/>
      <c r="C540" s="2"/>
      <c r="D540" s="2"/>
      <c r="E540" s="14"/>
      <c r="F540" s="13"/>
      <c r="G540" s="13"/>
      <c r="H540" s="13"/>
      <c r="I540" s="13"/>
      <c r="J540" s="35"/>
      <c r="K540" s="31"/>
      <c r="L540" s="14"/>
      <c r="M540" s="23"/>
    </row>
    <row r="541" spans="1:13" ht="39.950000000000003" customHeight="1" x14ac:dyDescent="0.25">
      <c r="A541" s="16"/>
      <c r="B541" s="2"/>
      <c r="C541" s="2"/>
      <c r="D541" s="2"/>
      <c r="E541" s="14"/>
      <c r="F541" s="13"/>
      <c r="G541" s="13"/>
      <c r="H541" s="13"/>
      <c r="I541" s="13"/>
      <c r="J541" s="35"/>
      <c r="K541" s="31"/>
      <c r="L541" s="14"/>
      <c r="M541" s="23"/>
    </row>
    <row r="542" spans="1:13" ht="39.950000000000003" customHeight="1" x14ac:dyDescent="0.25">
      <c r="A542" s="16"/>
      <c r="B542" s="17"/>
      <c r="C542" s="2"/>
      <c r="D542" s="2"/>
      <c r="E542" s="13"/>
      <c r="F542" s="31"/>
      <c r="G542" s="14"/>
      <c r="H542" s="13"/>
      <c r="I542" s="13"/>
      <c r="J542" s="35"/>
      <c r="K542" s="31"/>
      <c r="L542" s="14"/>
      <c r="M542" s="23"/>
    </row>
    <row r="543" spans="1:13" ht="80.099999999999994" customHeight="1" x14ac:dyDescent="0.25">
      <c r="A543" s="36"/>
      <c r="B543" s="37" t="s">
        <v>633</v>
      </c>
      <c r="C543" s="10"/>
      <c r="D543" s="10"/>
      <c r="E543" s="10"/>
      <c r="F543" s="30"/>
      <c r="G543" s="10"/>
      <c r="H543" s="26"/>
      <c r="I543" s="10"/>
      <c r="J543" s="30"/>
      <c r="K543" s="30"/>
      <c r="L543" s="11"/>
      <c r="M543" s="22"/>
    </row>
    <row r="544" spans="1:13" s="45" customFormat="1" ht="39.950000000000003" customHeight="1" x14ac:dyDescent="0.25">
      <c r="A544" s="39">
        <v>1.1000000000000001</v>
      </c>
      <c r="B544" s="40" t="s">
        <v>780</v>
      </c>
      <c r="C544" s="41" t="s">
        <v>712</v>
      </c>
      <c r="D544" s="41"/>
      <c r="E544" s="52">
        <v>100</v>
      </c>
      <c r="F544" s="42"/>
      <c r="G544" s="42"/>
      <c r="H544" s="42"/>
      <c r="I544" s="42"/>
      <c r="J544" s="42"/>
      <c r="K544" s="46"/>
      <c r="L544" s="43" t="e">
        <f>SUM(L545:L547)</f>
        <v>#REF!</v>
      </c>
      <c r="M544" s="44" t="s">
        <v>1170</v>
      </c>
    </row>
    <row r="545" spans="1:14" ht="39.950000000000003" customHeight="1" x14ac:dyDescent="0.25">
      <c r="A545" s="16" t="s">
        <v>668</v>
      </c>
      <c r="B545" s="17" t="s">
        <v>669</v>
      </c>
      <c r="C545" s="2" t="s">
        <v>670</v>
      </c>
      <c r="D545" s="2">
        <v>280</v>
      </c>
      <c r="E545" s="14">
        <f>D545*E544/100</f>
        <v>280</v>
      </c>
      <c r="F545" s="13"/>
      <c r="G545" s="13"/>
      <c r="H545" s="27">
        <f>IF((ISNUMBER(--LEFT(M544,2))),VLOOKUP(--LEFT(M544,2),N!$A$5:$C$54,3,FALSE),VLOOKUP(--LEFT(M544,1),N!$A$5:$C$54,3,FALSE))</f>
        <v>6</v>
      </c>
      <c r="I545" s="14">
        <f>ROUND(E545*H545,2)</f>
        <v>1680</v>
      </c>
      <c r="J545" s="13"/>
      <c r="K545" s="31"/>
      <c r="L545" s="14">
        <f t="shared" ref="L545:L547" si="146">G545+I545+K545</f>
        <v>1680</v>
      </c>
      <c r="M545" s="23" t="str">
        <f>(IF(ISNUMBER(MATCH(B545,E!$B$6:$B$197,0)),VLOOKUP(B545,E!$B$6:$E$197,4,FALSE),VLOOKUP(B545,M!$B$6:$I$733,7,FALSE)))</f>
        <v>მ.ც</v>
      </c>
    </row>
    <row r="546" spans="1:14" ht="39.950000000000003" customHeight="1" x14ac:dyDescent="0.25">
      <c r="A546" s="16" t="s">
        <v>673</v>
      </c>
      <c r="B546" s="17" t="s">
        <v>654</v>
      </c>
      <c r="C546" s="2" t="s">
        <v>672</v>
      </c>
      <c r="D546" s="2">
        <v>14.3</v>
      </c>
      <c r="E546" s="14">
        <f>D546*E544/100</f>
        <v>14.3</v>
      </c>
      <c r="F546" s="2"/>
      <c r="G546" s="2"/>
      <c r="H546" s="2"/>
      <c r="I546" s="2"/>
      <c r="J546" s="35">
        <f>ROUND(IF(ISNUMBER(MATCH(B546,E!$B$6:$B$197,0)),VLOOKUP(B546,E!$B$6:$E$197,2,FALSE),IF(#REF!="დიახ",IF(VLOOKUP(B546,M!$B$6:$I$733,8,FALSE)="ლ",VLOOKUP(B546,M!$B$6:$I$733,3,FALSE)*0.001*#REF!*#REF!,IF(VLOOKUP(B546,M!$B$6:$I$733,8,FALSE)="მბ",VLOOKUP(B546,M!$B$6:$I$733,3,FALSE)*0.001*#REF!*#REF!,IF(VLOOKUP(B546,M!$B$6:$I$733,8,FALSE)="აბ",VLOOKUP(B546,M!$B$6:$I$733,3,FALSE)*0.001*#REF!*#REF!,IF(VLOOKUP(B546,M!$B$6:$I$733,8,FALSE)="ინ",VLOOKUP(B546,M!$B$6:$I$733,3,FALSE)*0.001*#REF!*#REF!,IF(VLOOKUP(B546,M!$B$6:$I$733,8,FALSE)="ას",VLOOKUP(B546,M!$B$6:$I$733,3,FALSE)*0.001*#REF!*#REF!,IF(VLOOKUP(B546,M!$B$6:$I$733,8,FALSE)="სხ",VLOOKUP(B546,M!$B$6:$I$733,3,FALSE)*0.001*#REF!*#REF!,IF(VLOOKUP(B546,M!$B$6:$I$733,8,FALSE)="ხმ",VLOOKUP(B546,M!$B$6:$I$733,3,FALSE)*0.001*#REF!*#REF!))))))))),2)</f>
        <v>3.2</v>
      </c>
      <c r="K546" s="13">
        <f t="shared" ref="K546" si="147">ROUND(E546*J546,1)</f>
        <v>45.8</v>
      </c>
      <c r="L546" s="14">
        <f t="shared" si="146"/>
        <v>45.8</v>
      </c>
      <c r="M546" s="23" t="str">
        <f>(IF(ISNUMBER(MATCH(B546,E!$B$6:$B$197,0)),VLOOKUP(B546,E!$B$6:$E$197,4,FALSE),VLOOKUP(B546,M!$B$6:$I$733,7,FALSE)))</f>
        <v>ს.რ.ფ</v>
      </c>
    </row>
    <row r="547" spans="1:14" ht="39.950000000000003" customHeight="1" x14ac:dyDescent="0.25">
      <c r="A547" s="16" t="s">
        <v>696</v>
      </c>
      <c r="B547" s="2" t="s">
        <v>331</v>
      </c>
      <c r="C547" s="2" t="s">
        <v>674</v>
      </c>
      <c r="D547" s="2">
        <v>166</v>
      </c>
      <c r="E547" s="14">
        <f>D547*E544/100</f>
        <v>166</v>
      </c>
      <c r="F547" s="31" t="e">
        <f>ROUND(VLOOKUP(B547,M!$B$6:$H$733,IF(#REF!="დაბალი",4,IF(#REF!="საშუალო",6,IF(#REF!="მაღალი",5))),FALSE),2)</f>
        <v>#REF!</v>
      </c>
      <c r="G547" s="14" t="e">
        <f>ROUND(E547*F547,2)</f>
        <v>#REF!</v>
      </c>
      <c r="H547" s="13"/>
      <c r="I547" s="13"/>
      <c r="J547" s="31" t="e">
        <f>ROUND(IF(ISNUMBER(MATCH(B547,E!$B$6:$B$197,0)),VLOOKUP(B547,E!$B$6:$E$197,2,FALSE),IF(#REF!="დიახ",IF(VLOOKUP(B547,M!$B$6:$I$733,8,FALSE)="ლ",VLOOKUP(B547,M!$B$6:$I$733,3,FALSE)*0.001*#REF!*#REF!,IF(VLOOKUP(B547,M!$B$6:$I$733,8,FALSE)="მბ",VLOOKUP(B547,M!$B$6:$I$733,3,FALSE)*0.001*#REF!*#REF!,IF(VLOOKUP(B547,M!$B$6:$I$733,8,FALSE)="აბ",VLOOKUP(B547,M!$B$6:$I$733,3,FALSE)*0.001*#REF!*#REF!,IF(VLOOKUP(B547,M!$B$6:$I$733,8,FALSE)="ინ",VLOOKUP(B547,M!$B$6:$I$733,3,FALSE)*0.001*#REF!*#REF!,IF(VLOOKUP(B547,M!$B$6:$I$733,8,FALSE)="ას",VLOOKUP(B547,M!$B$6:$I$733,3,FALSE)*0.001*#REF!*#REF!,IF(VLOOKUP(B547,M!$B$6:$I$733,8,FALSE)="სხ",VLOOKUP(B547,M!$B$6:$I$733,3,FALSE)*0.001*#REF!*#REF!)))))))),2)</f>
        <v>#REF!</v>
      </c>
      <c r="K547" s="31" t="e">
        <f>ROUND(E547*J547,2)</f>
        <v>#REF!</v>
      </c>
      <c r="L547" s="14" t="e">
        <f t="shared" si="146"/>
        <v>#REF!</v>
      </c>
      <c r="M547" s="23" t="str">
        <f>(IF(ISNUMBER(MATCH(B547,E!$B$6:$B$197,0)),VLOOKUP(B547,E!$B$6:$E$197,4,FALSE),VLOOKUP(B547,M!$B$6:$I$733,7,FALSE)))</f>
        <v>4.1-228</v>
      </c>
    </row>
    <row r="548" spans="1:14" s="45" customFormat="1" ht="39.950000000000003" customHeight="1" x14ac:dyDescent="0.25">
      <c r="A548" s="39">
        <v>1.1000000000000001</v>
      </c>
      <c r="B548" s="40" t="s">
        <v>805</v>
      </c>
      <c r="C548" s="41" t="s">
        <v>712</v>
      </c>
      <c r="D548" s="41"/>
      <c r="E548" s="52">
        <v>100</v>
      </c>
      <c r="F548" s="42"/>
      <c r="G548" s="42"/>
      <c r="H548" s="42"/>
      <c r="I548" s="42"/>
      <c r="J548" s="42"/>
      <c r="K548" s="46"/>
      <c r="L548" s="43" t="e">
        <f>SUM(L549:L552)</f>
        <v>#REF!</v>
      </c>
      <c r="M548" s="44" t="s">
        <v>1171</v>
      </c>
    </row>
    <row r="549" spans="1:14" ht="39.950000000000003" customHeight="1" x14ac:dyDescent="0.25">
      <c r="A549" s="16" t="s">
        <v>668</v>
      </c>
      <c r="B549" s="17" t="s">
        <v>669</v>
      </c>
      <c r="C549" s="2" t="s">
        <v>670</v>
      </c>
      <c r="D549" s="2">
        <v>276</v>
      </c>
      <c r="E549" s="14">
        <f>D549*E548/100</f>
        <v>276</v>
      </c>
      <c r="F549" s="13"/>
      <c r="G549" s="13"/>
      <c r="H549" s="27">
        <f>IF((ISNUMBER(--LEFT(M548,2))),VLOOKUP(--LEFT(M548,2),N!$A$5:$C$54,3,FALSE),VLOOKUP(--LEFT(M548,1),N!$A$5:$C$54,3,FALSE))</f>
        <v>6</v>
      </c>
      <c r="I549" s="14">
        <f>ROUND(E549*H549,2)</f>
        <v>1656</v>
      </c>
      <c r="J549" s="13"/>
      <c r="K549" s="31"/>
      <c r="L549" s="14">
        <f t="shared" ref="L549:L553" si="148">G549+I549+K549</f>
        <v>1656</v>
      </c>
      <c r="M549" s="23" t="str">
        <f>(IF(ISNUMBER(MATCH(B549,E!$B$6:$B$197,0)),VLOOKUP(B549,E!$B$6:$E$197,4,FALSE),VLOOKUP(B549,M!$B$6:$I$733,7,FALSE)))</f>
        <v>მ.ც</v>
      </c>
    </row>
    <row r="550" spans="1:14" ht="39.950000000000003" customHeight="1" x14ac:dyDescent="0.25">
      <c r="A550" s="16" t="s">
        <v>671</v>
      </c>
      <c r="B550" s="2" t="s">
        <v>178</v>
      </c>
      <c r="C550" s="2" t="s">
        <v>672</v>
      </c>
      <c r="D550" s="2">
        <v>61</v>
      </c>
      <c r="E550" s="14">
        <f>D550*E548/100</f>
        <v>61</v>
      </c>
      <c r="F550" s="13"/>
      <c r="G550" s="13"/>
      <c r="H550" s="2"/>
      <c r="I550" s="2"/>
      <c r="J550" s="35">
        <f>ROUND(IF(ISNUMBER(MATCH(B550,E!$B$6:$B$197,0)),VLOOKUP(B550,E!$B$6:$E$197,2,FALSE),IF(#REF!="დიახ",IF(VLOOKUP(B550,M!$B$6:$I$733,8,FALSE)="ლ",VLOOKUP(B550,M!$B$6:$I$733,3,FALSE)*0.001*#REF!*#REF!,IF(VLOOKUP(B550,M!$B$6:$I$733,8,FALSE)="მბ",VLOOKUP(B550,M!$B$6:$I$733,3,FALSE)*0.001*#REF!*#REF!,IF(VLOOKUP(B550,M!$B$6:$I$733,8,FALSE)="აბ",VLOOKUP(B550,M!$B$6:$I$733,3,FALSE)*0.001*#REF!*#REF!,IF(VLOOKUP(B550,M!$B$6:$I$733,8,FALSE)="ინ",VLOOKUP(B550,M!$B$6:$I$733,3,FALSE)*0.001*#REF!*#REF!,IF(VLOOKUP(B550,M!$B$6:$I$733,8,FALSE)="ას",VLOOKUP(B550,M!$B$6:$I$733,3,FALSE)*0.001*#REF!*#REF!,IF(VLOOKUP(B550,M!$B$6:$I$733,8,FALSE)="სხ",VLOOKUP(B550,M!$B$6:$I$733,3,FALSE)*0.001*#REF!*#REF!,IF(VLOOKUP(B550,M!$B$6:$I$733,8,FALSE)="ხმ",VLOOKUP(B550,M!$B$6:$I$733,3,FALSE)*0.001*#REF!*#REF!))))))))),2)</f>
        <v>32.56</v>
      </c>
      <c r="K550" s="14">
        <f>ROUND(E550*J550,2)</f>
        <v>1986.16</v>
      </c>
      <c r="L550" s="14">
        <f>G550+I550+K550</f>
        <v>1986.16</v>
      </c>
      <c r="M550" s="23" t="str">
        <f>(IF(ISNUMBER(MATCH(B550,E!$B$6:$B$197,0)),VLOOKUP(B550,E!$B$6:$E$197,4,FALSE),VLOOKUP(B550,M!$B$6:$I$733,7,FALSE)))</f>
        <v>14-52</v>
      </c>
    </row>
    <row r="551" spans="1:14" ht="39.950000000000003" customHeight="1" x14ac:dyDescent="0.25">
      <c r="A551" s="16" t="s">
        <v>673</v>
      </c>
      <c r="B551" s="17" t="s">
        <v>654</v>
      </c>
      <c r="C551" s="2" t="s">
        <v>672</v>
      </c>
      <c r="D551" s="2">
        <v>31</v>
      </c>
      <c r="E551" s="14">
        <f>D551*E548/100</f>
        <v>31</v>
      </c>
      <c r="F551" s="2"/>
      <c r="G551" s="2"/>
      <c r="H551" s="2"/>
      <c r="I551" s="2"/>
      <c r="J551" s="35">
        <f>ROUND(IF(ISNUMBER(MATCH(B551,E!$B$6:$B$197,0)),VLOOKUP(B551,E!$B$6:$E$197,2,FALSE),IF(#REF!="დიახ",IF(VLOOKUP(B551,M!$B$6:$I$733,8,FALSE)="ლ",VLOOKUP(B551,M!$B$6:$I$733,3,FALSE)*0.001*#REF!*#REF!,IF(VLOOKUP(B551,M!$B$6:$I$733,8,FALSE)="მბ",VLOOKUP(B551,M!$B$6:$I$733,3,FALSE)*0.001*#REF!*#REF!,IF(VLOOKUP(B551,M!$B$6:$I$733,8,FALSE)="აბ",VLOOKUP(B551,M!$B$6:$I$733,3,FALSE)*0.001*#REF!*#REF!,IF(VLOOKUP(B551,M!$B$6:$I$733,8,FALSE)="ინ",VLOOKUP(B551,M!$B$6:$I$733,3,FALSE)*0.001*#REF!*#REF!,IF(VLOOKUP(B551,M!$B$6:$I$733,8,FALSE)="ას",VLOOKUP(B551,M!$B$6:$I$733,3,FALSE)*0.001*#REF!*#REF!,IF(VLOOKUP(B551,M!$B$6:$I$733,8,FALSE)="სხ",VLOOKUP(B551,M!$B$6:$I$733,3,FALSE)*0.001*#REF!*#REF!,IF(VLOOKUP(B551,M!$B$6:$I$733,8,FALSE)="ხმ",VLOOKUP(B551,M!$B$6:$I$733,3,FALSE)*0.001*#REF!*#REF!))))))))),2)</f>
        <v>3.2</v>
      </c>
      <c r="K551" s="13">
        <f t="shared" ref="K551" si="149">ROUND(E551*J551,1)</f>
        <v>99.2</v>
      </c>
      <c r="L551" s="14">
        <f t="shared" si="148"/>
        <v>99.2</v>
      </c>
      <c r="M551" s="23" t="str">
        <f>(IF(ISNUMBER(MATCH(B551,E!$B$6:$B$197,0)),VLOOKUP(B551,E!$B$6:$E$197,4,FALSE),VLOOKUP(B551,M!$B$6:$I$733,7,FALSE)))</f>
        <v>ს.რ.ფ</v>
      </c>
    </row>
    <row r="552" spans="1:14" ht="39.950000000000003" customHeight="1" x14ac:dyDescent="0.25">
      <c r="A552" s="16" t="s">
        <v>696</v>
      </c>
      <c r="B552" s="2" t="s">
        <v>795</v>
      </c>
      <c r="C552" s="2" t="s">
        <v>674</v>
      </c>
      <c r="D552" s="2">
        <v>112</v>
      </c>
      <c r="E552" s="14">
        <f>D552*E548/100</f>
        <v>112</v>
      </c>
      <c r="F552" s="31" t="e">
        <f>ROUND(VLOOKUP(B552,M!$B$6:$H$733,IF(#REF!="დაბალი",4,IF(#REF!="საშუალო",6,IF(#REF!="მაღალი",5))),FALSE),2)</f>
        <v>#REF!</v>
      </c>
      <c r="G552" s="14" t="e">
        <f>ROUND(E552*F552,2)</f>
        <v>#REF!</v>
      </c>
      <c r="H552" s="13"/>
      <c r="I552" s="13"/>
      <c r="J552" s="31" t="e">
        <f>ROUND(IF(ISNUMBER(MATCH(B552,E!$B$6:$B$197,0)),VLOOKUP(B552,E!$B$6:$E$197,2,FALSE),IF(#REF!="დიახ",IF(VLOOKUP(B552,M!$B$6:$I$733,8,FALSE)="ლ",VLOOKUP(B552,M!$B$6:$I$733,3,FALSE)*0.001*#REF!*#REF!,IF(VLOOKUP(B552,M!$B$6:$I$733,8,FALSE)="მბ",VLOOKUP(B552,M!$B$6:$I$733,3,FALSE)*0.001*#REF!*#REF!,IF(VLOOKUP(B552,M!$B$6:$I$733,8,FALSE)="აბ",VLOOKUP(B552,M!$B$6:$I$733,3,FALSE)*0.001*#REF!*#REF!,IF(VLOOKUP(B552,M!$B$6:$I$733,8,FALSE)="ინ",VLOOKUP(B552,M!$B$6:$I$733,3,FALSE)*0.001*#REF!*#REF!,IF(VLOOKUP(B552,M!$B$6:$I$733,8,FALSE)="ას",VLOOKUP(B552,M!$B$6:$I$733,3,FALSE)*0.001*#REF!*#REF!,IF(VLOOKUP(B552,M!$B$6:$I$733,8,FALSE)="სხ",VLOOKUP(B552,M!$B$6:$I$733,3,FALSE)*0.001*#REF!*#REF!)))))))),2)</f>
        <v>#REF!</v>
      </c>
      <c r="K552" s="31" t="e">
        <f>ROUND(E552*J552,2)</f>
        <v>#REF!</v>
      </c>
      <c r="L552" s="14" t="e">
        <f t="shared" si="148"/>
        <v>#REF!</v>
      </c>
      <c r="M552" s="23" t="str">
        <f>(IF(ISNUMBER(MATCH(B552,E!$B$6:$B$197,0)),VLOOKUP(B552,E!$B$6:$E$197,4,FALSE),VLOOKUP(B552,M!$B$6:$I$733,7,FALSE)))</f>
        <v>4.1-339</v>
      </c>
    </row>
    <row r="553" spans="1:14" ht="39.950000000000003" customHeight="1" x14ac:dyDescent="0.25">
      <c r="A553" s="16" t="s">
        <v>736</v>
      </c>
      <c r="B553" s="17" t="s">
        <v>677</v>
      </c>
      <c r="C553" s="2" t="s">
        <v>393</v>
      </c>
      <c r="D553" s="2">
        <v>348</v>
      </c>
      <c r="E553" s="14">
        <f>D553*E548/100</f>
        <v>348</v>
      </c>
      <c r="F553" s="31" t="e">
        <f>ROUND(VLOOKUP(B553,M!$B$6:$H$733,IF(#REF!="დაბალი",4,IF(#REF!="საშუალო",6,IF(#REF!="მაღალი",5))),FALSE),2)</f>
        <v>#REF!</v>
      </c>
      <c r="G553" s="14" t="e">
        <f t="shared" ref="G553" si="150">ROUND(E553*F553,2)</f>
        <v>#REF!</v>
      </c>
      <c r="H553" s="2"/>
      <c r="I553" s="2"/>
      <c r="J553" s="2"/>
      <c r="K553" s="2"/>
      <c r="L553" s="14" t="e">
        <f t="shared" si="148"/>
        <v>#REF!</v>
      </c>
      <c r="M553" s="23" t="str">
        <f>(IF(ISNUMBER(MATCH(B553,E!$B$6:$B$197,0)),VLOOKUP(B553,E!$B$6:$E$197,4,FALSE),VLOOKUP(B553,M!$B$6:$I$733,7,FALSE)))</f>
        <v>ს.რ.ფ</v>
      </c>
    </row>
    <row r="554" spans="1:14" s="45" customFormat="1" ht="39.950000000000003" customHeight="1" x14ac:dyDescent="0.25">
      <c r="A554" s="70">
        <v>1.1000000000000001</v>
      </c>
      <c r="B554" s="71" t="s">
        <v>1161</v>
      </c>
      <c r="C554" s="41" t="s">
        <v>712</v>
      </c>
      <c r="D554" s="41"/>
      <c r="E554" s="52">
        <v>100</v>
      </c>
      <c r="F554" s="41"/>
      <c r="G554" s="41"/>
      <c r="H554" s="41"/>
      <c r="I554" s="41"/>
      <c r="J554" s="41"/>
      <c r="K554" s="41"/>
      <c r="L554" s="43" t="e">
        <f>SUM(L555:L564)</f>
        <v>#REF!</v>
      </c>
      <c r="M554" s="57" t="s">
        <v>1160</v>
      </c>
      <c r="N554" s="68"/>
    </row>
    <row r="555" spans="1:14" ht="39.950000000000003" customHeight="1" x14ac:dyDescent="0.25">
      <c r="A555" s="16" t="s">
        <v>668</v>
      </c>
      <c r="B555" s="17" t="s">
        <v>669</v>
      </c>
      <c r="C555" s="2" t="s">
        <v>670</v>
      </c>
      <c r="D555" s="2">
        <v>319</v>
      </c>
      <c r="E555" s="14">
        <f>D555*E554/100</f>
        <v>319</v>
      </c>
      <c r="F555" s="2"/>
      <c r="G555" s="2"/>
      <c r="H555" s="27">
        <f>IF((ISNUMBER(--LEFT(M554,2))),VLOOKUP(--LEFT(M554,2),N!$A$5:$C$54,3,FALSE),VLOOKUP(--LEFT(M554,1),N!$A$5:$C$54,3,FALSE))</f>
        <v>6</v>
      </c>
      <c r="I555" s="13">
        <f>ROUND(E555*H555,1)</f>
        <v>1914</v>
      </c>
      <c r="J555" s="2"/>
      <c r="K555" s="2"/>
      <c r="L555" s="14">
        <f t="shared" ref="L555" si="151">G555+I555+K555</f>
        <v>1914</v>
      </c>
      <c r="M555" s="23" t="str">
        <f>(IF(ISNUMBER(MATCH(B555,E!$B$6:$B$197,0)),VLOOKUP(B555,E!$B$6:$E$197,4,FALSE),VLOOKUP(B555,M!$B$6:$I$733,7,FALSE)))</f>
        <v>მ.ც</v>
      </c>
    </row>
    <row r="556" spans="1:14" ht="39.950000000000003" customHeight="1" x14ac:dyDescent="0.25">
      <c r="A556" s="16" t="s">
        <v>671</v>
      </c>
      <c r="B556" s="2" t="s">
        <v>184</v>
      </c>
      <c r="C556" s="2" t="s">
        <v>672</v>
      </c>
      <c r="D556" s="2">
        <v>42.8</v>
      </c>
      <c r="E556" s="14">
        <f>D556*E554/100</f>
        <v>42.8</v>
      </c>
      <c r="F556" s="13"/>
      <c r="G556" s="13"/>
      <c r="H556" s="2"/>
      <c r="I556" s="2"/>
      <c r="J556" s="35">
        <f>ROUND(IF(ISNUMBER(MATCH(B556,E!$B$6:$B$197,0)),VLOOKUP(B556,E!$B$6:$E$197,2,FALSE),IF(#REF!="დიახ",IF(VLOOKUP(B556,M!$B$6:$I$733,8,FALSE)="ლ",VLOOKUP(B556,M!$B$6:$I$733,3,FALSE)*0.001*#REF!*#REF!,IF(VLOOKUP(B556,M!$B$6:$I$733,8,FALSE)="მბ",VLOOKUP(B556,M!$B$6:$I$733,3,FALSE)*0.001*#REF!*#REF!,IF(VLOOKUP(B556,M!$B$6:$I$733,8,FALSE)="აბ",VLOOKUP(B556,M!$B$6:$I$733,3,FALSE)*0.001*#REF!*#REF!,IF(VLOOKUP(B556,M!$B$6:$I$733,8,FALSE)="ინ",VLOOKUP(B556,M!$B$6:$I$733,3,FALSE)*0.001*#REF!*#REF!,IF(VLOOKUP(B556,M!$B$6:$I$733,8,FALSE)="ას",VLOOKUP(B556,M!$B$6:$I$733,3,FALSE)*0.001*#REF!*#REF!,IF(VLOOKUP(B556,M!$B$6:$I$733,8,FALSE)="სხ",VLOOKUP(B556,M!$B$6:$I$733,3,FALSE)*0.001*#REF!*#REF!,IF(VLOOKUP(B556,M!$B$6:$I$733,8,FALSE)="ხმ",VLOOKUP(B556,M!$B$6:$I$733,3,FALSE)*0.001*#REF!*#REF!))))))))),2)</f>
        <v>45.63</v>
      </c>
      <c r="K556" s="14">
        <f>ROUND(E556*J556,2)</f>
        <v>1952.96</v>
      </c>
      <c r="L556" s="14">
        <f>G556+I556+K556</f>
        <v>1952.96</v>
      </c>
      <c r="M556" s="23" t="str">
        <f>(IF(ISNUMBER(MATCH(B556,E!$B$6:$B$197,0)),VLOOKUP(B556,E!$B$6:$E$197,4,FALSE),VLOOKUP(B556,M!$B$6:$I$733,7,FALSE)))</f>
        <v>14-58</v>
      </c>
    </row>
    <row r="557" spans="1:14" ht="39.950000000000003" customHeight="1" x14ac:dyDescent="0.25">
      <c r="A557" s="16" t="s">
        <v>673</v>
      </c>
      <c r="B557" s="17" t="s">
        <v>654</v>
      </c>
      <c r="C557" s="2" t="s">
        <v>672</v>
      </c>
      <c r="D557" s="2">
        <v>83.8</v>
      </c>
      <c r="E557" s="14">
        <f>D557*E554/100</f>
        <v>83.8</v>
      </c>
      <c r="F557" s="2"/>
      <c r="G557" s="2"/>
      <c r="H557" s="2"/>
      <c r="I557" s="2"/>
      <c r="J557" s="35">
        <f>ROUND(IF(ISNUMBER(MATCH(B557,E!$B$6:$B$197,0)),VLOOKUP(B557,E!$B$6:$E$197,2,FALSE),IF(#REF!="დიახ",IF(VLOOKUP(B557,M!$B$6:$I$733,8,FALSE)="ლ",VLOOKUP(B557,M!$B$6:$I$733,3,FALSE)*0.001*#REF!*#REF!,IF(VLOOKUP(B557,M!$B$6:$I$733,8,FALSE)="მბ",VLOOKUP(B557,M!$B$6:$I$733,3,FALSE)*0.001*#REF!*#REF!,IF(VLOOKUP(B557,M!$B$6:$I$733,8,FALSE)="აბ",VLOOKUP(B557,M!$B$6:$I$733,3,FALSE)*0.001*#REF!*#REF!,IF(VLOOKUP(B557,M!$B$6:$I$733,8,FALSE)="ინ",VLOOKUP(B557,M!$B$6:$I$733,3,FALSE)*0.001*#REF!*#REF!,IF(VLOOKUP(B557,M!$B$6:$I$733,8,FALSE)="ას",VLOOKUP(B557,M!$B$6:$I$733,3,FALSE)*0.001*#REF!*#REF!,IF(VLOOKUP(B557,M!$B$6:$I$733,8,FALSE)="სხ",VLOOKUP(B557,M!$B$6:$I$733,3,FALSE)*0.001*#REF!*#REF!,IF(VLOOKUP(B557,M!$B$6:$I$733,8,FALSE)="ხმ",VLOOKUP(B557,M!$B$6:$I$733,3,FALSE)*0.001*#REF!*#REF!))))))))),2)</f>
        <v>3.2</v>
      </c>
      <c r="K557" s="13">
        <f t="shared" ref="K557" si="152">ROUND(E557*J557,1)</f>
        <v>268.2</v>
      </c>
      <c r="L557" s="14">
        <f t="shared" ref="L557:L558" si="153">G557+I557+K557</f>
        <v>268.2</v>
      </c>
      <c r="M557" s="23" t="str">
        <f>(IF(ISNUMBER(MATCH(B557,E!$B$6:$B$197,0)),VLOOKUP(B557,E!$B$6:$E$197,4,FALSE),VLOOKUP(B557,M!$B$6:$I$733,7,FALSE)))</f>
        <v>ს.რ.ფ</v>
      </c>
    </row>
    <row r="558" spans="1:14" ht="39.950000000000003" customHeight="1" x14ac:dyDescent="0.25">
      <c r="A558" s="16" t="s">
        <v>675</v>
      </c>
      <c r="B558" s="2" t="s">
        <v>801</v>
      </c>
      <c r="C558" s="2" t="s">
        <v>674</v>
      </c>
      <c r="D558" s="112">
        <v>102</v>
      </c>
      <c r="E558" s="14">
        <f>D558*E554/100</f>
        <v>102</v>
      </c>
      <c r="F558" s="31" t="e">
        <f>ROUND(VLOOKUP(B558,M!$B$6:$H$733,IF(#REF!="დაბალი",4,IF(#REF!="საშუალო",6,IF(#REF!="მაღალი",5))),FALSE),2)</f>
        <v>#REF!</v>
      </c>
      <c r="G558" s="112" t="e">
        <f t="shared" ref="G558" si="154">ROUND(E558*F558,2)</f>
        <v>#REF!</v>
      </c>
      <c r="H558" s="112"/>
      <c r="I558" s="112"/>
      <c r="J558" s="35" t="e">
        <f>ROUND(IF(ISNUMBER(MATCH(B558,E!$B$6:$B$197,0)),VLOOKUP(B558,E!$B$6:$E$197,2,FALSE),IF(#REF!="დიახ",IF(VLOOKUP(B558,M!$B$6:$I$733,8,FALSE)="ლ",VLOOKUP(B558,M!$B$6:$I$733,3,FALSE)*0.001*#REF!*#REF!,IF(VLOOKUP(B558,M!$B$6:$I$733,8,FALSE)="მბ",VLOOKUP(B558,M!$B$6:$I$733,3,FALSE)*0.001*#REF!*#REF!,IF(VLOOKUP(B558,M!$B$6:$I$733,8,FALSE)="აბ",VLOOKUP(B558,M!$B$6:$I$733,3,FALSE)*0.001*#REF!*#REF!,IF(VLOOKUP(B558,M!$B$6:$I$733,8,FALSE)="ინ",VLOOKUP(B558,M!$B$6:$I$733,3,FALSE)*0.001*#REF!*#REF!,IF(VLOOKUP(B558,M!$B$6:$I$733,8,FALSE)="ას",VLOOKUP(B558,M!$B$6:$I$733,3,FALSE)*0.001*#REF!*#REF!,IF(VLOOKUP(B558,M!$B$6:$I$733,8,FALSE)="სხ",VLOOKUP(B558,M!$B$6:$I$733,3,FALSE)*0.001*#REF!*#REF!,IF(VLOOKUP(B558,M!$B$6:$I$733,8,FALSE)="ხმ",VLOOKUP(B558,M!$B$6:$I$733,3,FALSE)*0.001*#REF!*#REF!))))))))),2)</f>
        <v>#REF!</v>
      </c>
      <c r="K558" s="112" t="e">
        <f>ROUND(E558*J558,2)</f>
        <v>#REF!</v>
      </c>
      <c r="L558" s="14" t="e">
        <f t="shared" si="153"/>
        <v>#REF!</v>
      </c>
      <c r="M558" s="23" t="str">
        <f>(IF(ISNUMBER(MATCH(B558,E!$B$6:$B$197,0)),VLOOKUP(B558,E!$B$6:$E$197,4,FALSE),VLOOKUP(B558,M!$B$6:$I$733,7,FALSE)))</f>
        <v>4.1-345</v>
      </c>
    </row>
    <row r="559" spans="1:14" ht="39.950000000000003" customHeight="1" x14ac:dyDescent="0.25">
      <c r="A559" s="16" t="s">
        <v>695</v>
      </c>
      <c r="B559" s="2" t="s">
        <v>536</v>
      </c>
      <c r="C559" s="2" t="s">
        <v>852</v>
      </c>
      <c r="D559" s="2">
        <f>0.97+1.14</f>
        <v>2.11</v>
      </c>
      <c r="E559" s="14">
        <f>D559*E554/100</f>
        <v>2.11</v>
      </c>
      <c r="F559" s="31" t="e">
        <f>ROUND(VLOOKUP(B559,M!$B$6:$H$733,IF(#REF!="დაბალი",4,IF(#REF!="საშუალო",6,IF(#REF!="მაღალი",5))),FALSE),2)</f>
        <v>#REF!</v>
      </c>
      <c r="G559" s="14" t="e">
        <f>ROUND(E559*F559,2)</f>
        <v>#REF!</v>
      </c>
      <c r="H559" s="13"/>
      <c r="I559" s="13"/>
      <c r="J559" s="35" t="e">
        <f>ROUND(IF(ISNUMBER(MATCH(B559,E!$B$6:$B$197,0)),VLOOKUP(B559,E!$B$6:$E$197,2,FALSE),IF(#REF!="დიახ",IF(VLOOKUP(B559,M!$B$6:$I$733,8,FALSE)="ლ",VLOOKUP(B559,M!$B$6:$I$733,3,FALSE)*0.001*#REF!*#REF!,IF(VLOOKUP(B559,M!$B$6:$I$733,8,FALSE)="მბ",VLOOKUP(B559,M!$B$6:$I$733,3,FALSE)*0.001*#REF!*#REF!,IF(VLOOKUP(B559,M!$B$6:$I$733,8,FALSE)="აბ",VLOOKUP(B559,M!$B$6:$I$733,3,FALSE)*0.001*#REF!*#REF!,IF(VLOOKUP(B559,M!$B$6:$I$733,8,FALSE)="ინ",VLOOKUP(B559,M!$B$6:$I$733,3,FALSE)*0.001*#REF!*#REF!,IF(VLOOKUP(B559,M!$B$6:$I$733,8,FALSE)="ას",VLOOKUP(B559,M!$B$6:$I$733,3,FALSE)*0.001*#REF!*#REF!,IF(VLOOKUP(B559,M!$B$6:$I$733,8,FALSE)="სხ",VLOOKUP(B559,M!$B$6:$I$733,3,FALSE)*0.001*#REF!*#REF!,IF(VLOOKUP(B559,M!$B$6:$I$733,8,FALSE)="ხმ",VLOOKUP(B559,M!$B$6:$I$733,3,FALSE)*0.001*#REF!*#REF!))))))))),2)</f>
        <v>#REF!</v>
      </c>
      <c r="K559" s="13" t="e">
        <f t="shared" ref="K559:K561" si="155">ROUND(E559*J559,1)</f>
        <v>#REF!</v>
      </c>
      <c r="L559" s="14" t="e">
        <f>G559+I559+K559</f>
        <v>#REF!</v>
      </c>
      <c r="M559" s="23" t="str">
        <f>(IF(ISNUMBER(MATCH(B559,E!$B$6:$B$197,0)),VLOOKUP(B559,E!$B$6:$E$197,4,FALSE),VLOOKUP(B559,M!$B$6:$I$733,7,FALSE)))</f>
        <v>5.1-7</v>
      </c>
    </row>
    <row r="560" spans="1:14" ht="39.950000000000003" customHeight="1" x14ac:dyDescent="0.25">
      <c r="A560" s="16" t="s">
        <v>696</v>
      </c>
      <c r="B560" s="2" t="s">
        <v>550</v>
      </c>
      <c r="C560" s="2" t="s">
        <v>674</v>
      </c>
      <c r="D560" s="2">
        <v>1.37</v>
      </c>
      <c r="E560" s="14">
        <f>D560*E554/100</f>
        <v>1.37</v>
      </c>
      <c r="F560" s="31" t="e">
        <f>ROUND(VLOOKUP(B560,M!$B$6:$H$733,IF(#REF!="დაბალი",4,IF(#REF!="საშუალო",6,IF(#REF!="მაღალი",5))),FALSE),2)</f>
        <v>#REF!</v>
      </c>
      <c r="G560" s="14" t="e">
        <f t="shared" ref="G560:G564" si="156">ROUND(E560*F560,2)</f>
        <v>#REF!</v>
      </c>
      <c r="H560" s="2"/>
      <c r="I560" s="2"/>
      <c r="J560" s="35" t="e">
        <f>ROUND(IF(ISNUMBER(MATCH(B560,E!$B$6:$B$197,0)),VLOOKUP(B560,E!$B$6:$E$197,2,FALSE),IF(#REF!="დიახ",IF(VLOOKUP(B560,M!$B$6:$I$733,8,FALSE)="ლ",VLOOKUP(B560,M!$B$6:$I$733,3,FALSE)*0.001*#REF!*#REF!,IF(VLOOKUP(B560,M!$B$6:$I$733,8,FALSE)="მბ",VLOOKUP(B560,M!$B$6:$I$733,3,FALSE)*0.001*#REF!*#REF!,IF(VLOOKUP(B560,M!$B$6:$I$733,8,FALSE)="აბ",VLOOKUP(B560,M!$B$6:$I$733,3,FALSE)*0.001*#REF!*#REF!,IF(VLOOKUP(B560,M!$B$6:$I$733,8,FALSE)="ინ",VLOOKUP(B560,M!$B$6:$I$733,3,FALSE)*0.001*#REF!*#REF!,IF(VLOOKUP(B560,M!$B$6:$I$733,8,FALSE)="ას",VLOOKUP(B560,M!$B$6:$I$733,3,FALSE)*0.001*#REF!*#REF!,IF(VLOOKUP(B560,M!$B$6:$I$733,8,FALSE)="სხ",VLOOKUP(B560,M!$B$6:$I$733,3,FALSE)*0.001*#REF!*#REF!,IF(VLOOKUP(B560,M!$B$6:$I$733,8,FALSE)="ხმ",VLOOKUP(B560,M!$B$6:$I$733,3,FALSE)*0.001*#REF!*#REF!))))))))),2)</f>
        <v>#REF!</v>
      </c>
      <c r="K560" s="13" t="e">
        <f t="shared" si="155"/>
        <v>#REF!</v>
      </c>
      <c r="L560" s="14" t="e">
        <f t="shared" ref="L560:L564" si="157">G560+I560+K560</f>
        <v>#REF!</v>
      </c>
      <c r="M560" s="23" t="str">
        <f>(IF(ISNUMBER(MATCH(B560,E!$B$6:$B$197,0)),VLOOKUP(B560,E!$B$6:$E$197,4,FALSE),VLOOKUP(B560,M!$B$6:$I$733,7,FALSE)))</f>
        <v>5.1-21</v>
      </c>
    </row>
    <row r="561" spans="1:14" ht="39.950000000000003" customHeight="1" x14ac:dyDescent="0.25">
      <c r="A561" s="16" t="s">
        <v>733</v>
      </c>
      <c r="B561" s="2" t="s">
        <v>551</v>
      </c>
      <c r="C561" s="2" t="s">
        <v>674</v>
      </c>
      <c r="D561" s="2">
        <v>0.22</v>
      </c>
      <c r="E561" s="14">
        <f>D561*E554/100</f>
        <v>0.22</v>
      </c>
      <c r="F561" s="31" t="e">
        <f>ROUND(VLOOKUP(B561,M!$B$6:$H$733,IF(#REF!="დაბალი",4,IF(#REF!="საშუალო",6,IF(#REF!="მაღალი",5))),FALSE),2)</f>
        <v>#REF!</v>
      </c>
      <c r="G561" s="14" t="e">
        <f t="shared" si="156"/>
        <v>#REF!</v>
      </c>
      <c r="H561" s="2"/>
      <c r="I561" s="2"/>
      <c r="J561" s="35" t="e">
        <f>ROUND(IF(ISNUMBER(MATCH(B561,E!$B$6:$B$197,0)),VLOOKUP(B561,E!$B$6:$E$197,2,FALSE),IF(#REF!="დიახ",IF(VLOOKUP(B561,M!$B$6:$I$733,8,FALSE)="ლ",VLOOKUP(B561,M!$B$6:$I$733,3,FALSE)*0.001*#REF!*#REF!,IF(VLOOKUP(B561,M!$B$6:$I$733,8,FALSE)="მბ",VLOOKUP(B561,M!$B$6:$I$733,3,FALSE)*0.001*#REF!*#REF!,IF(VLOOKUP(B561,M!$B$6:$I$733,8,FALSE)="აბ",VLOOKUP(B561,M!$B$6:$I$733,3,FALSE)*0.001*#REF!*#REF!,IF(VLOOKUP(B561,M!$B$6:$I$733,8,FALSE)="ინ",VLOOKUP(B561,M!$B$6:$I$733,3,FALSE)*0.001*#REF!*#REF!,IF(VLOOKUP(B561,M!$B$6:$I$733,8,FALSE)="ას",VLOOKUP(B561,M!$B$6:$I$733,3,FALSE)*0.001*#REF!*#REF!,IF(VLOOKUP(B561,M!$B$6:$I$733,8,FALSE)="სხ",VLOOKUP(B561,M!$B$6:$I$733,3,FALSE)*0.001*#REF!*#REF!,IF(VLOOKUP(B561,M!$B$6:$I$733,8,FALSE)="ხმ",VLOOKUP(B561,M!$B$6:$I$733,3,FALSE)*0.001*#REF!*#REF!))))))))),2)</f>
        <v>#REF!</v>
      </c>
      <c r="K561" s="13" t="e">
        <f t="shared" si="155"/>
        <v>#REF!</v>
      </c>
      <c r="L561" s="14" t="e">
        <f t="shared" si="157"/>
        <v>#REF!</v>
      </c>
      <c r="M561" s="23" t="str">
        <f>(IF(ISNUMBER(MATCH(B561,E!$B$6:$B$197,0)),VLOOKUP(B561,E!$B$6:$E$197,4,FALSE),VLOOKUP(B561,M!$B$6:$I$733,7,FALSE)))</f>
        <v>5.1-22</v>
      </c>
    </row>
    <row r="562" spans="1:14" ht="39.950000000000003" customHeight="1" x14ac:dyDescent="0.25">
      <c r="A562" s="16" t="s">
        <v>734</v>
      </c>
      <c r="B562" s="2" t="s">
        <v>128</v>
      </c>
      <c r="C562" s="2" t="s">
        <v>28</v>
      </c>
      <c r="D562" s="2">
        <v>51.5</v>
      </c>
      <c r="E562" s="14">
        <f>D562*E554/100</f>
        <v>51.5</v>
      </c>
      <c r="F562" s="31" t="e">
        <f>ROUND(VLOOKUP(B562,M!$B$6:$H$733,IF(#REF!="დაბალი",4,IF(#REF!="საშუალო",6,IF(#REF!="მაღალი",5))),FALSE),2)</f>
        <v>#REF!</v>
      </c>
      <c r="G562" s="14" t="e">
        <f t="shared" si="156"/>
        <v>#REF!</v>
      </c>
      <c r="H562" s="2"/>
      <c r="I562" s="2"/>
      <c r="J562" s="35" t="e">
        <f>ROUND(IF(ISNUMBER(MATCH(B562,E!$B$6:$B$197,0)),VLOOKUP(B562,E!$B$6:$E$197,2,FALSE),IF(#REF!="დიახ",IF(VLOOKUP(B562,M!$B$6:$I$733,8,FALSE)="ლ",VLOOKUP(B562,M!$B$6:$I$733,3,FALSE)*0.001*#REF!*#REF!,IF(VLOOKUP(B562,M!$B$6:$I$733,8,FALSE)="მბ",VLOOKUP(B562,M!$B$6:$I$733,3,FALSE)*0.001*#REF!*#REF!,IF(VLOOKUP(B562,M!$B$6:$I$733,8,FALSE)="აბ",VLOOKUP(B562,M!$B$6:$I$733,3,FALSE)*0.001*#REF!*#REF!,IF(VLOOKUP(B562,M!$B$6:$I$733,8,FALSE)="ინ",VLOOKUP(B562,M!$B$6:$I$733,3,FALSE)*0.001*#REF!*#REF!,IF(VLOOKUP(B562,M!$B$6:$I$733,8,FALSE)="ას",VLOOKUP(B562,M!$B$6:$I$733,3,FALSE)*0.001*#REF!*#REF!,IF(VLOOKUP(B562,M!$B$6:$I$733,8,FALSE)="სხ",VLOOKUP(B562,M!$B$6:$I$733,3,FALSE)*0.001*#REF!*#REF!,IF(VLOOKUP(B562,M!$B$6:$I$733,8,FALSE)="ხმ",VLOOKUP(B562,M!$B$6:$I$733,3,FALSE)*0.001*#REF!*#REF!))))))))),2)</f>
        <v>#REF!</v>
      </c>
      <c r="K562" s="13" t="e">
        <f t="shared" ref="K562:K563" si="158">ROUND(E562*J562,1)</f>
        <v>#REF!</v>
      </c>
      <c r="L562" s="14" t="e">
        <f t="shared" si="157"/>
        <v>#REF!</v>
      </c>
      <c r="M562" s="23" t="str">
        <f>(IF(ISNUMBER(MATCH(B562,E!$B$6:$B$197,0)),VLOOKUP(B562,E!$B$6:$E$197,4,FALSE),VLOOKUP(B562,M!$B$6:$I$733,7,FALSE)))</f>
        <v>1.9-68</v>
      </c>
    </row>
    <row r="563" spans="1:14" ht="39.950000000000003" customHeight="1" x14ac:dyDescent="0.25">
      <c r="A563" s="16" t="s">
        <v>735</v>
      </c>
      <c r="B563" s="2" t="s">
        <v>139</v>
      </c>
      <c r="C563" s="2" t="s">
        <v>28</v>
      </c>
      <c r="D563" s="2">
        <v>25</v>
      </c>
      <c r="E563" s="14">
        <f>D563*E554/100</f>
        <v>25</v>
      </c>
      <c r="F563" s="31" t="e">
        <f>ROUND(VLOOKUP(B563,M!$B$6:$H$733,IF(#REF!="დაბალი",4,IF(#REF!="საშუალო",6,IF(#REF!="მაღალი",5))),FALSE),2)</f>
        <v>#REF!</v>
      </c>
      <c r="G563" s="14" t="e">
        <f t="shared" ref="G563" si="159">ROUND(E563*F563,2)</f>
        <v>#REF!</v>
      </c>
      <c r="H563" s="2"/>
      <c r="I563" s="2"/>
      <c r="J563" s="35" t="e">
        <f>ROUND(IF(ISNUMBER(MATCH(B563,E!$B$6:$B$197,0)),VLOOKUP(B563,E!$B$6:$E$197,2,FALSE),IF(#REF!="დიახ",IF(VLOOKUP(B563,M!$B$6:$I$733,8,FALSE)="ლ",VLOOKUP(B563,M!$B$6:$I$733,3,FALSE)*0.001*#REF!*#REF!,IF(VLOOKUP(B563,M!$B$6:$I$733,8,FALSE)="მბ",VLOOKUP(B563,M!$B$6:$I$733,3,FALSE)*0.001*#REF!*#REF!,IF(VLOOKUP(B563,M!$B$6:$I$733,8,FALSE)="აბ",VLOOKUP(B563,M!$B$6:$I$733,3,FALSE)*0.001*#REF!*#REF!,IF(VLOOKUP(B563,M!$B$6:$I$733,8,FALSE)="ინ",VLOOKUP(B563,M!$B$6:$I$733,3,FALSE)*0.001*#REF!*#REF!,IF(VLOOKUP(B563,M!$B$6:$I$733,8,FALSE)="ას",VLOOKUP(B563,M!$B$6:$I$733,3,FALSE)*0.001*#REF!*#REF!,IF(VLOOKUP(B563,M!$B$6:$I$733,8,FALSE)="სხ",VLOOKUP(B563,M!$B$6:$I$733,3,FALSE)*0.001*#REF!*#REF!,IF(VLOOKUP(B563,M!$B$6:$I$733,8,FALSE)="ხმ",VLOOKUP(B563,M!$B$6:$I$733,3,FALSE)*0.001*#REF!*#REF!))))))))),2)</f>
        <v>#REF!</v>
      </c>
      <c r="K563" s="13" t="e">
        <f t="shared" si="158"/>
        <v>#REF!</v>
      </c>
      <c r="L563" s="14" t="e">
        <f t="shared" ref="L563" si="160">G563+I563+K563</f>
        <v>#REF!</v>
      </c>
      <c r="M563" s="23" t="str">
        <f>(IF(ISNUMBER(MATCH(B563,E!$B$6:$B$197,0)),VLOOKUP(B563,E!$B$6:$E$197,4,FALSE),VLOOKUP(B563,M!$B$6:$I$733,7,FALSE)))</f>
        <v>1.10-16</v>
      </c>
    </row>
    <row r="564" spans="1:14" ht="39.950000000000003" customHeight="1" x14ac:dyDescent="0.25">
      <c r="A564" s="16" t="s">
        <v>736</v>
      </c>
      <c r="B564" s="17" t="s">
        <v>677</v>
      </c>
      <c r="C564" s="2" t="s">
        <v>393</v>
      </c>
      <c r="D564" s="2">
        <v>43.9</v>
      </c>
      <c r="E564" s="14">
        <f>D564*E554/100</f>
        <v>43.9</v>
      </c>
      <c r="F564" s="31" t="e">
        <f>ROUND(VLOOKUP(B564,M!$B$6:$H$733,IF(#REF!="დაბალი",4,IF(#REF!="საშუალო",6,IF(#REF!="მაღალი",5))),FALSE),2)</f>
        <v>#REF!</v>
      </c>
      <c r="G564" s="14" t="e">
        <f t="shared" si="156"/>
        <v>#REF!</v>
      </c>
      <c r="H564" s="2"/>
      <c r="I564" s="2"/>
      <c r="J564" s="2"/>
      <c r="K564" s="2"/>
      <c r="L564" s="14" t="e">
        <f t="shared" si="157"/>
        <v>#REF!</v>
      </c>
      <c r="M564" s="23" t="str">
        <f>(IF(ISNUMBER(MATCH(B564,E!$B$6:$B$197,0)),VLOOKUP(B564,E!$B$6:$E$197,4,FALSE),VLOOKUP(B564,M!$B$6:$I$733,7,FALSE)))</f>
        <v>ს.რ.ფ</v>
      </c>
    </row>
    <row r="565" spans="1:14" s="45" customFormat="1" ht="39.950000000000003" customHeight="1" x14ac:dyDescent="0.25">
      <c r="A565" s="70">
        <v>1.1000000000000001</v>
      </c>
      <c r="B565" s="71" t="s">
        <v>1163</v>
      </c>
      <c r="C565" s="41" t="s">
        <v>9</v>
      </c>
      <c r="D565" s="41"/>
      <c r="E565" s="43">
        <v>1</v>
      </c>
      <c r="F565" s="41"/>
      <c r="G565" s="41"/>
      <c r="H565" s="41"/>
      <c r="I565" s="41"/>
      <c r="J565" s="41"/>
      <c r="K565" s="41"/>
      <c r="L565" s="43" t="e">
        <f>SUM(L566:L567)</f>
        <v>#REF!</v>
      </c>
      <c r="M565" s="57" t="s">
        <v>1162</v>
      </c>
      <c r="N565" s="68"/>
    </row>
    <row r="566" spans="1:14" ht="39.950000000000003" customHeight="1" x14ac:dyDescent="0.25">
      <c r="A566" s="16" t="s">
        <v>668</v>
      </c>
      <c r="B566" s="17" t="s">
        <v>669</v>
      </c>
      <c r="C566" s="2" t="s">
        <v>670</v>
      </c>
      <c r="D566" s="2">
        <v>24.4</v>
      </c>
      <c r="E566" s="14">
        <f>D566*E565</f>
        <v>24.4</v>
      </c>
      <c r="F566" s="2"/>
      <c r="G566" s="2"/>
      <c r="H566" s="27">
        <f>IF((ISNUMBER(--LEFT(M565,2))),VLOOKUP(--LEFT(M565,2),N!$A$5:$C$54,3,FALSE),VLOOKUP(--LEFT(M565,1),N!$A$5:$C$54,3,FALSE))</f>
        <v>6</v>
      </c>
      <c r="I566" s="13">
        <f>ROUND(E566*H566,1)</f>
        <v>146.4</v>
      </c>
      <c r="J566" s="2"/>
      <c r="K566" s="2"/>
      <c r="L566" s="14">
        <f t="shared" ref="L566" si="161">G566+I566+K566</f>
        <v>146.4</v>
      </c>
      <c r="M566" s="23" t="str">
        <f>(IF(ISNUMBER(MATCH(B566,E!$B$6:$B$197,0)),VLOOKUP(B566,E!$B$6:$E$197,4,FALSE),VLOOKUP(B566,M!$B$6:$I$733,7,FALSE)))</f>
        <v>მ.ც</v>
      </c>
    </row>
    <row r="567" spans="1:14" ht="39.950000000000003" customHeight="1" x14ac:dyDescent="0.25">
      <c r="A567" s="16" t="s">
        <v>671</v>
      </c>
      <c r="B567" s="2" t="s">
        <v>21</v>
      </c>
      <c r="C567" s="2" t="s">
        <v>9</v>
      </c>
      <c r="D567" s="2">
        <v>1</v>
      </c>
      <c r="E567" s="14">
        <f>D567*E565</f>
        <v>1</v>
      </c>
      <c r="F567" s="31" t="e">
        <f>ROUND(VLOOKUP(B567,M!$B$6:$H$733,IF(#REF!="დაბალი",4,IF(#REF!="საშუალო",6,IF(#REF!="მაღალი",5))),FALSE),2)</f>
        <v>#REF!</v>
      </c>
      <c r="G567" s="14" t="e">
        <f t="shared" ref="G567" si="162">ROUND(E567*F567,2)</f>
        <v>#REF!</v>
      </c>
      <c r="H567" s="2"/>
      <c r="I567" s="2"/>
      <c r="J567" s="35" t="e">
        <f>ROUND(IF(ISNUMBER(MATCH(B567,E!$B$6:$B$197,0)),VLOOKUP(B567,E!$B$6:$E$197,2,FALSE),IF(#REF!="დიახ",IF(VLOOKUP(B567,M!$B$6:$I$733,8,FALSE)="ლ",VLOOKUP(B567,M!$B$6:$I$733,3,FALSE)*0.001*#REF!*#REF!,IF(VLOOKUP(B567,M!$B$6:$I$733,8,FALSE)="მბ",VLOOKUP(B567,M!$B$6:$I$733,3,FALSE)*0.001*#REF!*#REF!,IF(VLOOKUP(B567,M!$B$6:$I$733,8,FALSE)="აბ",VLOOKUP(B567,M!$B$6:$I$733,3,FALSE)*0.001*#REF!*#REF!,IF(VLOOKUP(B567,M!$B$6:$I$733,8,FALSE)="ინ",VLOOKUP(B567,M!$B$6:$I$733,3,FALSE)*0.001*#REF!*#REF!,IF(VLOOKUP(B567,M!$B$6:$I$733,8,FALSE)="ას",VLOOKUP(B567,M!$B$6:$I$733,3,FALSE)*0.001*#REF!*#REF!,IF(VLOOKUP(B567,M!$B$6:$I$733,8,FALSE)="სხ",VLOOKUP(B567,M!$B$6:$I$733,3,FALSE)*0.001*#REF!*#REF!,IF(VLOOKUP(B567,M!$B$6:$I$733,8,FALSE)="ხმ",VLOOKUP(B567,M!$B$6:$I$733,3,FALSE)*0.001*#REF!*#REF!))))))))),2)</f>
        <v>#REF!</v>
      </c>
      <c r="K567" s="14" t="e">
        <f>ROUND(E567*J567,2)</f>
        <v>#REF!</v>
      </c>
      <c r="L567" s="14" t="e">
        <f>G567+I567+K567</f>
        <v>#REF!</v>
      </c>
      <c r="M567" s="23" t="str">
        <f>(IF(ISNUMBER(MATCH(B567,E!$B$6:$B$197,0)),VLOOKUP(B567,E!$B$6:$E$197,4,FALSE),VLOOKUP(B567,M!$B$6:$I$733,7,FALSE)))</f>
        <v>1.1-12</v>
      </c>
    </row>
    <row r="568" spans="1:14" s="45" customFormat="1" ht="39.950000000000003" customHeight="1" x14ac:dyDescent="0.25">
      <c r="A568" s="70">
        <v>1.1000000000000001</v>
      </c>
      <c r="B568" s="71" t="s">
        <v>1125</v>
      </c>
      <c r="C568" s="41" t="s">
        <v>712</v>
      </c>
      <c r="D568" s="41"/>
      <c r="E568" s="52">
        <v>100</v>
      </c>
      <c r="F568" s="41"/>
      <c r="G568" s="41"/>
      <c r="H568" s="41"/>
      <c r="I568" s="41"/>
      <c r="J568" s="41"/>
      <c r="K568" s="41"/>
      <c r="L568" s="43" t="e">
        <f>SUM(L569:L579)</f>
        <v>#REF!</v>
      </c>
      <c r="M568" s="57" t="s">
        <v>1126</v>
      </c>
      <c r="N568" s="68"/>
    </row>
    <row r="569" spans="1:14" ht="39.950000000000003" customHeight="1" x14ac:dyDescent="0.25">
      <c r="A569" s="16" t="s">
        <v>668</v>
      </c>
      <c r="B569" s="17" t="s">
        <v>669</v>
      </c>
      <c r="C569" s="2" t="s">
        <v>670</v>
      </c>
      <c r="D569" s="2">
        <v>456</v>
      </c>
      <c r="E569" s="14">
        <f>D569*E568/100</f>
        <v>456</v>
      </c>
      <c r="F569" s="2"/>
      <c r="G569" s="2"/>
      <c r="H569" s="27">
        <f>IF((ISNUMBER(--LEFT(M568,2))),VLOOKUP(--LEFT(M568,2),N!$A$5:$C$54,3,FALSE),VLOOKUP(--LEFT(M568,1),N!$A$5:$C$54,3,FALSE))</f>
        <v>6</v>
      </c>
      <c r="I569" s="13">
        <f>ROUND(E569*H569,1)</f>
        <v>2736</v>
      </c>
      <c r="J569" s="2"/>
      <c r="K569" s="2"/>
      <c r="L569" s="14">
        <f t="shared" ref="L569" si="163">G569+I569+K569</f>
        <v>2736</v>
      </c>
      <c r="M569" s="23" t="str">
        <f>(IF(ISNUMBER(MATCH(B569,E!$B$6:$B$197,0)),VLOOKUP(B569,E!$B$6:$E$197,4,FALSE),VLOOKUP(B569,M!$B$6:$I$733,7,FALSE)))</f>
        <v>მ.ც</v>
      </c>
    </row>
    <row r="570" spans="1:14" ht="39.950000000000003" customHeight="1" x14ac:dyDescent="0.25">
      <c r="A570" s="16" t="s">
        <v>671</v>
      </c>
      <c r="B570" s="2" t="s">
        <v>170</v>
      </c>
      <c r="C570" s="2" t="s">
        <v>672</v>
      </c>
      <c r="D570" s="2">
        <v>57.6</v>
      </c>
      <c r="E570" s="14">
        <f>D570*E568/100</f>
        <v>57.6</v>
      </c>
      <c r="F570" s="13"/>
      <c r="G570" s="13"/>
      <c r="H570" s="2"/>
      <c r="I570" s="2"/>
      <c r="J570" s="35">
        <f>ROUND(IF(ISNUMBER(MATCH(B570,E!$B$6:$B$197,0)),VLOOKUP(B570,E!$B$6:$E$197,2,FALSE),IF(#REF!="დიახ",IF(VLOOKUP(B570,M!$B$6:$I$733,8,FALSE)="ლ",VLOOKUP(B570,M!$B$6:$I$733,3,FALSE)*0.001*#REF!*#REF!,IF(VLOOKUP(B570,M!$B$6:$I$733,8,FALSE)="მბ",VLOOKUP(B570,M!$B$6:$I$733,3,FALSE)*0.001*#REF!*#REF!,IF(VLOOKUP(B570,M!$B$6:$I$733,8,FALSE)="აბ",VLOOKUP(B570,M!$B$6:$I$733,3,FALSE)*0.001*#REF!*#REF!,IF(VLOOKUP(B570,M!$B$6:$I$733,8,FALSE)="ინ",VLOOKUP(B570,M!$B$6:$I$733,3,FALSE)*0.001*#REF!*#REF!,IF(VLOOKUP(B570,M!$B$6:$I$733,8,FALSE)="ას",VLOOKUP(B570,M!$B$6:$I$733,3,FALSE)*0.001*#REF!*#REF!,IF(VLOOKUP(B570,M!$B$6:$I$733,8,FALSE)="სხ",VLOOKUP(B570,M!$B$6:$I$733,3,FALSE)*0.001*#REF!*#REF!,IF(VLOOKUP(B570,M!$B$6:$I$733,8,FALSE)="ხმ",VLOOKUP(B570,M!$B$6:$I$733,3,FALSE)*0.001*#REF!*#REF!))))))))),2)</f>
        <v>31.25</v>
      </c>
      <c r="K570" s="14">
        <f>ROUND(E570*J570,2)</f>
        <v>1800</v>
      </c>
      <c r="L570" s="14">
        <f>G570+I570+K570</f>
        <v>1800</v>
      </c>
      <c r="M570" s="23" t="str">
        <f>(IF(ISNUMBER(MATCH(B570,E!$B$6:$B$197,0)),VLOOKUP(B570,E!$B$6:$E$197,4,FALSE),VLOOKUP(B570,M!$B$6:$I$733,7,FALSE)))</f>
        <v>14-44</v>
      </c>
    </row>
    <row r="571" spans="1:14" ht="39.950000000000003" customHeight="1" x14ac:dyDescent="0.25">
      <c r="A571" s="16" t="s">
        <v>673</v>
      </c>
      <c r="B571" s="17" t="s">
        <v>654</v>
      </c>
      <c r="C571" s="2" t="s">
        <v>672</v>
      </c>
      <c r="D571" s="2">
        <v>78.900000000000006</v>
      </c>
      <c r="E571" s="14">
        <f>D571*E568/100</f>
        <v>78.900000000000006</v>
      </c>
      <c r="F571" s="2"/>
      <c r="G571" s="2"/>
      <c r="H571" s="2"/>
      <c r="I571" s="2"/>
      <c r="J571" s="35">
        <f>ROUND(IF(ISNUMBER(MATCH(B571,E!$B$6:$B$197,0)),VLOOKUP(B571,E!$B$6:$E$197,2,FALSE),IF(#REF!="დიახ",IF(VLOOKUP(B571,M!$B$6:$I$733,8,FALSE)="ლ",VLOOKUP(B571,M!$B$6:$I$733,3,FALSE)*0.001*#REF!*#REF!,IF(VLOOKUP(B571,M!$B$6:$I$733,8,FALSE)="მბ",VLOOKUP(B571,M!$B$6:$I$733,3,FALSE)*0.001*#REF!*#REF!,IF(VLOOKUP(B571,M!$B$6:$I$733,8,FALSE)="აბ",VLOOKUP(B571,M!$B$6:$I$733,3,FALSE)*0.001*#REF!*#REF!,IF(VLOOKUP(B571,M!$B$6:$I$733,8,FALSE)="ინ",VLOOKUP(B571,M!$B$6:$I$733,3,FALSE)*0.001*#REF!*#REF!,IF(VLOOKUP(B571,M!$B$6:$I$733,8,FALSE)="ას",VLOOKUP(B571,M!$B$6:$I$733,3,FALSE)*0.001*#REF!*#REF!,IF(VLOOKUP(B571,M!$B$6:$I$733,8,FALSE)="სხ",VLOOKUP(B571,M!$B$6:$I$733,3,FALSE)*0.001*#REF!*#REF!,IF(VLOOKUP(B571,M!$B$6:$I$733,8,FALSE)="ხმ",VLOOKUP(B571,M!$B$6:$I$733,3,FALSE)*0.001*#REF!*#REF!))))))))),2)</f>
        <v>3.2</v>
      </c>
      <c r="K571" s="13">
        <f t="shared" ref="K571" si="164">ROUND(E571*J571,1)</f>
        <v>252.5</v>
      </c>
      <c r="L571" s="14">
        <f t="shared" ref="L571:L574" si="165">G571+I571+K571</f>
        <v>252.5</v>
      </c>
      <c r="M571" s="23" t="str">
        <f>(IF(ISNUMBER(MATCH(B571,E!$B$6:$B$197,0)),VLOOKUP(B571,E!$B$6:$E$197,4,FALSE),VLOOKUP(B571,M!$B$6:$I$733,7,FALSE)))</f>
        <v>ს.რ.ფ</v>
      </c>
    </row>
    <row r="572" spans="1:14" ht="39.950000000000003" customHeight="1" x14ac:dyDescent="0.25">
      <c r="A572" s="16" t="s">
        <v>675</v>
      </c>
      <c r="B572" s="2" t="s">
        <v>801</v>
      </c>
      <c r="C572" s="2" t="s">
        <v>674</v>
      </c>
      <c r="D572" s="112">
        <v>104</v>
      </c>
      <c r="E572" s="14">
        <f>D572*E568/100</f>
        <v>104</v>
      </c>
      <c r="F572" s="31" t="e">
        <f>ROUND(VLOOKUP(B572,M!$B$6:$H$733,IF(#REF!="დაბალი",4,IF(#REF!="საშუალო",6,IF(#REF!="მაღალი",5))),FALSE),2)</f>
        <v>#REF!</v>
      </c>
      <c r="G572" s="112" t="e">
        <f t="shared" ref="G572:G574" si="166">ROUND(E572*F572,2)</f>
        <v>#REF!</v>
      </c>
      <c r="H572" s="112"/>
      <c r="I572" s="112"/>
      <c r="J572" s="35" t="e">
        <f>ROUND(IF(ISNUMBER(MATCH(B572,E!$B$6:$B$197,0)),VLOOKUP(B572,E!$B$6:$E$197,2,FALSE),IF(#REF!="დიახ",IF(VLOOKUP(B572,M!$B$6:$I$733,8,FALSE)="ლ",VLOOKUP(B572,M!$B$6:$I$733,3,FALSE)*0.001*#REF!*#REF!,IF(VLOOKUP(B572,M!$B$6:$I$733,8,FALSE)="მბ",VLOOKUP(B572,M!$B$6:$I$733,3,FALSE)*0.001*#REF!*#REF!,IF(VLOOKUP(B572,M!$B$6:$I$733,8,FALSE)="აბ",VLOOKUP(B572,M!$B$6:$I$733,3,FALSE)*0.001*#REF!*#REF!,IF(VLOOKUP(B572,M!$B$6:$I$733,8,FALSE)="ინ",VLOOKUP(B572,M!$B$6:$I$733,3,FALSE)*0.001*#REF!*#REF!,IF(VLOOKUP(B572,M!$B$6:$I$733,8,FALSE)="ას",VLOOKUP(B572,M!$B$6:$I$733,3,FALSE)*0.001*#REF!*#REF!,IF(VLOOKUP(B572,M!$B$6:$I$733,8,FALSE)="სხ",VLOOKUP(B572,M!$B$6:$I$733,3,FALSE)*0.001*#REF!*#REF!,IF(VLOOKUP(B572,M!$B$6:$I$733,8,FALSE)="ხმ",VLOOKUP(B572,M!$B$6:$I$733,3,FALSE)*0.001*#REF!*#REF!))))))))),2)</f>
        <v>#REF!</v>
      </c>
      <c r="K572" s="112" t="e">
        <f>ROUND(E572*J572,2)</f>
        <v>#REF!</v>
      </c>
      <c r="L572" s="14" t="e">
        <f t="shared" si="165"/>
        <v>#REF!</v>
      </c>
      <c r="M572" s="23" t="str">
        <f>(IF(ISNUMBER(MATCH(B572,E!$B$6:$B$197,0)),VLOOKUP(B572,E!$B$6:$E$197,4,FALSE),VLOOKUP(B572,M!$B$6:$I$733,7,FALSE)))</f>
        <v>4.1-345</v>
      </c>
    </row>
    <row r="573" spans="1:14" ht="39.950000000000003" customHeight="1" x14ac:dyDescent="0.25">
      <c r="A573" s="16" t="s">
        <v>695</v>
      </c>
      <c r="B573" s="2" t="s">
        <v>21</v>
      </c>
      <c r="C573" s="2" t="s">
        <v>9</v>
      </c>
      <c r="D573" s="2" t="s">
        <v>827</v>
      </c>
      <c r="E573" s="133">
        <v>1</v>
      </c>
      <c r="F573" s="31" t="e">
        <f>ROUND(VLOOKUP(B573,M!$B$6:$H$733,IF(#REF!="დაბალი",4,IF(#REF!="საშუალო",6,IF(#REF!="მაღალი",5))),FALSE),2)</f>
        <v>#REF!</v>
      </c>
      <c r="G573" s="14" t="e">
        <f t="shared" si="166"/>
        <v>#REF!</v>
      </c>
      <c r="H573" s="2"/>
      <c r="I573" s="2"/>
      <c r="J573" s="35" t="e">
        <f>ROUND(IF(ISNUMBER(MATCH(B573,E!$B$6:$B$197,0)),VLOOKUP(B573,E!$B$6:$E$197,2,FALSE),IF(#REF!="დიახ",IF(VLOOKUP(B573,M!$B$6:$I$733,8,FALSE)="ლ",VLOOKUP(B573,M!$B$6:$I$733,3,FALSE)*0.001*#REF!*#REF!,IF(VLOOKUP(B573,M!$B$6:$I$733,8,FALSE)="მბ",VLOOKUP(B573,M!$B$6:$I$733,3,FALSE)*0.001*#REF!*#REF!,IF(VLOOKUP(B573,M!$B$6:$I$733,8,FALSE)="აბ",VLOOKUP(B573,M!$B$6:$I$733,3,FALSE)*0.001*#REF!*#REF!,IF(VLOOKUP(B573,M!$B$6:$I$733,8,FALSE)="ინ",VLOOKUP(B573,M!$B$6:$I$733,3,FALSE)*0.001*#REF!*#REF!,IF(VLOOKUP(B573,M!$B$6:$I$733,8,FALSE)="ას",VLOOKUP(B573,M!$B$6:$I$733,3,FALSE)*0.001*#REF!*#REF!,IF(VLOOKUP(B573,M!$B$6:$I$733,8,FALSE)="სხ",VLOOKUP(B573,M!$B$6:$I$733,3,FALSE)*0.001*#REF!*#REF!,IF(VLOOKUP(B573,M!$B$6:$I$733,8,FALSE)="ხმ",VLOOKUP(B573,M!$B$6:$I$733,3,FALSE)*0.001*#REF!*#REF!))))))))),2)</f>
        <v>#REF!</v>
      </c>
      <c r="K573" s="13" t="e">
        <f t="shared" ref="K573" si="167">ROUND(E573*J573,1)</f>
        <v>#REF!</v>
      </c>
      <c r="L573" s="14" t="e">
        <f t="shared" si="165"/>
        <v>#REF!</v>
      </c>
      <c r="M573" s="23" t="str">
        <f>(IF(ISNUMBER(MATCH(B573,E!$B$6:$B$197,0)),VLOOKUP(B573,E!$B$6:$E$197,4,FALSE),VLOOKUP(B573,M!$B$6:$I$733,7,FALSE)))</f>
        <v>1.1-12</v>
      </c>
    </row>
    <row r="574" spans="1:14" ht="39.950000000000003" customHeight="1" x14ac:dyDescent="0.25">
      <c r="A574" s="16" t="s">
        <v>696</v>
      </c>
      <c r="B574" s="17" t="s">
        <v>400</v>
      </c>
      <c r="C574" s="2" t="s">
        <v>674</v>
      </c>
      <c r="D574" s="2">
        <v>0.3</v>
      </c>
      <c r="E574" s="14">
        <f>D574*E568/100</f>
        <v>0.3</v>
      </c>
      <c r="F574" s="31" t="e">
        <f>ROUND(VLOOKUP(B574,M!$B$6:$H$733,IF(#REF!="დაბალი",4,IF(#REF!="საშუალო",6,IF(#REF!="მაღალი",5))),FALSE),2)</f>
        <v>#REF!</v>
      </c>
      <c r="G574" s="14" t="e">
        <f t="shared" si="166"/>
        <v>#REF!</v>
      </c>
      <c r="H574" s="2"/>
      <c r="I574" s="2"/>
      <c r="J574" s="35" t="e">
        <f>ROUND(IF(ISNUMBER(MATCH(B574,E!$B$6:$B$197,0)),VLOOKUP(B574,E!$B$6:$E$197,2,FALSE),IF(#REF!="დიახ",IF(VLOOKUP(B574,M!$B$6:$I$733,8,FALSE)="ლ",VLOOKUP(B574,M!$B$6:$I$733,3,FALSE)*0.001*#REF!*#REF!,IF(VLOOKUP(B574,M!$B$6:$I$733,8,FALSE)="მბ",VLOOKUP(B574,M!$B$6:$I$733,3,FALSE)*0.001*#REF!*#REF!,IF(VLOOKUP(B574,M!$B$6:$I$733,8,FALSE)="აბ",VLOOKUP(B574,M!$B$6:$I$733,3,FALSE)*0.001*#REF!*#REF!,IF(VLOOKUP(B574,M!$B$6:$I$733,8,FALSE)="ინ",VLOOKUP(B574,M!$B$6:$I$733,3,FALSE)*0.001*#REF!*#REF!,IF(VLOOKUP(B574,M!$B$6:$I$733,8,FALSE)="ას",VLOOKUP(B574,M!$B$6:$I$733,3,FALSE)*0.001*#REF!*#REF!,IF(VLOOKUP(B574,M!$B$6:$I$733,8,FALSE)="სხ",VLOOKUP(B574,M!$B$6:$I$733,3,FALSE)*0.001*#REF!*#REF!,IF(VLOOKUP(B574,M!$B$6:$I$733,8,FALSE)="ხმ",VLOOKUP(B574,M!$B$6:$I$733,3,FALSE)*0.001*#REF!*#REF!))))))))),2)</f>
        <v>#REF!</v>
      </c>
      <c r="K574" s="13" t="e">
        <f t="shared" ref="K574:K577" si="168">ROUND(E574*J574,1)</f>
        <v>#REF!</v>
      </c>
      <c r="L574" s="14" t="e">
        <f t="shared" si="165"/>
        <v>#REF!</v>
      </c>
      <c r="M574" s="23" t="str">
        <f>(IF(ISNUMBER(MATCH(B574,E!$B$6:$B$197,0)),VLOOKUP(B574,E!$B$6:$E$197,4,FALSE),VLOOKUP(B574,M!$B$6:$I$733,7,FALSE)))</f>
        <v>4.1-371</v>
      </c>
    </row>
    <row r="575" spans="1:14" ht="39.950000000000003" customHeight="1" x14ac:dyDescent="0.25">
      <c r="A575" s="16" t="s">
        <v>733</v>
      </c>
      <c r="B575" s="2" t="s">
        <v>536</v>
      </c>
      <c r="C575" s="2" t="s">
        <v>852</v>
      </c>
      <c r="D575" s="2">
        <v>2.9</v>
      </c>
      <c r="E575" s="14">
        <f>D575*E568/100</f>
        <v>2.9</v>
      </c>
      <c r="F575" s="31" t="e">
        <f>ROUND(VLOOKUP(B575,M!$B$6:$H$733,IF(#REF!="დაბალი",4,IF(#REF!="საშუალო",6,IF(#REF!="მაღალი",5))),FALSE),2)</f>
        <v>#REF!</v>
      </c>
      <c r="G575" s="14" t="e">
        <f>ROUND(E575*F575,2)</f>
        <v>#REF!</v>
      </c>
      <c r="H575" s="13"/>
      <c r="I575" s="13"/>
      <c r="J575" s="35" t="e">
        <f>ROUND(IF(ISNUMBER(MATCH(B575,E!$B$6:$B$197,0)),VLOOKUP(B575,E!$B$6:$E$197,2,FALSE),IF(#REF!="დიახ",IF(VLOOKUP(B575,M!$B$6:$I$733,8,FALSE)="ლ",VLOOKUP(B575,M!$B$6:$I$733,3,FALSE)*0.001*#REF!*#REF!,IF(VLOOKUP(B575,M!$B$6:$I$733,8,FALSE)="მბ",VLOOKUP(B575,M!$B$6:$I$733,3,FALSE)*0.001*#REF!*#REF!,IF(VLOOKUP(B575,M!$B$6:$I$733,8,FALSE)="აბ",VLOOKUP(B575,M!$B$6:$I$733,3,FALSE)*0.001*#REF!*#REF!,IF(VLOOKUP(B575,M!$B$6:$I$733,8,FALSE)="ინ",VLOOKUP(B575,M!$B$6:$I$733,3,FALSE)*0.001*#REF!*#REF!,IF(VLOOKUP(B575,M!$B$6:$I$733,8,FALSE)="ას",VLOOKUP(B575,M!$B$6:$I$733,3,FALSE)*0.001*#REF!*#REF!,IF(VLOOKUP(B575,M!$B$6:$I$733,8,FALSE)="სხ",VLOOKUP(B575,M!$B$6:$I$733,3,FALSE)*0.001*#REF!*#REF!,IF(VLOOKUP(B575,M!$B$6:$I$733,8,FALSE)="ხმ",VLOOKUP(B575,M!$B$6:$I$733,3,FALSE)*0.001*#REF!*#REF!))))))))),2)</f>
        <v>#REF!</v>
      </c>
      <c r="K575" s="13" t="e">
        <f t="shared" si="168"/>
        <v>#REF!</v>
      </c>
      <c r="L575" s="14" t="e">
        <f>G575+I575+K575</f>
        <v>#REF!</v>
      </c>
      <c r="M575" s="23" t="str">
        <f>(IF(ISNUMBER(MATCH(B575,E!$B$6:$B$197,0)),VLOOKUP(B575,E!$B$6:$E$197,4,FALSE),VLOOKUP(B575,M!$B$6:$I$733,7,FALSE)))</f>
        <v>5.1-7</v>
      </c>
    </row>
    <row r="576" spans="1:14" ht="39.950000000000003" customHeight="1" x14ac:dyDescent="0.25">
      <c r="A576" s="16" t="s">
        <v>734</v>
      </c>
      <c r="B576" s="2" t="s">
        <v>550</v>
      </c>
      <c r="C576" s="2" t="s">
        <v>674</v>
      </c>
      <c r="D576" s="2">
        <v>0.9</v>
      </c>
      <c r="E576" s="14">
        <f>D576*E568/100</f>
        <v>0.9</v>
      </c>
      <c r="F576" s="31" t="e">
        <f>ROUND(VLOOKUP(B576,M!$B$6:$H$733,IF(#REF!="დაბალი",4,IF(#REF!="საშუალო",6,IF(#REF!="მაღალი",5))),FALSE),2)</f>
        <v>#REF!</v>
      </c>
      <c r="G576" s="14" t="e">
        <f t="shared" ref="G576:G579" si="169">ROUND(E576*F576,2)</f>
        <v>#REF!</v>
      </c>
      <c r="H576" s="2"/>
      <c r="I576" s="2"/>
      <c r="J576" s="35" t="e">
        <f>ROUND(IF(ISNUMBER(MATCH(B576,E!$B$6:$B$197,0)),VLOOKUP(B576,E!$B$6:$E$197,2,FALSE),IF(#REF!="დიახ",IF(VLOOKUP(B576,M!$B$6:$I$733,8,FALSE)="ლ",VLOOKUP(B576,M!$B$6:$I$733,3,FALSE)*0.001*#REF!*#REF!,IF(VLOOKUP(B576,M!$B$6:$I$733,8,FALSE)="მბ",VLOOKUP(B576,M!$B$6:$I$733,3,FALSE)*0.001*#REF!*#REF!,IF(VLOOKUP(B576,M!$B$6:$I$733,8,FALSE)="აბ",VLOOKUP(B576,M!$B$6:$I$733,3,FALSE)*0.001*#REF!*#REF!,IF(VLOOKUP(B576,M!$B$6:$I$733,8,FALSE)="ინ",VLOOKUP(B576,M!$B$6:$I$733,3,FALSE)*0.001*#REF!*#REF!,IF(VLOOKUP(B576,M!$B$6:$I$733,8,FALSE)="ას",VLOOKUP(B576,M!$B$6:$I$733,3,FALSE)*0.001*#REF!*#REF!,IF(VLOOKUP(B576,M!$B$6:$I$733,8,FALSE)="სხ",VLOOKUP(B576,M!$B$6:$I$733,3,FALSE)*0.001*#REF!*#REF!,IF(VLOOKUP(B576,M!$B$6:$I$733,8,FALSE)="ხმ",VLOOKUP(B576,M!$B$6:$I$733,3,FALSE)*0.001*#REF!*#REF!))))))))),2)</f>
        <v>#REF!</v>
      </c>
      <c r="K576" s="13" t="e">
        <f t="shared" si="168"/>
        <v>#REF!</v>
      </c>
      <c r="L576" s="14" t="e">
        <f t="shared" ref="L576:L579" si="170">G576+I576+K576</f>
        <v>#REF!</v>
      </c>
      <c r="M576" s="23" t="str">
        <f>(IF(ISNUMBER(MATCH(B576,E!$B$6:$B$197,0)),VLOOKUP(B576,E!$B$6:$E$197,4,FALSE),VLOOKUP(B576,M!$B$6:$I$733,7,FALSE)))</f>
        <v>5.1-21</v>
      </c>
    </row>
    <row r="577" spans="1:14" ht="39.950000000000003" customHeight="1" x14ac:dyDescent="0.25">
      <c r="A577" s="16" t="s">
        <v>735</v>
      </c>
      <c r="B577" s="2" t="s">
        <v>551</v>
      </c>
      <c r="C577" s="2" t="s">
        <v>674</v>
      </c>
      <c r="D577" s="2">
        <v>0.5</v>
      </c>
      <c r="E577" s="14">
        <f>D577*E568/100</f>
        <v>0.5</v>
      </c>
      <c r="F577" s="31" t="e">
        <f>ROUND(VLOOKUP(B577,M!$B$6:$H$733,IF(#REF!="დაბალი",4,IF(#REF!="საშუალო",6,IF(#REF!="მაღალი",5))),FALSE),2)</f>
        <v>#REF!</v>
      </c>
      <c r="G577" s="14" t="e">
        <f t="shared" si="169"/>
        <v>#REF!</v>
      </c>
      <c r="H577" s="2"/>
      <c r="I577" s="2"/>
      <c r="J577" s="35" t="e">
        <f>ROUND(IF(ISNUMBER(MATCH(B577,E!$B$6:$B$197,0)),VLOOKUP(B577,E!$B$6:$E$197,2,FALSE),IF(#REF!="დიახ",IF(VLOOKUP(B577,M!$B$6:$I$733,8,FALSE)="ლ",VLOOKUP(B577,M!$B$6:$I$733,3,FALSE)*0.001*#REF!*#REF!,IF(VLOOKUP(B577,M!$B$6:$I$733,8,FALSE)="მბ",VLOOKUP(B577,M!$B$6:$I$733,3,FALSE)*0.001*#REF!*#REF!,IF(VLOOKUP(B577,M!$B$6:$I$733,8,FALSE)="აბ",VLOOKUP(B577,M!$B$6:$I$733,3,FALSE)*0.001*#REF!*#REF!,IF(VLOOKUP(B577,M!$B$6:$I$733,8,FALSE)="ინ",VLOOKUP(B577,M!$B$6:$I$733,3,FALSE)*0.001*#REF!*#REF!,IF(VLOOKUP(B577,M!$B$6:$I$733,8,FALSE)="ას",VLOOKUP(B577,M!$B$6:$I$733,3,FALSE)*0.001*#REF!*#REF!,IF(VLOOKUP(B577,M!$B$6:$I$733,8,FALSE)="სხ",VLOOKUP(B577,M!$B$6:$I$733,3,FALSE)*0.001*#REF!*#REF!,IF(VLOOKUP(B577,M!$B$6:$I$733,8,FALSE)="ხმ",VLOOKUP(B577,M!$B$6:$I$733,3,FALSE)*0.001*#REF!*#REF!))))))))),2)</f>
        <v>#REF!</v>
      </c>
      <c r="K577" s="13" t="e">
        <f t="shared" si="168"/>
        <v>#REF!</v>
      </c>
      <c r="L577" s="14" t="e">
        <f t="shared" si="170"/>
        <v>#REF!</v>
      </c>
      <c r="M577" s="23" t="str">
        <f>(IF(ISNUMBER(MATCH(B577,E!$B$6:$B$197,0)),VLOOKUP(B577,E!$B$6:$E$197,4,FALSE),VLOOKUP(B577,M!$B$6:$I$733,7,FALSE)))</f>
        <v>5.1-22</v>
      </c>
    </row>
    <row r="578" spans="1:14" ht="39.950000000000003" customHeight="1" x14ac:dyDescent="0.25">
      <c r="A578" s="16" t="s">
        <v>736</v>
      </c>
      <c r="B578" s="2" t="s">
        <v>128</v>
      </c>
      <c r="C578" s="2" t="s">
        <v>28</v>
      </c>
      <c r="D578" s="2">
        <v>54.5</v>
      </c>
      <c r="E578" s="14">
        <f>D578*E568/100</f>
        <v>54.5</v>
      </c>
      <c r="F578" s="31" t="e">
        <f>ROUND(VLOOKUP(B578,M!$B$6:$H$733,IF(#REF!="დაბალი",4,IF(#REF!="საშუალო",6,IF(#REF!="მაღალი",5))),FALSE),2)</f>
        <v>#REF!</v>
      </c>
      <c r="G578" s="14" t="e">
        <f t="shared" si="169"/>
        <v>#REF!</v>
      </c>
      <c r="H578" s="2"/>
      <c r="I578" s="2"/>
      <c r="J578" s="2"/>
      <c r="K578" s="14"/>
      <c r="L578" s="14" t="e">
        <f t="shared" si="170"/>
        <v>#REF!</v>
      </c>
      <c r="M578" s="23" t="str">
        <f>(IF(ISNUMBER(MATCH(B578,E!$B$6:$B$197,0)),VLOOKUP(B578,E!$B$6:$E$197,4,FALSE),VLOOKUP(B578,M!$B$6:$I$733,7,FALSE)))</f>
        <v>1.9-68</v>
      </c>
    </row>
    <row r="579" spans="1:14" ht="39.950000000000003" customHeight="1" x14ac:dyDescent="0.25">
      <c r="A579" s="16" t="s">
        <v>737</v>
      </c>
      <c r="B579" s="17" t="s">
        <v>677</v>
      </c>
      <c r="C579" s="2" t="s">
        <v>393</v>
      </c>
      <c r="D579" s="2">
        <v>25.9</v>
      </c>
      <c r="E579" s="14">
        <f>D579*E568/100</f>
        <v>25.9</v>
      </c>
      <c r="F579" s="31" t="e">
        <f>ROUND(VLOOKUP(B579,M!$B$6:$H$733,IF(#REF!="დაბალი",4,IF(#REF!="საშუალო",6,IF(#REF!="მაღალი",5))),FALSE),2)</f>
        <v>#REF!</v>
      </c>
      <c r="G579" s="14" t="e">
        <f t="shared" si="169"/>
        <v>#REF!</v>
      </c>
      <c r="H579" s="2"/>
      <c r="I579" s="2"/>
      <c r="J579" s="2"/>
      <c r="K579" s="2"/>
      <c r="L579" s="14" t="e">
        <f t="shared" si="170"/>
        <v>#REF!</v>
      </c>
      <c r="M579" s="23" t="str">
        <f>(IF(ISNUMBER(MATCH(B579,E!$B$6:$B$197,0)),VLOOKUP(B579,E!$B$6:$E$197,4,FALSE),VLOOKUP(B579,M!$B$6:$I$733,7,FALSE)))</f>
        <v>ს.რ.ფ</v>
      </c>
    </row>
    <row r="580" spans="1:14" s="45" customFormat="1" ht="39.950000000000003" customHeight="1" x14ac:dyDescent="0.25">
      <c r="A580" s="70">
        <v>1.1000000000000001</v>
      </c>
      <c r="B580" s="71" t="s">
        <v>1123</v>
      </c>
      <c r="C580" s="41" t="s">
        <v>712</v>
      </c>
      <c r="D580" s="41"/>
      <c r="E580" s="52">
        <v>100</v>
      </c>
      <c r="F580" s="41"/>
      <c r="G580" s="41"/>
      <c r="H580" s="41"/>
      <c r="I580" s="41"/>
      <c r="J580" s="41"/>
      <c r="K580" s="41"/>
      <c r="L580" s="43" t="e">
        <f>SUM(L581:L591)</f>
        <v>#REF!</v>
      </c>
      <c r="M580" s="44" t="s">
        <v>1124</v>
      </c>
      <c r="N580" s="68"/>
    </row>
    <row r="581" spans="1:14" ht="39.950000000000003" customHeight="1" x14ac:dyDescent="0.25">
      <c r="A581" s="16" t="s">
        <v>668</v>
      </c>
      <c r="B581" s="17" t="s">
        <v>669</v>
      </c>
      <c r="C581" s="2" t="s">
        <v>670</v>
      </c>
      <c r="D581" s="2">
        <v>952</v>
      </c>
      <c r="E581" s="14">
        <f>D581*E580/100</f>
        <v>952</v>
      </c>
      <c r="F581" s="2"/>
      <c r="G581" s="2"/>
      <c r="H581" s="27">
        <f>IF((ISNUMBER(--LEFT(M580,2))),VLOOKUP(--LEFT(M580,2),N!$A$5:$C$54,3,FALSE),VLOOKUP(--LEFT(M580,1),N!$A$5:$C$54,3,FALSE))</f>
        <v>6</v>
      </c>
      <c r="I581" s="13">
        <f>ROUND(E581*H581,1)</f>
        <v>5712</v>
      </c>
      <c r="J581" s="2"/>
      <c r="K581" s="2"/>
      <c r="L581" s="14">
        <f t="shared" ref="L581" si="171">G581+I581+K581</f>
        <v>5712</v>
      </c>
      <c r="M581" s="23" t="str">
        <f>(IF(ISNUMBER(MATCH(B581,E!$B$6:$B$197,0)),VLOOKUP(B581,E!$B$6:$E$197,4,FALSE),VLOOKUP(B581,M!$B$6:$I$733,7,FALSE)))</f>
        <v>მ.ც</v>
      </c>
    </row>
    <row r="582" spans="1:14" ht="39.950000000000003" customHeight="1" x14ac:dyDescent="0.25">
      <c r="A582" s="16" t="s">
        <v>671</v>
      </c>
      <c r="B582" s="2" t="s">
        <v>170</v>
      </c>
      <c r="C582" s="2" t="s">
        <v>672</v>
      </c>
      <c r="D582" s="2">
        <v>74</v>
      </c>
      <c r="E582" s="14">
        <f>D582*E580/100</f>
        <v>74</v>
      </c>
      <c r="F582" s="13"/>
      <c r="G582" s="13"/>
      <c r="H582" s="2"/>
      <c r="I582" s="2"/>
      <c r="J582" s="35">
        <f>ROUND(IF(ISNUMBER(MATCH(B582,E!$B$6:$B$197,0)),VLOOKUP(B582,E!$B$6:$E$197,2,FALSE),IF(#REF!="დიახ",IF(VLOOKUP(B582,M!$B$6:$I$733,8,FALSE)="ლ",VLOOKUP(B582,M!$B$6:$I$733,3,FALSE)*0.001*#REF!*#REF!,IF(VLOOKUP(B582,M!$B$6:$I$733,8,FALSE)="მბ",VLOOKUP(B582,M!$B$6:$I$733,3,FALSE)*0.001*#REF!*#REF!,IF(VLOOKUP(B582,M!$B$6:$I$733,8,FALSE)="აბ",VLOOKUP(B582,M!$B$6:$I$733,3,FALSE)*0.001*#REF!*#REF!,IF(VLOOKUP(B582,M!$B$6:$I$733,8,FALSE)="ინ",VLOOKUP(B582,M!$B$6:$I$733,3,FALSE)*0.001*#REF!*#REF!,IF(VLOOKUP(B582,M!$B$6:$I$733,8,FALSE)="ას",VLOOKUP(B582,M!$B$6:$I$733,3,FALSE)*0.001*#REF!*#REF!,IF(VLOOKUP(B582,M!$B$6:$I$733,8,FALSE)="სხ",VLOOKUP(B582,M!$B$6:$I$733,3,FALSE)*0.001*#REF!*#REF!,IF(VLOOKUP(B582,M!$B$6:$I$733,8,FALSE)="ხმ",VLOOKUP(B582,M!$B$6:$I$733,3,FALSE)*0.001*#REF!*#REF!))))))))),2)</f>
        <v>31.25</v>
      </c>
      <c r="K582" s="14">
        <f>ROUND(E582*J582,2)</f>
        <v>2312.5</v>
      </c>
      <c r="L582" s="14">
        <f>G582+I582+K582</f>
        <v>2312.5</v>
      </c>
      <c r="M582" s="23" t="str">
        <f>(IF(ISNUMBER(MATCH(B582,E!$B$6:$B$197,0)),VLOOKUP(B582,E!$B$6:$E$197,4,FALSE),VLOOKUP(B582,M!$B$6:$I$733,7,FALSE)))</f>
        <v>14-44</v>
      </c>
    </row>
    <row r="583" spans="1:14" ht="39.950000000000003" customHeight="1" x14ac:dyDescent="0.25">
      <c r="A583" s="16" t="s">
        <v>673</v>
      </c>
      <c r="B583" s="17" t="s">
        <v>654</v>
      </c>
      <c r="C583" s="2" t="s">
        <v>672</v>
      </c>
      <c r="D583" s="2">
        <v>122</v>
      </c>
      <c r="E583" s="14">
        <f>D583*E580/100</f>
        <v>122</v>
      </c>
      <c r="F583" s="2"/>
      <c r="G583" s="2"/>
      <c r="H583" s="2"/>
      <c r="I583" s="2"/>
      <c r="J583" s="35">
        <f>ROUND(IF(ISNUMBER(MATCH(B583,E!$B$6:$B$197,0)),VLOOKUP(B583,E!$B$6:$E$197,2,FALSE),IF(#REF!="დიახ",IF(VLOOKUP(B583,M!$B$6:$I$733,8,FALSE)="ლ",VLOOKUP(B583,M!$B$6:$I$733,3,FALSE)*0.001*#REF!*#REF!,IF(VLOOKUP(B583,M!$B$6:$I$733,8,FALSE)="მბ",VLOOKUP(B583,M!$B$6:$I$733,3,FALSE)*0.001*#REF!*#REF!,IF(VLOOKUP(B583,M!$B$6:$I$733,8,FALSE)="აბ",VLOOKUP(B583,M!$B$6:$I$733,3,FALSE)*0.001*#REF!*#REF!,IF(VLOOKUP(B583,M!$B$6:$I$733,8,FALSE)="ინ",VLOOKUP(B583,M!$B$6:$I$733,3,FALSE)*0.001*#REF!*#REF!,IF(VLOOKUP(B583,M!$B$6:$I$733,8,FALSE)="ას",VLOOKUP(B583,M!$B$6:$I$733,3,FALSE)*0.001*#REF!*#REF!,IF(VLOOKUP(B583,M!$B$6:$I$733,8,FALSE)="სხ",VLOOKUP(B583,M!$B$6:$I$733,3,FALSE)*0.001*#REF!*#REF!,IF(VLOOKUP(B583,M!$B$6:$I$733,8,FALSE)="ხმ",VLOOKUP(B583,M!$B$6:$I$733,3,FALSE)*0.001*#REF!*#REF!))))))))),2)</f>
        <v>3.2</v>
      </c>
      <c r="K583" s="13">
        <f t="shared" ref="K583" si="172">ROUND(E583*J583,1)</f>
        <v>390.4</v>
      </c>
      <c r="L583" s="14">
        <f t="shared" ref="L583:L586" si="173">G583+I583+K583</f>
        <v>390.4</v>
      </c>
      <c r="M583" s="23" t="str">
        <f>(IF(ISNUMBER(MATCH(B583,E!$B$6:$B$197,0)),VLOOKUP(B583,E!$B$6:$E$197,4,FALSE),VLOOKUP(B583,M!$B$6:$I$733,7,FALSE)))</f>
        <v>ს.რ.ფ</v>
      </c>
    </row>
    <row r="584" spans="1:14" ht="39.950000000000003" customHeight="1" x14ac:dyDescent="0.25">
      <c r="A584" s="16" t="s">
        <v>675</v>
      </c>
      <c r="B584" s="2" t="s">
        <v>801</v>
      </c>
      <c r="C584" s="2" t="s">
        <v>674</v>
      </c>
      <c r="D584" s="112">
        <v>104</v>
      </c>
      <c r="E584" s="14">
        <f>D584*E580/100</f>
        <v>104</v>
      </c>
      <c r="F584" s="31" t="e">
        <f>ROUND(VLOOKUP(B584,M!$B$6:$H$733,IF(#REF!="დაბალი",4,IF(#REF!="საშუალო",6,IF(#REF!="მაღალი",5))),FALSE),2)</f>
        <v>#REF!</v>
      </c>
      <c r="G584" s="112" t="e">
        <f t="shared" ref="G584:G585" si="174">ROUND(E584*F584,2)</f>
        <v>#REF!</v>
      </c>
      <c r="H584" s="112"/>
      <c r="I584" s="112"/>
      <c r="J584" s="35" t="e">
        <f>ROUND(IF(ISNUMBER(MATCH(B584,E!$B$6:$B$197,0)),VLOOKUP(B584,E!$B$6:$E$197,2,FALSE),IF(#REF!="დიახ",IF(VLOOKUP(B584,M!$B$6:$I$733,8,FALSE)="ლ",VLOOKUP(B584,M!$B$6:$I$733,3,FALSE)*0.001*#REF!*#REF!,IF(VLOOKUP(B584,M!$B$6:$I$733,8,FALSE)="მბ",VLOOKUP(B584,M!$B$6:$I$733,3,FALSE)*0.001*#REF!*#REF!,IF(VLOOKUP(B584,M!$B$6:$I$733,8,FALSE)="აბ",VLOOKUP(B584,M!$B$6:$I$733,3,FALSE)*0.001*#REF!*#REF!,IF(VLOOKUP(B584,M!$B$6:$I$733,8,FALSE)="ინ",VLOOKUP(B584,M!$B$6:$I$733,3,FALSE)*0.001*#REF!*#REF!,IF(VLOOKUP(B584,M!$B$6:$I$733,8,FALSE)="ას",VLOOKUP(B584,M!$B$6:$I$733,3,FALSE)*0.001*#REF!*#REF!,IF(VLOOKUP(B584,M!$B$6:$I$733,8,FALSE)="სხ",VLOOKUP(B584,M!$B$6:$I$733,3,FALSE)*0.001*#REF!*#REF!,IF(VLOOKUP(B584,M!$B$6:$I$733,8,FALSE)="ხმ",VLOOKUP(B584,M!$B$6:$I$733,3,FALSE)*0.001*#REF!*#REF!))))))))),2)</f>
        <v>#REF!</v>
      </c>
      <c r="K584" s="112" t="e">
        <f>ROUND(E584*J584,2)</f>
        <v>#REF!</v>
      </c>
      <c r="L584" s="14" t="e">
        <f t="shared" si="173"/>
        <v>#REF!</v>
      </c>
      <c r="M584" s="23" t="str">
        <f>(IF(ISNUMBER(MATCH(B584,E!$B$6:$B$197,0)),VLOOKUP(B584,E!$B$6:$E$197,4,FALSE),VLOOKUP(B584,M!$B$6:$I$733,7,FALSE)))</f>
        <v>4.1-345</v>
      </c>
    </row>
    <row r="585" spans="1:14" ht="39.950000000000003" customHeight="1" x14ac:dyDescent="0.25">
      <c r="A585" s="16" t="s">
        <v>695</v>
      </c>
      <c r="B585" s="2" t="s">
        <v>21</v>
      </c>
      <c r="C585" s="2" t="s">
        <v>9</v>
      </c>
      <c r="D585" s="2" t="s">
        <v>827</v>
      </c>
      <c r="E585" s="14">
        <v>0</v>
      </c>
      <c r="F585" s="31" t="e">
        <f>ROUND(VLOOKUP(B585,M!$B$6:$H$733,IF(#REF!="დაბალი",4,IF(#REF!="საშუალო",6,IF(#REF!="მაღალი",5))),FALSE),2)</f>
        <v>#REF!</v>
      </c>
      <c r="G585" s="14" t="e">
        <f t="shared" si="174"/>
        <v>#REF!</v>
      </c>
      <c r="H585" s="2"/>
      <c r="I585" s="2"/>
      <c r="J585" s="35" t="e">
        <f>ROUND(IF(ISNUMBER(MATCH(B585,E!$B$6:$B$197,0)),VLOOKUP(B585,E!$B$6:$E$197,2,FALSE),IF(#REF!="დიახ",IF(VLOOKUP(B585,M!$B$6:$I$733,8,FALSE)="ლ",VLOOKUP(B585,M!$B$6:$I$733,3,FALSE)*0.001*#REF!*#REF!,IF(VLOOKUP(B585,M!$B$6:$I$733,8,FALSE)="მბ",VLOOKUP(B585,M!$B$6:$I$733,3,FALSE)*0.001*#REF!*#REF!,IF(VLOOKUP(B585,M!$B$6:$I$733,8,FALSE)="აბ",VLOOKUP(B585,M!$B$6:$I$733,3,FALSE)*0.001*#REF!*#REF!,IF(VLOOKUP(B585,M!$B$6:$I$733,8,FALSE)="ინ",VLOOKUP(B585,M!$B$6:$I$733,3,FALSE)*0.001*#REF!*#REF!,IF(VLOOKUP(B585,M!$B$6:$I$733,8,FALSE)="ას",VLOOKUP(B585,M!$B$6:$I$733,3,FALSE)*0.001*#REF!*#REF!,IF(VLOOKUP(B585,M!$B$6:$I$733,8,FALSE)="სხ",VLOOKUP(B585,M!$B$6:$I$733,3,FALSE)*0.001*#REF!*#REF!,IF(VLOOKUP(B585,M!$B$6:$I$733,8,FALSE)="ხმ",VLOOKUP(B585,M!$B$6:$I$733,3,FALSE)*0.001*#REF!*#REF!))))))))),2)</f>
        <v>#REF!</v>
      </c>
      <c r="K585" s="13" t="e">
        <f t="shared" ref="K585:K589" si="175">ROUND(E585*J585,1)</f>
        <v>#REF!</v>
      </c>
      <c r="L585" s="14" t="e">
        <f t="shared" si="173"/>
        <v>#REF!</v>
      </c>
      <c r="M585" s="23" t="str">
        <f>(IF(ISNUMBER(MATCH(B585,E!$B$6:$B$197,0)),VLOOKUP(B585,E!$B$6:$E$197,4,FALSE),VLOOKUP(B585,M!$B$6:$I$733,7,FALSE)))</f>
        <v>1.1-12</v>
      </c>
    </row>
    <row r="586" spans="1:14" ht="39.950000000000003" customHeight="1" x14ac:dyDescent="0.25">
      <c r="A586" s="16" t="s">
        <v>696</v>
      </c>
      <c r="B586" s="17" t="s">
        <v>400</v>
      </c>
      <c r="C586" s="2" t="s">
        <v>674</v>
      </c>
      <c r="D586" s="2">
        <v>1.07</v>
      </c>
      <c r="E586" s="14">
        <f>D586*E580/100</f>
        <v>1.07</v>
      </c>
      <c r="F586" s="31" t="e">
        <f>ROUND(VLOOKUP(B586,M!$B$6:$H$733,IF(#REF!="დაბალი",4,IF(#REF!="საშუალო",6,IF(#REF!="მაღალი",5))),FALSE),2)</f>
        <v>#REF!</v>
      </c>
      <c r="G586" s="13" t="e">
        <f>ROUND(E586*F586,1)</f>
        <v>#REF!</v>
      </c>
      <c r="H586" s="2"/>
      <c r="I586" s="2"/>
      <c r="J586" s="35" t="e">
        <f>ROUND(IF(ISNUMBER(MATCH(B586,E!$B$6:$B$197,0)),VLOOKUP(B586,E!$B$6:$E$197,2,FALSE),IF(#REF!="დიახ",IF(VLOOKUP(B586,M!$B$6:$I$733,8,FALSE)="ლ",VLOOKUP(B586,M!$B$6:$I$733,3,FALSE)*0.001*#REF!*#REF!,IF(VLOOKUP(B586,M!$B$6:$I$733,8,FALSE)="მბ",VLOOKUP(B586,M!$B$6:$I$733,3,FALSE)*0.001*#REF!*#REF!,IF(VLOOKUP(B586,M!$B$6:$I$733,8,FALSE)="აბ",VLOOKUP(B586,M!$B$6:$I$733,3,FALSE)*0.001*#REF!*#REF!,IF(VLOOKUP(B586,M!$B$6:$I$733,8,FALSE)="ინ",VLOOKUP(B586,M!$B$6:$I$733,3,FALSE)*0.001*#REF!*#REF!,IF(VLOOKUP(B586,M!$B$6:$I$733,8,FALSE)="ას",VLOOKUP(B586,M!$B$6:$I$733,3,FALSE)*0.001*#REF!*#REF!,IF(VLOOKUP(B586,M!$B$6:$I$733,8,FALSE)="სხ",VLOOKUP(B586,M!$B$6:$I$733,3,FALSE)*0.001*#REF!*#REF!,IF(VLOOKUP(B586,M!$B$6:$I$733,8,FALSE)="ხმ",VLOOKUP(B586,M!$B$6:$I$733,3,FALSE)*0.001*#REF!*#REF!))))))))),2)</f>
        <v>#REF!</v>
      </c>
      <c r="K586" s="13" t="e">
        <f t="shared" si="175"/>
        <v>#REF!</v>
      </c>
      <c r="L586" s="14" t="e">
        <f t="shared" si="173"/>
        <v>#REF!</v>
      </c>
      <c r="M586" s="23" t="str">
        <f>(IF(ISNUMBER(MATCH(B586,E!$B$6:$B$197,0)),VLOOKUP(B586,E!$B$6:$E$197,4,FALSE),VLOOKUP(B586,M!$B$6:$I$733,7,FALSE)))</f>
        <v>4.1-371</v>
      </c>
    </row>
    <row r="587" spans="1:14" ht="39.950000000000003" customHeight="1" x14ac:dyDescent="0.25">
      <c r="A587" s="16" t="s">
        <v>733</v>
      </c>
      <c r="B587" s="2" t="s">
        <v>536</v>
      </c>
      <c r="C587" s="2" t="s">
        <v>852</v>
      </c>
      <c r="D587" s="2">
        <v>4</v>
      </c>
      <c r="E587" s="14">
        <f>D587*E580/100</f>
        <v>4</v>
      </c>
      <c r="F587" s="31" t="e">
        <f>ROUND(VLOOKUP(B587,M!$B$6:$H$733,IF(#REF!="დაბალი",4,IF(#REF!="საშუალო",6,IF(#REF!="მაღალი",5))),FALSE),2)</f>
        <v>#REF!</v>
      </c>
      <c r="G587" s="14" t="e">
        <f>ROUND(E587*F587,2)</f>
        <v>#REF!</v>
      </c>
      <c r="H587" s="13"/>
      <c r="I587" s="13"/>
      <c r="J587" s="35" t="e">
        <f>ROUND(IF(ISNUMBER(MATCH(B587,E!$B$6:$B$197,0)),VLOOKUP(B587,E!$B$6:$E$197,2,FALSE),IF(#REF!="დიახ",IF(VLOOKUP(B587,M!$B$6:$I$733,8,FALSE)="ლ",VLOOKUP(B587,M!$B$6:$I$733,3,FALSE)*0.001*#REF!*#REF!,IF(VLOOKUP(B587,M!$B$6:$I$733,8,FALSE)="მბ",VLOOKUP(B587,M!$B$6:$I$733,3,FALSE)*0.001*#REF!*#REF!,IF(VLOOKUP(B587,M!$B$6:$I$733,8,FALSE)="აბ",VLOOKUP(B587,M!$B$6:$I$733,3,FALSE)*0.001*#REF!*#REF!,IF(VLOOKUP(B587,M!$B$6:$I$733,8,FALSE)="ინ",VLOOKUP(B587,M!$B$6:$I$733,3,FALSE)*0.001*#REF!*#REF!,IF(VLOOKUP(B587,M!$B$6:$I$733,8,FALSE)="ას",VLOOKUP(B587,M!$B$6:$I$733,3,FALSE)*0.001*#REF!*#REF!,IF(VLOOKUP(B587,M!$B$6:$I$733,8,FALSE)="სხ",VLOOKUP(B587,M!$B$6:$I$733,3,FALSE)*0.001*#REF!*#REF!,IF(VLOOKUP(B587,M!$B$6:$I$733,8,FALSE)="ხმ",VLOOKUP(B587,M!$B$6:$I$733,3,FALSE)*0.001*#REF!*#REF!))))))))),2)</f>
        <v>#REF!</v>
      </c>
      <c r="K587" s="13" t="e">
        <f t="shared" si="175"/>
        <v>#REF!</v>
      </c>
      <c r="L587" s="14" t="e">
        <f>G587+I587+K587</f>
        <v>#REF!</v>
      </c>
      <c r="M587" s="23" t="str">
        <f>(IF(ISNUMBER(MATCH(B587,E!$B$6:$B$197,0)),VLOOKUP(B587,E!$B$6:$E$197,4,FALSE),VLOOKUP(B587,M!$B$6:$I$733,7,FALSE)))</f>
        <v>5.1-7</v>
      </c>
    </row>
    <row r="588" spans="1:14" ht="39.950000000000003" customHeight="1" x14ac:dyDescent="0.25">
      <c r="A588" s="16" t="s">
        <v>734</v>
      </c>
      <c r="B588" s="2" t="s">
        <v>550</v>
      </c>
      <c r="C588" s="2" t="s">
        <v>674</v>
      </c>
      <c r="D588" s="2">
        <v>3.1</v>
      </c>
      <c r="E588" s="14">
        <f>D588*E580/100</f>
        <v>3.1</v>
      </c>
      <c r="F588" s="31" t="e">
        <f>ROUND(VLOOKUP(B588,M!$B$6:$H$733,IF(#REF!="დაბალი",4,IF(#REF!="საშუალო",6,IF(#REF!="მაღალი",5))),FALSE),2)</f>
        <v>#REF!</v>
      </c>
      <c r="G588" s="14" t="e">
        <f t="shared" ref="G588:G591" si="176">ROUND(E588*F588,2)</f>
        <v>#REF!</v>
      </c>
      <c r="H588" s="2"/>
      <c r="I588" s="2"/>
      <c r="J588" s="35" t="e">
        <f>ROUND(IF(ISNUMBER(MATCH(B588,E!$B$6:$B$197,0)),VLOOKUP(B588,E!$B$6:$E$197,2,FALSE),IF(#REF!="დიახ",IF(VLOOKUP(B588,M!$B$6:$I$733,8,FALSE)="ლ",VLOOKUP(B588,M!$B$6:$I$733,3,FALSE)*0.001*#REF!*#REF!,IF(VLOOKUP(B588,M!$B$6:$I$733,8,FALSE)="მბ",VLOOKUP(B588,M!$B$6:$I$733,3,FALSE)*0.001*#REF!*#REF!,IF(VLOOKUP(B588,M!$B$6:$I$733,8,FALSE)="აბ",VLOOKUP(B588,M!$B$6:$I$733,3,FALSE)*0.001*#REF!*#REF!,IF(VLOOKUP(B588,M!$B$6:$I$733,8,FALSE)="ინ",VLOOKUP(B588,M!$B$6:$I$733,3,FALSE)*0.001*#REF!*#REF!,IF(VLOOKUP(B588,M!$B$6:$I$733,8,FALSE)="ას",VLOOKUP(B588,M!$B$6:$I$733,3,FALSE)*0.001*#REF!*#REF!,IF(VLOOKUP(B588,M!$B$6:$I$733,8,FALSE)="სხ",VLOOKUP(B588,M!$B$6:$I$733,3,FALSE)*0.001*#REF!*#REF!,IF(VLOOKUP(B588,M!$B$6:$I$733,8,FALSE)="ხმ",VLOOKUP(B588,M!$B$6:$I$733,3,FALSE)*0.001*#REF!*#REF!))))))))),2)</f>
        <v>#REF!</v>
      </c>
      <c r="K588" s="13" t="e">
        <f t="shared" si="175"/>
        <v>#REF!</v>
      </c>
      <c r="L588" s="14" t="e">
        <f t="shared" ref="L588:L591" si="177">G588+I588+K588</f>
        <v>#REF!</v>
      </c>
      <c r="M588" s="23" t="str">
        <f>(IF(ISNUMBER(MATCH(B588,E!$B$6:$B$197,0)),VLOOKUP(B588,E!$B$6:$E$197,4,FALSE),VLOOKUP(B588,M!$B$6:$I$733,7,FALSE)))</f>
        <v>5.1-21</v>
      </c>
    </row>
    <row r="589" spans="1:14" ht="39.950000000000003" customHeight="1" x14ac:dyDescent="0.25">
      <c r="A589" s="16" t="s">
        <v>735</v>
      </c>
      <c r="B589" s="2" t="s">
        <v>551</v>
      </c>
      <c r="C589" s="2" t="s">
        <v>312</v>
      </c>
      <c r="D589" s="2">
        <v>0.5</v>
      </c>
      <c r="E589" s="14">
        <f>D589*E580/100</f>
        <v>0.5</v>
      </c>
      <c r="F589" s="31" t="e">
        <f>ROUND(VLOOKUP(B589,M!$B$6:$H$733,IF(#REF!="დაბალი",4,IF(#REF!="საშუალო",6,IF(#REF!="მაღალი",5))),FALSE),2)</f>
        <v>#REF!</v>
      </c>
      <c r="G589" s="14" t="e">
        <f t="shared" si="176"/>
        <v>#REF!</v>
      </c>
      <c r="H589" s="2"/>
      <c r="I589" s="2"/>
      <c r="J589" s="35" t="e">
        <f>ROUND(IF(ISNUMBER(MATCH(B589,E!$B$6:$B$197,0)),VLOOKUP(B589,E!$B$6:$E$197,2,FALSE),IF(#REF!="დიახ",IF(VLOOKUP(B589,M!$B$6:$I$733,8,FALSE)="ლ",VLOOKUP(B589,M!$B$6:$I$733,3,FALSE)*0.001*#REF!*#REF!,IF(VLOOKUP(B589,M!$B$6:$I$733,8,FALSE)="მბ",VLOOKUP(B589,M!$B$6:$I$733,3,FALSE)*0.001*#REF!*#REF!,IF(VLOOKUP(B589,M!$B$6:$I$733,8,FALSE)="აბ",VLOOKUP(B589,M!$B$6:$I$733,3,FALSE)*0.001*#REF!*#REF!,IF(VLOOKUP(B589,M!$B$6:$I$733,8,FALSE)="ინ",VLOOKUP(B589,M!$B$6:$I$733,3,FALSE)*0.001*#REF!*#REF!,IF(VLOOKUP(B589,M!$B$6:$I$733,8,FALSE)="ას",VLOOKUP(B589,M!$B$6:$I$733,3,FALSE)*0.001*#REF!*#REF!,IF(VLOOKUP(B589,M!$B$6:$I$733,8,FALSE)="სხ",VLOOKUP(B589,M!$B$6:$I$733,3,FALSE)*0.001*#REF!*#REF!,IF(VLOOKUP(B589,M!$B$6:$I$733,8,FALSE)="ხმ",VLOOKUP(B589,M!$B$6:$I$733,3,FALSE)*0.001*#REF!*#REF!))))))))),2)</f>
        <v>#REF!</v>
      </c>
      <c r="K589" s="13" t="e">
        <f t="shared" si="175"/>
        <v>#REF!</v>
      </c>
      <c r="L589" s="14" t="e">
        <f t="shared" si="177"/>
        <v>#REF!</v>
      </c>
      <c r="M589" s="23" t="str">
        <f>(IF(ISNUMBER(MATCH(B589,E!$B$6:$B$197,0)),VLOOKUP(B589,E!$B$6:$E$197,4,FALSE),VLOOKUP(B589,M!$B$6:$I$733,7,FALSE)))</f>
        <v>5.1-22</v>
      </c>
    </row>
    <row r="590" spans="1:14" ht="39.950000000000003" customHeight="1" x14ac:dyDescent="0.25">
      <c r="A590" s="16" t="s">
        <v>736</v>
      </c>
      <c r="B590" s="2" t="s">
        <v>128</v>
      </c>
      <c r="C590" s="2" t="s">
        <v>28</v>
      </c>
      <c r="D590" s="2">
        <v>23</v>
      </c>
      <c r="E590" s="14">
        <f>D590*E580/100</f>
        <v>23</v>
      </c>
      <c r="F590" s="31" t="e">
        <f>ROUND(VLOOKUP(B590,M!$B$6:$H$733,IF(#REF!="დაბალი",4,IF(#REF!="საშუალო",6,IF(#REF!="მაღალი",5))),FALSE),2)</f>
        <v>#REF!</v>
      </c>
      <c r="G590" s="14" t="e">
        <f t="shared" si="176"/>
        <v>#REF!</v>
      </c>
      <c r="H590" s="2"/>
      <c r="I590" s="2"/>
      <c r="J590" s="2"/>
      <c r="K590" s="14"/>
      <c r="L590" s="14" t="e">
        <f t="shared" si="177"/>
        <v>#REF!</v>
      </c>
      <c r="M590" s="23" t="str">
        <f>(IF(ISNUMBER(MATCH(B590,E!$B$6:$B$197,0)),VLOOKUP(B590,E!$B$6:$E$197,4,FALSE),VLOOKUP(B590,M!$B$6:$I$733,7,FALSE)))</f>
        <v>1.9-68</v>
      </c>
    </row>
    <row r="591" spans="1:14" ht="39.950000000000003" customHeight="1" x14ac:dyDescent="0.25">
      <c r="A591" s="16" t="s">
        <v>737</v>
      </c>
      <c r="B591" s="17" t="s">
        <v>677</v>
      </c>
      <c r="C591" s="2" t="s">
        <v>393</v>
      </c>
      <c r="D591" s="2">
        <v>152</v>
      </c>
      <c r="E591" s="14">
        <f>D591*E580/100</f>
        <v>152</v>
      </c>
      <c r="F591" s="31" t="e">
        <f>ROUND(VLOOKUP(B591,M!$B$6:$H$733,IF(#REF!="დაბალი",4,IF(#REF!="საშუალო",6,IF(#REF!="მაღალი",5))),FALSE),2)</f>
        <v>#REF!</v>
      </c>
      <c r="G591" s="14" t="e">
        <f t="shared" si="176"/>
        <v>#REF!</v>
      </c>
      <c r="H591" s="2"/>
      <c r="I591" s="2"/>
      <c r="J591" s="2"/>
      <c r="K591" s="2"/>
      <c r="L591" s="14" t="e">
        <f t="shared" si="177"/>
        <v>#REF!</v>
      </c>
      <c r="M591" s="23" t="str">
        <f>(IF(ISNUMBER(MATCH(B591,E!$B$6:$B$197,0)),VLOOKUP(B591,E!$B$6:$E$197,4,FALSE),VLOOKUP(B591,M!$B$6:$I$733,7,FALSE)))</f>
        <v>ს.რ.ფ</v>
      </c>
    </row>
    <row r="592" spans="1:14" s="45" customFormat="1" ht="39.950000000000003" customHeight="1" x14ac:dyDescent="0.25">
      <c r="A592" s="39">
        <v>1.1000000000000001</v>
      </c>
      <c r="B592" s="71" t="s">
        <v>1173</v>
      </c>
      <c r="C592" s="41" t="s">
        <v>66</v>
      </c>
      <c r="D592" s="41"/>
      <c r="E592" s="41">
        <v>1</v>
      </c>
      <c r="F592" s="41"/>
      <c r="G592" s="41"/>
      <c r="H592" s="41"/>
      <c r="I592" s="41"/>
      <c r="J592" s="41"/>
      <c r="K592" s="41"/>
      <c r="L592" s="43" t="e">
        <f>SUM(L593:L595)</f>
        <v>#REF!</v>
      </c>
      <c r="M592" s="44" t="s">
        <v>1172</v>
      </c>
      <c r="N592" s="68"/>
    </row>
    <row r="593" spans="1:14" ht="39.950000000000003" customHeight="1" x14ac:dyDescent="0.25">
      <c r="A593" s="16" t="s">
        <v>668</v>
      </c>
      <c r="B593" s="17" t="s">
        <v>669</v>
      </c>
      <c r="C593" s="2" t="s">
        <v>670</v>
      </c>
      <c r="D593" s="2">
        <v>0.65</v>
      </c>
      <c r="E593" s="14">
        <f>D593*E592</f>
        <v>0.65</v>
      </c>
      <c r="F593" s="2"/>
      <c r="G593" s="2"/>
      <c r="H593" s="27">
        <f>IF((ISNUMBER(--LEFT(M592,2))),VLOOKUP(--LEFT(M592,2),N!$A$5:$C$54,3,FALSE),VLOOKUP(--LEFT(M592,1),N!$A$5:$C$54,3,FALSE))</f>
        <v>6</v>
      </c>
      <c r="I593" s="13">
        <f>ROUND(E593*H593,1)</f>
        <v>3.9</v>
      </c>
      <c r="J593" s="2"/>
      <c r="K593" s="2"/>
      <c r="L593" s="14">
        <f t="shared" ref="L593:L594" si="178">G593+I593+K593</f>
        <v>3.9</v>
      </c>
      <c r="M593" s="23" t="str">
        <f>(IF(ISNUMBER(MATCH(B593,E!$B$6:$B$197,0)),VLOOKUP(B593,E!$B$6:$E$197,4,FALSE),VLOOKUP(B593,M!$B$6:$I$733,7,FALSE)))</f>
        <v>მ.ც</v>
      </c>
    </row>
    <row r="594" spans="1:14" ht="39.950000000000003" customHeight="1" x14ac:dyDescent="0.25">
      <c r="A594" s="16" t="s">
        <v>671</v>
      </c>
      <c r="B594" s="17" t="s">
        <v>1174</v>
      </c>
      <c r="C594" s="2" t="s">
        <v>66</v>
      </c>
      <c r="D594" s="2">
        <v>1</v>
      </c>
      <c r="E594" s="13">
        <f>D594*E592</f>
        <v>1</v>
      </c>
      <c r="F594" s="14">
        <v>500</v>
      </c>
      <c r="G594" s="13">
        <f>ROUND(E594*F594,1)</f>
        <v>500</v>
      </c>
      <c r="H594" s="2"/>
      <c r="I594" s="2"/>
      <c r="J594" s="2"/>
      <c r="K594" s="2"/>
      <c r="L594" s="14">
        <f t="shared" si="178"/>
        <v>500</v>
      </c>
      <c r="M594" s="23" t="s">
        <v>845</v>
      </c>
    </row>
    <row r="595" spans="1:14" ht="39.950000000000003" customHeight="1" x14ac:dyDescent="0.25">
      <c r="A595" s="16" t="s">
        <v>675</v>
      </c>
      <c r="B595" s="17" t="s">
        <v>400</v>
      </c>
      <c r="C595" s="2" t="s">
        <v>674</v>
      </c>
      <c r="D595" s="2">
        <v>0.03</v>
      </c>
      <c r="E595" s="14">
        <f>D595*E592</f>
        <v>0.03</v>
      </c>
      <c r="F595" s="31" t="e">
        <f>ROUND(VLOOKUP(B595,M!$B$6:$H$733,IF(#REF!="დაბალი",4,IF(#REF!="საშუალო",6,IF(#REF!="მაღალი",5))),FALSE),2)</f>
        <v>#REF!</v>
      </c>
      <c r="G595" s="14" t="e">
        <f>ROUND(E595*F595,2)</f>
        <v>#REF!</v>
      </c>
      <c r="H595" s="2">
        <f>220.45/0.08</f>
        <v>2755.625</v>
      </c>
      <c r="I595" s="2"/>
      <c r="J595" s="35" t="e">
        <f>ROUND(IF(ISNUMBER(MATCH(B595,E!$B$6:$B$197,0)),VLOOKUP(B595,E!$B$6:$E$197,2,FALSE),IF(#REF!="დიახ",IF(VLOOKUP(B595,M!$B$6:$I$733,8,FALSE)="ლ",VLOOKUP(B595,M!$B$6:$I$733,3,FALSE)*0.001*#REF!*#REF!,IF(VLOOKUP(B595,M!$B$6:$I$733,8,FALSE)="მბ",VLOOKUP(B595,M!$B$6:$I$733,3,FALSE)*0.001*#REF!*#REF!,IF(VLOOKUP(B595,M!$B$6:$I$733,8,FALSE)="აბ",VLOOKUP(B595,M!$B$6:$I$733,3,FALSE)*0.001*#REF!*#REF!,IF(VLOOKUP(B595,M!$B$6:$I$733,8,FALSE)="ინ",VLOOKUP(B595,M!$B$6:$I$733,3,FALSE)*0.001*#REF!*#REF!,IF(VLOOKUP(B595,M!$B$6:$I$733,8,FALSE)="ას",VLOOKUP(B595,M!$B$6:$I$733,3,FALSE)*0.001*#REF!*#REF!,IF(VLOOKUP(B595,M!$B$6:$I$733,8,FALSE)="სხ",VLOOKUP(B595,M!$B$6:$I$733,3,FALSE)*0.001*#REF!*#REF!,IF(VLOOKUP(B595,M!$B$6:$I$733,8,FALSE)="ხმ",VLOOKUP(B595,M!$B$6:$I$733,3,FALSE)*0.001*#REF!*#REF!))))))))),2)</f>
        <v>#REF!</v>
      </c>
      <c r="K595" s="14" t="e">
        <f>ROUND(E595*J595,2)</f>
        <v>#REF!</v>
      </c>
      <c r="L595" s="14" t="e">
        <f>G595+I595+K595</f>
        <v>#REF!</v>
      </c>
      <c r="M595" s="23" t="str">
        <f>(IF(ISNUMBER(MATCH(B595,E!$B$6:$B$197,0)),VLOOKUP(B595,E!$B$6:$E$197,4,FALSE),VLOOKUP(B595,M!$B$6:$I$733,7,FALSE)))</f>
        <v>4.1-371</v>
      </c>
    </row>
    <row r="596" spans="1:14" s="45" customFormat="1" ht="39.950000000000003" customHeight="1" x14ac:dyDescent="0.25">
      <c r="A596" s="39">
        <v>1.1000000000000001</v>
      </c>
      <c r="B596" s="130" t="s">
        <v>1129</v>
      </c>
      <c r="C596" s="41" t="s">
        <v>66</v>
      </c>
      <c r="D596" s="41"/>
      <c r="E596" s="41">
        <v>1</v>
      </c>
      <c r="F596" s="41"/>
      <c r="G596" s="41"/>
      <c r="H596" s="41"/>
      <c r="I596" s="41"/>
      <c r="J596" s="41"/>
      <c r="K596" s="41"/>
      <c r="L596" s="43" t="e">
        <f>SUM(L597:L601)</f>
        <v>#REF!</v>
      </c>
      <c r="M596" s="44" t="s">
        <v>1130</v>
      </c>
      <c r="N596" s="68"/>
    </row>
    <row r="597" spans="1:14" ht="39.950000000000003" customHeight="1" x14ac:dyDescent="0.25">
      <c r="A597" s="16" t="s">
        <v>668</v>
      </c>
      <c r="B597" s="17" t="s">
        <v>669</v>
      </c>
      <c r="C597" s="2" t="s">
        <v>670</v>
      </c>
      <c r="D597" s="2">
        <v>9.27</v>
      </c>
      <c r="E597" s="14">
        <f>D597*E596</f>
        <v>9.27</v>
      </c>
      <c r="F597" s="2"/>
      <c r="G597" s="2"/>
      <c r="H597" s="27">
        <f>IF((ISNUMBER(--LEFT(M596,2))),VLOOKUP(--LEFT(M596,2),N!$A$5:$C$54,3,FALSE),VLOOKUP(--LEFT(M596,1),N!$A$5:$C$54,3,FALSE))</f>
        <v>6</v>
      </c>
      <c r="I597" s="13">
        <f>ROUND(E597*H597,1)</f>
        <v>55.6</v>
      </c>
      <c r="J597" s="2"/>
      <c r="K597" s="2"/>
      <c r="L597" s="14">
        <f t="shared" ref="L597" si="179">G597+I597+K597</f>
        <v>55.6</v>
      </c>
      <c r="M597" s="23" t="str">
        <f>(IF(ISNUMBER(MATCH(B597,E!$B$6:$B$197,0)),VLOOKUP(B597,E!$B$6:$E$197,4,FALSE),VLOOKUP(B597,M!$B$6:$I$733,7,FALSE)))</f>
        <v>მ.ც</v>
      </c>
    </row>
    <row r="598" spans="1:14" ht="39.950000000000003" customHeight="1" x14ac:dyDescent="0.25">
      <c r="A598" s="16" t="s">
        <v>671</v>
      </c>
      <c r="B598" s="2" t="s">
        <v>178</v>
      </c>
      <c r="C598" s="2" t="s">
        <v>672</v>
      </c>
      <c r="D598" s="2">
        <v>1.38</v>
      </c>
      <c r="E598" s="14">
        <f>D598*E596</f>
        <v>1.38</v>
      </c>
      <c r="F598" s="13"/>
      <c r="G598" s="13"/>
      <c r="H598" s="2"/>
      <c r="I598" s="2"/>
      <c r="J598" s="35">
        <f>ROUND(IF(ISNUMBER(MATCH(B598,E!$B$6:$B$197,0)),VLOOKUP(B598,E!$B$6:$E$197,2,FALSE),IF(#REF!="დიახ",IF(VLOOKUP(B598,M!$B$6:$I$733,8,FALSE)="ლ",VLOOKUP(B598,M!$B$6:$I$733,3,FALSE)*0.001*#REF!*#REF!,IF(VLOOKUP(B598,M!$B$6:$I$733,8,FALSE)="მბ",VLOOKUP(B598,M!$B$6:$I$733,3,FALSE)*0.001*#REF!*#REF!,IF(VLOOKUP(B598,M!$B$6:$I$733,8,FALSE)="აბ",VLOOKUP(B598,M!$B$6:$I$733,3,FALSE)*0.001*#REF!*#REF!,IF(VLOOKUP(B598,M!$B$6:$I$733,8,FALSE)="ინ",VLOOKUP(B598,M!$B$6:$I$733,3,FALSE)*0.001*#REF!*#REF!,IF(VLOOKUP(B598,M!$B$6:$I$733,8,FALSE)="ას",VLOOKUP(B598,M!$B$6:$I$733,3,FALSE)*0.001*#REF!*#REF!,IF(VLOOKUP(B598,M!$B$6:$I$733,8,FALSE)="სხ",VLOOKUP(B598,M!$B$6:$I$733,3,FALSE)*0.001*#REF!*#REF!,IF(VLOOKUP(B598,M!$B$6:$I$733,8,FALSE)="ხმ",VLOOKUP(B598,M!$B$6:$I$733,3,FALSE)*0.001*#REF!*#REF!))))))))),2)</f>
        <v>32.56</v>
      </c>
      <c r="K598" s="14">
        <f>ROUND(E598*J598,2)</f>
        <v>44.93</v>
      </c>
      <c r="L598" s="14">
        <f>G598+I598+K598</f>
        <v>44.93</v>
      </c>
      <c r="M598" s="23" t="str">
        <f>(IF(ISNUMBER(MATCH(B598,E!$B$6:$B$197,0)),VLOOKUP(B598,E!$B$6:$E$197,4,FALSE),VLOOKUP(B598,M!$B$6:$I$733,7,FALSE)))</f>
        <v>14-52</v>
      </c>
    </row>
    <row r="599" spans="1:14" ht="39.950000000000003" customHeight="1" x14ac:dyDescent="0.25">
      <c r="A599" s="16" t="s">
        <v>673</v>
      </c>
      <c r="B599" s="2" t="s">
        <v>172</v>
      </c>
      <c r="C599" s="2" t="s">
        <v>672</v>
      </c>
      <c r="D599" s="2">
        <v>1.58</v>
      </c>
      <c r="E599" s="14">
        <f>D599*E596</f>
        <v>1.58</v>
      </c>
      <c r="F599" s="13"/>
      <c r="G599" s="13"/>
      <c r="H599" s="13"/>
      <c r="I599" s="13"/>
      <c r="J599" s="35">
        <f>ROUND(IF(ISNUMBER(MATCH(B599,E!$B$6:$B$197,0)),VLOOKUP(B599,E!$B$6:$E$197,2,FALSE),IF(#REF!="დიახ",IF(VLOOKUP(B599,M!$B$6:$I$733,8,FALSE)="ლ",VLOOKUP(B599,M!$B$6:$I$733,3,FALSE)*0.001*#REF!*#REF!,IF(VLOOKUP(B599,M!$B$6:$I$733,8,FALSE)="მბ",VLOOKUP(B599,M!$B$6:$I$733,3,FALSE)*0.001*#REF!*#REF!,IF(VLOOKUP(B599,M!$B$6:$I$733,8,FALSE)="აბ",VLOOKUP(B599,M!$B$6:$I$733,3,FALSE)*0.001*#REF!*#REF!,IF(VLOOKUP(B599,M!$B$6:$I$733,8,FALSE)="ინ",VLOOKUP(B599,M!$B$6:$I$733,3,FALSE)*0.001*#REF!*#REF!,IF(VLOOKUP(B599,M!$B$6:$I$733,8,FALSE)="ას",VLOOKUP(B599,M!$B$6:$I$733,3,FALSE)*0.001*#REF!*#REF!,IF(VLOOKUP(B599,M!$B$6:$I$733,8,FALSE)="სხ",VLOOKUP(B599,M!$B$6:$I$733,3,FALSE)*0.001*#REF!*#REF!,IF(VLOOKUP(B599,M!$B$6:$I$733,8,FALSE)="ხმ",VLOOKUP(B599,M!$B$6:$I$733,3,FALSE)*0.001*#REF!*#REF!))))))))),2)</f>
        <v>35.81</v>
      </c>
      <c r="K599" s="14">
        <f t="shared" ref="K599" si="180">ROUND(E599*J599,2)</f>
        <v>56.58</v>
      </c>
      <c r="L599" s="14">
        <f t="shared" ref="L599:L601" si="181">G599+I599+K599</f>
        <v>56.58</v>
      </c>
      <c r="M599" s="23" t="str">
        <f>(IF(ISNUMBER(MATCH(B599,E!$B$6:$B$197,0)),VLOOKUP(B599,E!$B$6:$E$197,4,FALSE),VLOOKUP(B599,M!$B$6:$I$733,7,FALSE)))</f>
        <v>14-46</v>
      </c>
    </row>
    <row r="600" spans="1:14" ht="39.950000000000003" customHeight="1" x14ac:dyDescent="0.25">
      <c r="A600" s="16" t="s">
        <v>675</v>
      </c>
      <c r="B600" s="17" t="s">
        <v>654</v>
      </c>
      <c r="C600" s="2" t="s">
        <v>672</v>
      </c>
      <c r="D600" s="2">
        <v>0.06</v>
      </c>
      <c r="E600" s="14">
        <f>D600*E596</f>
        <v>0.06</v>
      </c>
      <c r="F600" s="2"/>
      <c r="G600" s="2"/>
      <c r="H600" s="2"/>
      <c r="I600" s="2"/>
      <c r="J600" s="35">
        <f>ROUND(IF(ISNUMBER(MATCH(B600,E!$B$6:$B$197,0)),VLOOKUP(B600,E!$B$6:$E$197,2,FALSE),IF(#REF!="დიახ",IF(VLOOKUP(B600,M!$B$6:$I$733,8,FALSE)="ლ",VLOOKUP(B600,M!$B$6:$I$733,3,FALSE)*0.001*#REF!*#REF!,IF(VLOOKUP(B600,M!$B$6:$I$733,8,FALSE)="მბ",VLOOKUP(B600,M!$B$6:$I$733,3,FALSE)*0.001*#REF!*#REF!,IF(VLOOKUP(B600,M!$B$6:$I$733,8,FALSE)="აბ",VLOOKUP(B600,M!$B$6:$I$733,3,FALSE)*0.001*#REF!*#REF!,IF(VLOOKUP(B600,M!$B$6:$I$733,8,FALSE)="ინ",VLOOKUP(B600,M!$B$6:$I$733,3,FALSE)*0.001*#REF!*#REF!,IF(VLOOKUP(B600,M!$B$6:$I$733,8,FALSE)="ას",VLOOKUP(B600,M!$B$6:$I$733,3,FALSE)*0.001*#REF!*#REF!,IF(VLOOKUP(B600,M!$B$6:$I$733,8,FALSE)="სხ",VLOOKUP(B600,M!$B$6:$I$733,3,FALSE)*0.001*#REF!*#REF!,IF(VLOOKUP(B600,M!$B$6:$I$733,8,FALSE)="ხმ",VLOOKUP(B600,M!$B$6:$I$733,3,FALSE)*0.001*#REF!*#REF!))))))))),2)</f>
        <v>3.2</v>
      </c>
      <c r="K600" s="13">
        <f>ROUND(E600*J600,1)</f>
        <v>0.2</v>
      </c>
      <c r="L600" s="14">
        <f t="shared" si="181"/>
        <v>0.2</v>
      </c>
      <c r="M600" s="23" t="str">
        <f>(IF(ISNUMBER(MATCH(B600,E!$B$6:$B$197,0)),VLOOKUP(B600,E!$B$6:$E$197,4,FALSE),VLOOKUP(B600,M!$B$6:$I$733,7,FALSE)))</f>
        <v>ს.რ.ფ</v>
      </c>
    </row>
    <row r="601" spans="1:14" ht="39.950000000000003" customHeight="1" x14ac:dyDescent="0.25">
      <c r="A601" s="16" t="s">
        <v>695</v>
      </c>
      <c r="B601" s="17" t="s">
        <v>677</v>
      </c>
      <c r="C601" s="2" t="s">
        <v>393</v>
      </c>
      <c r="D601" s="2">
        <v>35</v>
      </c>
      <c r="E601" s="14">
        <f>D601*E596</f>
        <v>35</v>
      </c>
      <c r="F601" s="31" t="e">
        <f>ROUND(VLOOKUP(B601,M!$B$6:$H$733,IF(#REF!="დაბალი",4,IF(#REF!="საშუალო",6,IF(#REF!="მაღალი",5))),FALSE),2)</f>
        <v>#REF!</v>
      </c>
      <c r="G601" s="14" t="e">
        <f t="shared" ref="G601" si="182">ROUND(E601*F601,2)</f>
        <v>#REF!</v>
      </c>
      <c r="H601" s="2"/>
      <c r="I601" s="2"/>
      <c r="J601" s="2"/>
      <c r="K601" s="2"/>
      <c r="L601" s="14" t="e">
        <f t="shared" si="181"/>
        <v>#REF!</v>
      </c>
      <c r="M601" s="23" t="str">
        <f>(IF(ISNUMBER(MATCH(B601,E!$B$6:$B$197,0)),VLOOKUP(B601,E!$B$6:$E$197,4,FALSE),VLOOKUP(B601,M!$B$6:$I$733,7,FALSE)))</f>
        <v>ს.რ.ფ</v>
      </c>
    </row>
    <row r="602" spans="1:14" s="45" customFormat="1" ht="39.950000000000003" customHeight="1" x14ac:dyDescent="0.25">
      <c r="A602" s="70">
        <v>1.1000000000000001</v>
      </c>
      <c r="B602" s="71" t="s">
        <v>1157</v>
      </c>
      <c r="C602" s="41" t="s">
        <v>792</v>
      </c>
      <c r="D602" s="41"/>
      <c r="E602" s="43">
        <v>1</v>
      </c>
      <c r="F602" s="41"/>
      <c r="G602" s="41"/>
      <c r="H602" s="41"/>
      <c r="I602" s="41"/>
      <c r="J602" s="41"/>
      <c r="K602" s="41"/>
      <c r="L602" s="43" t="e">
        <f>SUM(L603:L609)</f>
        <v>#REF!</v>
      </c>
      <c r="M602" s="44" t="s">
        <v>1152</v>
      </c>
      <c r="N602" s="68"/>
    </row>
    <row r="603" spans="1:14" ht="39.950000000000003" customHeight="1" x14ac:dyDescent="0.25">
      <c r="A603" s="16" t="s">
        <v>668</v>
      </c>
      <c r="B603" s="17" t="s">
        <v>669</v>
      </c>
      <c r="C603" s="2" t="s">
        <v>670</v>
      </c>
      <c r="D603" s="2">
        <v>6.75</v>
      </c>
      <c r="E603" s="14">
        <f>D603*E602</f>
        <v>6.75</v>
      </c>
      <c r="F603" s="2"/>
      <c r="G603" s="2"/>
      <c r="H603" s="27">
        <f>IF((ISNUMBER(--LEFT(M602,2))),VLOOKUP(--LEFT(M602,2),N!$A$5:$C$54,3,FALSE),VLOOKUP(--LEFT(M602,1),N!$A$5:$C$54,3,FALSE))</f>
        <v>6</v>
      </c>
      <c r="I603" s="13">
        <f>ROUND(E603*H603,1)</f>
        <v>40.5</v>
      </c>
      <c r="J603" s="2"/>
      <c r="K603" s="2"/>
      <c r="L603" s="14">
        <f t="shared" ref="L603:L609" si="183">G603+I603+K603</f>
        <v>40.5</v>
      </c>
      <c r="M603" s="23" t="str">
        <f>(IF(ISNUMBER(MATCH(B603,E!$B$6:$B$197,0)),VLOOKUP(B603,E!$B$6:$E$197,4,FALSE),VLOOKUP(B603,M!$B$6:$I$733,7,FALSE)))</f>
        <v>მ.ც</v>
      </c>
    </row>
    <row r="604" spans="1:14" ht="39.950000000000003" customHeight="1" x14ac:dyDescent="0.25">
      <c r="A604" s="16" t="s">
        <v>671</v>
      </c>
      <c r="B604" s="2" t="s">
        <v>169</v>
      </c>
      <c r="C604" s="2" t="s">
        <v>672</v>
      </c>
      <c r="D604" s="2">
        <v>0.5</v>
      </c>
      <c r="E604" s="14">
        <f>D604*E602</f>
        <v>0.5</v>
      </c>
      <c r="F604" s="13"/>
      <c r="G604" s="13"/>
      <c r="H604" s="2"/>
      <c r="I604" s="2"/>
      <c r="J604" s="35">
        <f>ROUND(IF(ISNUMBER(MATCH(B604,E!$B$6:$B$197,0)),VLOOKUP(B604,E!$B$6:$E$197,2,FALSE),IF(#REF!="დიახ",IF(VLOOKUP(B604,M!$B$6:$I$733,8,FALSE)="ლ",VLOOKUP(B604,M!$B$6:$I$733,3,FALSE)*0.001*#REF!*#REF!,IF(VLOOKUP(B604,M!$B$6:$I$733,8,FALSE)="მბ",VLOOKUP(B604,M!$B$6:$I$733,3,FALSE)*0.001*#REF!*#REF!,IF(VLOOKUP(B604,M!$B$6:$I$733,8,FALSE)="აბ",VLOOKUP(B604,M!$B$6:$I$733,3,FALSE)*0.001*#REF!*#REF!,IF(VLOOKUP(B604,M!$B$6:$I$733,8,FALSE)="ინ",VLOOKUP(B604,M!$B$6:$I$733,3,FALSE)*0.001*#REF!*#REF!,IF(VLOOKUP(B604,M!$B$6:$I$733,8,FALSE)="ას",VLOOKUP(B604,M!$B$6:$I$733,3,FALSE)*0.001*#REF!*#REF!,IF(VLOOKUP(B604,M!$B$6:$I$733,8,FALSE)="სხ",VLOOKUP(B604,M!$B$6:$I$733,3,FALSE)*0.001*#REF!*#REF!,IF(VLOOKUP(B604,M!$B$6:$I$733,8,FALSE)="ხმ",VLOOKUP(B604,M!$B$6:$I$733,3,FALSE)*0.001*#REF!*#REF!))))))))),2)</f>
        <v>15.06</v>
      </c>
      <c r="K604" s="14">
        <f>ROUND(E604*J604,2)</f>
        <v>7.53</v>
      </c>
      <c r="L604" s="14">
        <f t="shared" si="183"/>
        <v>7.53</v>
      </c>
      <c r="M604" s="23" t="str">
        <f>(IF(ISNUMBER(MATCH(B604,E!$B$6:$B$197,0)),VLOOKUP(B604,E!$B$6:$E$197,4,FALSE),VLOOKUP(B604,M!$B$6:$I$733,7,FALSE)))</f>
        <v>14-43</v>
      </c>
    </row>
    <row r="605" spans="1:14" ht="39.950000000000003" customHeight="1" x14ac:dyDescent="0.25">
      <c r="A605" s="16" t="s">
        <v>673</v>
      </c>
      <c r="B605" s="2" t="s">
        <v>1153</v>
      </c>
      <c r="C605" s="2" t="s">
        <v>672</v>
      </c>
      <c r="D605" s="2">
        <v>0.54</v>
      </c>
      <c r="E605" s="14">
        <f>D605*E602</f>
        <v>0.54</v>
      </c>
      <c r="F605" s="13"/>
      <c r="G605" s="13"/>
      <c r="H605" s="2"/>
      <c r="I605" s="2"/>
      <c r="J605" s="35">
        <f>ROUND(IF(ISNUMBER(MATCH(B605,E!$B$6:$B$197,0)),VLOOKUP(B605,E!$B$6:$E$197,2,FALSE),IF(#REF!="დიახ",IF(VLOOKUP(B605,M!$B$6:$I$733,8,FALSE)="ლ",VLOOKUP(B605,M!$B$6:$I$733,3,FALSE)*0.001*#REF!*#REF!,IF(VLOOKUP(B605,M!$B$6:$I$733,8,FALSE)="მბ",VLOOKUP(B605,M!$B$6:$I$733,3,FALSE)*0.001*#REF!*#REF!,IF(VLOOKUP(B605,M!$B$6:$I$733,8,FALSE)="აბ",VLOOKUP(B605,M!$B$6:$I$733,3,FALSE)*0.001*#REF!*#REF!,IF(VLOOKUP(B605,M!$B$6:$I$733,8,FALSE)="ინ",VLOOKUP(B605,M!$B$6:$I$733,3,FALSE)*0.001*#REF!*#REF!,IF(VLOOKUP(B605,M!$B$6:$I$733,8,FALSE)="ას",VLOOKUP(B605,M!$B$6:$I$733,3,FALSE)*0.001*#REF!*#REF!,IF(VLOOKUP(B605,M!$B$6:$I$733,8,FALSE)="სხ",VLOOKUP(B605,M!$B$6:$I$733,3,FALSE)*0.001*#REF!*#REF!,IF(VLOOKUP(B605,M!$B$6:$I$733,8,FALSE)="ხმ",VLOOKUP(B605,M!$B$6:$I$733,3,FALSE)*0.001*#REF!*#REF!))))))))),2)</f>
        <v>0.85</v>
      </c>
      <c r="K605" s="14">
        <f t="shared" ref="K605:K606" si="184">ROUND(E605*J605,2)</f>
        <v>0.46</v>
      </c>
      <c r="L605" s="14">
        <f t="shared" si="183"/>
        <v>0.46</v>
      </c>
      <c r="M605" s="23" t="str">
        <f>(IF(ISNUMBER(MATCH(B605,E!$B$6:$B$197,0)),VLOOKUP(B605,E!$B$6:$E$197,4,FALSE),VLOOKUP(B605,M!$B$6:$I$733,7,FALSE)))</f>
        <v>14-225</v>
      </c>
    </row>
    <row r="606" spans="1:14" ht="39.950000000000003" customHeight="1" x14ac:dyDescent="0.25">
      <c r="A606" s="16" t="s">
        <v>675</v>
      </c>
      <c r="B606" s="2" t="s">
        <v>207</v>
      </c>
      <c r="C606" s="2" t="s">
        <v>672</v>
      </c>
      <c r="D606" s="2">
        <v>0.09</v>
      </c>
      <c r="E606" s="14">
        <f>D606*E602</f>
        <v>0.09</v>
      </c>
      <c r="F606" s="13"/>
      <c r="G606" s="13"/>
      <c r="H606" s="2"/>
      <c r="I606" s="2"/>
      <c r="J606" s="35">
        <f>ROUND(IF(ISNUMBER(MATCH(B606,E!$B$6:$B$197,0)),VLOOKUP(B606,E!$B$6:$E$197,2,FALSE),IF(#REF!="დიახ",IF(VLOOKUP(B606,M!$B$6:$I$733,8,FALSE)="ლ",VLOOKUP(B606,M!$B$6:$I$733,3,FALSE)*0.001*#REF!*#REF!,IF(VLOOKUP(B606,M!$B$6:$I$733,8,FALSE)="მბ",VLOOKUP(B606,M!$B$6:$I$733,3,FALSE)*0.001*#REF!*#REF!,IF(VLOOKUP(B606,M!$B$6:$I$733,8,FALSE)="აბ",VLOOKUP(B606,M!$B$6:$I$733,3,FALSE)*0.001*#REF!*#REF!,IF(VLOOKUP(B606,M!$B$6:$I$733,8,FALSE)="ინ",VLOOKUP(B606,M!$B$6:$I$733,3,FALSE)*0.001*#REF!*#REF!,IF(VLOOKUP(B606,M!$B$6:$I$733,8,FALSE)="ას",VLOOKUP(B606,M!$B$6:$I$733,3,FALSE)*0.001*#REF!*#REF!,IF(VLOOKUP(B606,M!$B$6:$I$733,8,FALSE)="სხ",VLOOKUP(B606,M!$B$6:$I$733,3,FALSE)*0.001*#REF!*#REF!,IF(VLOOKUP(B606,M!$B$6:$I$733,8,FALSE)="ხმ",VLOOKUP(B606,M!$B$6:$I$733,3,FALSE)*0.001*#REF!*#REF!))))))))),2)</f>
        <v>31.61</v>
      </c>
      <c r="K606" s="14">
        <f t="shared" si="184"/>
        <v>2.84</v>
      </c>
      <c r="L606" s="14">
        <f t="shared" si="183"/>
        <v>2.84</v>
      </c>
      <c r="M606" s="23" t="str">
        <f>(IF(ISNUMBER(MATCH(B606,E!$B$6:$B$197,0)),VLOOKUP(B606,E!$B$6:$E$197,4,FALSE),VLOOKUP(B606,M!$B$6:$I$733,7,FALSE)))</f>
        <v>14-117</v>
      </c>
    </row>
    <row r="607" spans="1:14" ht="39.950000000000003" customHeight="1" x14ac:dyDescent="0.25">
      <c r="A607" s="16" t="s">
        <v>695</v>
      </c>
      <c r="B607" s="17" t="s">
        <v>654</v>
      </c>
      <c r="C607" s="2" t="s">
        <v>672</v>
      </c>
      <c r="D607" s="2">
        <v>0.17</v>
      </c>
      <c r="E607" s="14">
        <f>D607*E602</f>
        <v>0.17</v>
      </c>
      <c r="F607" s="2"/>
      <c r="G607" s="2"/>
      <c r="H607" s="2"/>
      <c r="I607" s="2"/>
      <c r="J607" s="35">
        <f>ROUND(IF(ISNUMBER(MATCH(B607,E!$B$6:$B$197,0)),VLOOKUP(B607,E!$B$6:$E$197,2,FALSE),IF(#REF!="დიახ",IF(VLOOKUP(B607,M!$B$6:$I$733,8,FALSE)="ლ",VLOOKUP(B607,M!$B$6:$I$733,3,FALSE)*0.001*#REF!*#REF!,IF(VLOOKUP(B607,M!$B$6:$I$733,8,FALSE)="მბ",VLOOKUP(B607,M!$B$6:$I$733,3,FALSE)*0.001*#REF!*#REF!,IF(VLOOKUP(B607,M!$B$6:$I$733,8,FALSE)="აბ",VLOOKUP(B607,M!$B$6:$I$733,3,FALSE)*0.001*#REF!*#REF!,IF(VLOOKUP(B607,M!$B$6:$I$733,8,FALSE)="ინ",VLOOKUP(B607,M!$B$6:$I$733,3,FALSE)*0.001*#REF!*#REF!,IF(VLOOKUP(B607,M!$B$6:$I$733,8,FALSE)="ას",VLOOKUP(B607,M!$B$6:$I$733,3,FALSE)*0.001*#REF!*#REF!,IF(VLOOKUP(B607,M!$B$6:$I$733,8,FALSE)="სხ",VLOOKUP(B607,M!$B$6:$I$733,3,FALSE)*0.001*#REF!*#REF!,IF(VLOOKUP(B607,M!$B$6:$I$733,8,FALSE)="ხმ",VLOOKUP(B607,M!$B$6:$I$733,3,FALSE)*0.001*#REF!*#REF!))))))))),2)</f>
        <v>3.2</v>
      </c>
      <c r="K607" s="13">
        <f t="shared" ref="K607" si="185">ROUND(E607*J607,1)</f>
        <v>0.5</v>
      </c>
      <c r="L607" s="14">
        <f t="shared" si="183"/>
        <v>0.5</v>
      </c>
      <c r="M607" s="23" t="str">
        <f>(IF(ISNUMBER(MATCH(B607,E!$B$6:$B$197,0)),VLOOKUP(B607,E!$B$6:$E$197,4,FALSE),VLOOKUP(B607,M!$B$6:$I$733,7,FALSE)))</f>
        <v>ს.რ.ფ</v>
      </c>
    </row>
    <row r="608" spans="1:14" ht="39.950000000000003" customHeight="1" x14ac:dyDescent="0.25">
      <c r="A608" s="16" t="s">
        <v>696</v>
      </c>
      <c r="B608" s="2" t="s">
        <v>1156</v>
      </c>
      <c r="C608" s="2" t="s">
        <v>674</v>
      </c>
      <c r="D608" s="112">
        <v>1</v>
      </c>
      <c r="E608" s="14">
        <f>D608*E602</f>
        <v>1</v>
      </c>
      <c r="F608" s="31" t="e">
        <f>ROUND(VLOOKUP(B608,M!$B$6:$H$733,IF(#REF!="დაბალი",4,IF(#REF!="საშუალო",6,IF(#REF!="მაღალი",5))),FALSE),2)</f>
        <v>#REF!</v>
      </c>
      <c r="G608" s="112" t="e">
        <f t="shared" ref="G608:G609" si="186">ROUND(E608*F608,2)</f>
        <v>#REF!</v>
      </c>
      <c r="H608" s="112"/>
      <c r="I608" s="112"/>
      <c r="J608" s="35" t="e">
        <f>ROUND(IF(ISNUMBER(MATCH(B608,E!$B$6:$B$197,0)),VLOOKUP(B608,E!$B$6:$E$197,2,FALSE),IF(#REF!="დიახ",IF(VLOOKUP(B608,M!$B$6:$I$733,8,FALSE)="ლ",VLOOKUP(B608,M!$B$6:$I$733,3,FALSE)*0.001*#REF!*#REF!,IF(VLOOKUP(B608,M!$B$6:$I$733,8,FALSE)="მბ",VLOOKUP(B608,M!$B$6:$I$733,3,FALSE)*0.001*#REF!*#REF!,IF(VLOOKUP(B608,M!$B$6:$I$733,8,FALSE)="აბ",VLOOKUP(B608,M!$B$6:$I$733,3,FALSE)*0.001*#REF!*#REF!,IF(VLOOKUP(B608,M!$B$6:$I$733,8,FALSE)="ინ",VLOOKUP(B608,M!$B$6:$I$733,3,FALSE)*0.001*#REF!*#REF!,IF(VLOOKUP(B608,M!$B$6:$I$733,8,FALSE)="ას",VLOOKUP(B608,M!$B$6:$I$733,3,FALSE)*0.001*#REF!*#REF!,IF(VLOOKUP(B608,M!$B$6:$I$733,8,FALSE)="სხ",VLOOKUP(B608,M!$B$6:$I$733,3,FALSE)*0.001*#REF!*#REF!,IF(VLOOKUP(B608,M!$B$6:$I$733,8,FALSE)="ხმ",VLOOKUP(B608,M!$B$6:$I$733,3,FALSE)*0.001*#REF!*#REF!))))))))),2)</f>
        <v>#REF!</v>
      </c>
      <c r="K608" s="112" t="e">
        <f>ROUND(E608*J608,2)</f>
        <v>#REF!</v>
      </c>
      <c r="L608" s="14" t="e">
        <f t="shared" si="183"/>
        <v>#REF!</v>
      </c>
      <c r="M608" s="23" t="str">
        <f>(IF(ISNUMBER(MATCH(B608,E!$B$6:$B$197,0)),VLOOKUP(B608,E!$B$6:$E$197,4,FALSE),VLOOKUP(B608,M!$B$6:$I$733,7,FALSE)))</f>
        <v>საბაზრო</v>
      </c>
    </row>
    <row r="609" spans="1:14" ht="39.950000000000003" customHeight="1" x14ac:dyDescent="0.25">
      <c r="A609" s="16" t="s">
        <v>733</v>
      </c>
      <c r="B609" s="17" t="s">
        <v>677</v>
      </c>
      <c r="C609" s="2" t="s">
        <v>393</v>
      </c>
      <c r="D609" s="2">
        <v>6.26</v>
      </c>
      <c r="E609" s="14">
        <f>D609*E602</f>
        <v>6.26</v>
      </c>
      <c r="F609" s="31" t="e">
        <f>ROUND(VLOOKUP(B609,M!$B$6:$H$733,IF(#REF!="დაბალი",4,IF(#REF!="საშუალო",6,IF(#REF!="მაღალი",5))),FALSE),2)</f>
        <v>#REF!</v>
      </c>
      <c r="G609" s="14" t="e">
        <f t="shared" si="186"/>
        <v>#REF!</v>
      </c>
      <c r="H609" s="2"/>
      <c r="I609" s="2"/>
      <c r="J609" s="2"/>
      <c r="K609" s="2"/>
      <c r="L609" s="14" t="e">
        <f t="shared" si="183"/>
        <v>#REF!</v>
      </c>
      <c r="M609" s="23" t="str">
        <f>(IF(ISNUMBER(MATCH(B609,E!$B$6:$B$197,0)),VLOOKUP(B609,E!$B$6:$E$197,4,FALSE),VLOOKUP(B609,M!$B$6:$I$733,7,FALSE)))</f>
        <v>ს.რ.ფ</v>
      </c>
    </row>
    <row r="610" spans="1:14" s="45" customFormat="1" ht="39.950000000000003" customHeight="1" x14ac:dyDescent="0.25">
      <c r="A610" s="70">
        <v>1.1000000000000001</v>
      </c>
      <c r="B610" s="71" t="s">
        <v>1144</v>
      </c>
      <c r="C610" s="41" t="s">
        <v>712</v>
      </c>
      <c r="D610" s="41"/>
      <c r="E610" s="52">
        <v>15</v>
      </c>
      <c r="F610" s="41"/>
      <c r="G610" s="41"/>
      <c r="H610" s="41"/>
      <c r="I610" s="41"/>
      <c r="J610" s="41"/>
      <c r="K610" s="41"/>
      <c r="L610" s="43" t="e">
        <f>SUM(L611:L615)</f>
        <v>#REF!</v>
      </c>
      <c r="M610" s="44" t="s">
        <v>1151</v>
      </c>
      <c r="N610" s="68"/>
    </row>
    <row r="611" spans="1:14" ht="39.950000000000003" customHeight="1" x14ac:dyDescent="0.25">
      <c r="A611" s="16" t="s">
        <v>668</v>
      </c>
      <c r="B611" s="17" t="s">
        <v>669</v>
      </c>
      <c r="C611" s="2" t="s">
        <v>670</v>
      </c>
      <c r="D611" s="2">
        <v>800</v>
      </c>
      <c r="E611" s="14">
        <f>D611*E610/100</f>
        <v>120</v>
      </c>
      <c r="F611" s="2"/>
      <c r="G611" s="2"/>
      <c r="H611" s="27">
        <f>IF((ISNUMBER(--LEFT(M610,2))),VLOOKUP(--LEFT(M610,2),N!$A$5:$C$54,3,FALSE),VLOOKUP(--LEFT(M610,1),N!$A$5:$C$54,3,FALSE))</f>
        <v>6</v>
      </c>
      <c r="I611" s="13">
        <f>ROUND(E611*H611,1)</f>
        <v>720</v>
      </c>
      <c r="J611" s="2"/>
      <c r="K611" s="2"/>
      <c r="L611" s="14">
        <f t="shared" ref="L611" si="187">G611+I611+K611</f>
        <v>720</v>
      </c>
      <c r="M611" s="23" t="str">
        <f>(IF(ISNUMBER(MATCH(B611,E!$B$6:$B$197,0)),VLOOKUP(B611,E!$B$6:$E$197,4,FALSE),VLOOKUP(B611,M!$B$6:$I$733,7,FALSE)))</f>
        <v>მ.ც</v>
      </c>
    </row>
    <row r="612" spans="1:14" ht="39.950000000000003" customHeight="1" x14ac:dyDescent="0.25">
      <c r="A612" s="16" t="s">
        <v>671</v>
      </c>
      <c r="B612" s="2" t="s">
        <v>169</v>
      </c>
      <c r="C612" s="2" t="s">
        <v>672</v>
      </c>
      <c r="D612" s="2">
        <v>32</v>
      </c>
      <c r="E612" s="14">
        <f>D612*E610/100</f>
        <v>4.8</v>
      </c>
      <c r="F612" s="13"/>
      <c r="G612" s="13"/>
      <c r="H612" s="2"/>
      <c r="I612" s="2"/>
      <c r="J612" s="35">
        <f>ROUND(IF(ISNUMBER(MATCH(B612,E!$B$6:$B$197,0)),VLOOKUP(B612,E!$B$6:$E$197,2,FALSE),IF(#REF!="დიახ",IF(VLOOKUP(B612,M!$B$6:$I$733,8,FALSE)="ლ",VLOOKUP(B612,M!$B$6:$I$733,3,FALSE)*0.001*#REF!*#REF!,IF(VLOOKUP(B612,M!$B$6:$I$733,8,FALSE)="მბ",VLOOKUP(B612,M!$B$6:$I$733,3,FALSE)*0.001*#REF!*#REF!,IF(VLOOKUP(B612,M!$B$6:$I$733,8,FALSE)="აბ",VLOOKUP(B612,M!$B$6:$I$733,3,FALSE)*0.001*#REF!*#REF!,IF(VLOOKUP(B612,M!$B$6:$I$733,8,FALSE)="ინ",VLOOKUP(B612,M!$B$6:$I$733,3,FALSE)*0.001*#REF!*#REF!,IF(VLOOKUP(B612,M!$B$6:$I$733,8,FALSE)="ას",VLOOKUP(B612,M!$B$6:$I$733,3,FALSE)*0.001*#REF!*#REF!,IF(VLOOKUP(B612,M!$B$6:$I$733,8,FALSE)="სხ",VLOOKUP(B612,M!$B$6:$I$733,3,FALSE)*0.001*#REF!*#REF!,IF(VLOOKUP(B612,M!$B$6:$I$733,8,FALSE)="ხმ",VLOOKUP(B612,M!$B$6:$I$733,3,FALSE)*0.001*#REF!*#REF!))))))))),2)</f>
        <v>15.06</v>
      </c>
      <c r="K612" s="14">
        <f>ROUND(E612*J612,2)</f>
        <v>72.290000000000006</v>
      </c>
      <c r="L612" s="14">
        <f>G612+I612+K612</f>
        <v>72.290000000000006</v>
      </c>
      <c r="M612" s="23" t="str">
        <f>(IF(ISNUMBER(MATCH(B612,E!$B$6:$B$197,0)),VLOOKUP(B612,E!$B$6:$E$197,4,FALSE),VLOOKUP(B612,M!$B$6:$I$733,7,FALSE)))</f>
        <v>14-43</v>
      </c>
    </row>
    <row r="613" spans="1:14" ht="39.950000000000003" customHeight="1" x14ac:dyDescent="0.25">
      <c r="A613" s="16" t="s">
        <v>673</v>
      </c>
      <c r="B613" s="17" t="s">
        <v>654</v>
      </c>
      <c r="C613" s="2" t="s">
        <v>672</v>
      </c>
      <c r="D613" s="2">
        <v>75</v>
      </c>
      <c r="E613" s="14">
        <f>D613*E610/100</f>
        <v>11.25</v>
      </c>
      <c r="F613" s="2"/>
      <c r="G613" s="2"/>
      <c r="H613" s="2"/>
      <c r="I613" s="2"/>
      <c r="J613" s="35">
        <f>ROUND(IF(ISNUMBER(MATCH(B613,E!$B$6:$B$197,0)),VLOOKUP(B613,E!$B$6:$E$197,2,FALSE),IF(#REF!="დიახ",IF(VLOOKUP(B613,M!$B$6:$I$733,8,FALSE)="ლ",VLOOKUP(B613,M!$B$6:$I$733,3,FALSE)*0.001*#REF!*#REF!,IF(VLOOKUP(B613,M!$B$6:$I$733,8,FALSE)="მბ",VLOOKUP(B613,M!$B$6:$I$733,3,FALSE)*0.001*#REF!*#REF!,IF(VLOOKUP(B613,M!$B$6:$I$733,8,FALSE)="აბ",VLOOKUP(B613,M!$B$6:$I$733,3,FALSE)*0.001*#REF!*#REF!,IF(VLOOKUP(B613,M!$B$6:$I$733,8,FALSE)="ინ",VLOOKUP(B613,M!$B$6:$I$733,3,FALSE)*0.001*#REF!*#REF!,IF(VLOOKUP(B613,M!$B$6:$I$733,8,FALSE)="ას",VLOOKUP(B613,M!$B$6:$I$733,3,FALSE)*0.001*#REF!*#REF!,IF(VLOOKUP(B613,M!$B$6:$I$733,8,FALSE)="სხ",VLOOKUP(B613,M!$B$6:$I$733,3,FALSE)*0.001*#REF!*#REF!,IF(VLOOKUP(B613,M!$B$6:$I$733,8,FALSE)="ხმ",VLOOKUP(B613,M!$B$6:$I$733,3,FALSE)*0.001*#REF!*#REF!))))))))),2)</f>
        <v>3.2</v>
      </c>
      <c r="K613" s="13">
        <f t="shared" ref="K613" si="188">ROUND(E613*J613,1)</f>
        <v>36</v>
      </c>
      <c r="L613" s="14">
        <f t="shared" ref="L613:L614" si="189">G613+I613+K613</f>
        <v>36</v>
      </c>
      <c r="M613" s="23" t="str">
        <f>(IF(ISNUMBER(MATCH(B613,E!$B$6:$B$197,0)),VLOOKUP(B613,E!$B$6:$E$197,4,FALSE),VLOOKUP(B613,M!$B$6:$I$733,7,FALSE)))</f>
        <v>ს.რ.ფ</v>
      </c>
    </row>
    <row r="614" spans="1:14" ht="39.950000000000003" customHeight="1" x14ac:dyDescent="0.25">
      <c r="A614" s="16" t="s">
        <v>675</v>
      </c>
      <c r="B614" s="2" t="s">
        <v>311</v>
      </c>
      <c r="C614" s="2" t="s">
        <v>674</v>
      </c>
      <c r="D614" s="112">
        <v>100</v>
      </c>
      <c r="E614" s="14">
        <f>D614*E610/100</f>
        <v>15</v>
      </c>
      <c r="F614" s="31" t="e">
        <f>ROUND(VLOOKUP(B614,M!$B$6:$H$733,IF(#REF!="დაბალი",4,IF(#REF!="საშუალო",6,IF(#REF!="მაღალი",5))),FALSE),2)</f>
        <v>#REF!</v>
      </c>
      <c r="G614" s="112" t="e">
        <f t="shared" ref="G614" si="190">ROUND(E614*F614,2)</f>
        <v>#REF!</v>
      </c>
      <c r="H614" s="112"/>
      <c r="I614" s="112"/>
      <c r="J614" s="35" t="e">
        <f>ROUND(IF(ISNUMBER(MATCH(B614,E!$B$6:$B$197,0)),VLOOKUP(B614,E!$B$6:$E$197,2,FALSE),IF(#REF!="დიახ",IF(VLOOKUP(B614,M!$B$6:$I$733,8,FALSE)="ლ",VLOOKUP(B614,M!$B$6:$I$733,3,FALSE)*0.001*#REF!*#REF!,IF(VLOOKUP(B614,M!$B$6:$I$733,8,FALSE)="მბ",VLOOKUP(B614,M!$B$6:$I$733,3,FALSE)*0.001*#REF!*#REF!,IF(VLOOKUP(B614,M!$B$6:$I$733,8,FALSE)="აბ",VLOOKUP(B614,M!$B$6:$I$733,3,FALSE)*0.001*#REF!*#REF!,IF(VLOOKUP(B614,M!$B$6:$I$733,8,FALSE)="ინ",VLOOKUP(B614,M!$B$6:$I$733,3,FALSE)*0.001*#REF!*#REF!,IF(VLOOKUP(B614,M!$B$6:$I$733,8,FALSE)="ას",VLOOKUP(B614,M!$B$6:$I$733,3,FALSE)*0.001*#REF!*#REF!,IF(VLOOKUP(B614,M!$B$6:$I$733,8,FALSE)="სხ",VLOOKUP(B614,M!$B$6:$I$733,3,FALSE)*0.001*#REF!*#REF!,IF(VLOOKUP(B614,M!$B$6:$I$733,8,FALSE)="ხმ",VLOOKUP(B614,M!$B$6:$I$733,3,FALSE)*0.001*#REF!*#REF!))))))))),2)</f>
        <v>#REF!</v>
      </c>
      <c r="K614" s="112" t="e">
        <f>ROUND(E614*J614,2)</f>
        <v>#REF!</v>
      </c>
      <c r="L614" s="14" t="e">
        <f t="shared" si="189"/>
        <v>#REF!</v>
      </c>
      <c r="M614" s="23" t="str">
        <f>(IF(ISNUMBER(MATCH(B614,E!$B$6:$B$197,0)),VLOOKUP(B614,E!$B$6:$E$197,4,FALSE),VLOOKUP(B614,M!$B$6:$I$733,7,FALSE)))</f>
        <v>4.1-161</v>
      </c>
    </row>
    <row r="615" spans="1:14" ht="39.950000000000003" customHeight="1" x14ac:dyDescent="0.25">
      <c r="A615" s="16" t="s">
        <v>695</v>
      </c>
      <c r="B615" s="17" t="s">
        <v>677</v>
      </c>
      <c r="C615" s="2" t="s">
        <v>393</v>
      </c>
      <c r="D615" s="2">
        <v>730</v>
      </c>
      <c r="E615" s="14">
        <f>D615*E610/100</f>
        <v>109.5</v>
      </c>
      <c r="F615" s="31" t="e">
        <f>ROUND(VLOOKUP(B615,M!$B$6:$H$733,IF(#REF!="დაბალი",4,IF(#REF!="საშუალო",6,IF(#REF!="მაღალი",5))),FALSE),2)</f>
        <v>#REF!</v>
      </c>
      <c r="G615" s="14" t="e">
        <f t="shared" ref="G615" si="191">ROUND(E615*F615,2)</f>
        <v>#REF!</v>
      </c>
      <c r="H615" s="2"/>
      <c r="I615" s="2"/>
      <c r="J615" s="2"/>
      <c r="K615" s="2"/>
      <c r="L615" s="14" t="e">
        <f t="shared" ref="L615" si="192">G615+I615+K615</f>
        <v>#REF!</v>
      </c>
      <c r="M615" s="23" t="str">
        <f>(IF(ISNUMBER(MATCH(B615,E!$B$6:$B$197,0)),VLOOKUP(B615,E!$B$6:$E$197,4,FALSE),VLOOKUP(B615,M!$B$6:$I$733,7,FALSE)))</f>
        <v>ს.რ.ფ</v>
      </c>
    </row>
    <row r="616" spans="1:14" s="45" customFormat="1" ht="39.950000000000003" customHeight="1" x14ac:dyDescent="0.25">
      <c r="A616" s="39">
        <v>1.1000000000000001</v>
      </c>
      <c r="B616" s="40" t="s">
        <v>1179</v>
      </c>
      <c r="C616" s="41" t="s">
        <v>9</v>
      </c>
      <c r="D616" s="41"/>
      <c r="E616" s="41">
        <v>1</v>
      </c>
      <c r="F616" s="42"/>
      <c r="G616" s="43"/>
      <c r="H616" s="41"/>
      <c r="I616" s="41"/>
      <c r="J616" s="41"/>
      <c r="K616" s="41"/>
      <c r="L616" s="43" t="e">
        <f>SUM(L617:L626)</f>
        <v>#REF!</v>
      </c>
      <c r="M616" s="44" t="s">
        <v>1175</v>
      </c>
    </row>
    <row r="617" spans="1:14" ht="39.950000000000003" customHeight="1" x14ac:dyDescent="0.25">
      <c r="A617" s="16" t="s">
        <v>668</v>
      </c>
      <c r="B617" s="17" t="s">
        <v>669</v>
      </c>
      <c r="C617" s="2" t="s">
        <v>670</v>
      </c>
      <c r="D617" s="112">
        <v>31</v>
      </c>
      <c r="E617" s="136">
        <f>E616*D617</f>
        <v>31</v>
      </c>
      <c r="F617" s="112"/>
      <c r="G617" s="112"/>
      <c r="H617" s="27">
        <f>IF((ISNUMBER(--LEFT(M616,2))),VLOOKUP(--LEFT(M616,2),N!$A$5:$C$54,3,FALSE),VLOOKUP(--LEFT(M616,1),N!$A$5:$C$54,3,FALSE))</f>
        <v>6</v>
      </c>
      <c r="I617" s="112">
        <f>E617*H617</f>
        <v>186</v>
      </c>
      <c r="J617" s="112"/>
      <c r="K617" s="112"/>
      <c r="L617" s="14">
        <f t="shared" ref="L617:L626" si="193">G617+I617+K617</f>
        <v>186</v>
      </c>
      <c r="M617" s="23" t="str">
        <f>(IF(ISNUMBER(MATCH(B617,E!$B$6:$B$197,0)),VLOOKUP(B617,E!$B$6:$E$197,4,FALSE),VLOOKUP(B617,M!$B$6:$I$733,7,FALSE)))</f>
        <v>მ.ც</v>
      </c>
    </row>
    <row r="618" spans="1:14" ht="39.950000000000003" customHeight="1" x14ac:dyDescent="0.25">
      <c r="A618" s="16" t="s">
        <v>671</v>
      </c>
      <c r="B618" s="111" t="s">
        <v>178</v>
      </c>
      <c r="C618" s="111" t="s">
        <v>672</v>
      </c>
      <c r="D618" s="112">
        <v>3.16</v>
      </c>
      <c r="E618" s="125">
        <f>E616*D618</f>
        <v>3.16</v>
      </c>
      <c r="F618" s="112"/>
      <c r="G618" s="112"/>
      <c r="H618" s="112"/>
      <c r="I618" s="112"/>
      <c r="J618" s="35">
        <f>ROUND(IF(ISNUMBER(MATCH(B618,E!$B$6:$B$197,0)),VLOOKUP(B618,E!$B$6:$E$197,2,FALSE),IF(#REF!="დიახ",IF(VLOOKUP(B618,M!$B$6:$I$733,8,FALSE)="ლ",VLOOKUP(B618,M!$B$6:$I$733,3,FALSE)*0.001*#REF!*#REF!,IF(VLOOKUP(B618,M!$B$6:$I$733,8,FALSE)="მბ",VLOOKUP(B618,M!$B$6:$I$733,3,FALSE)*0.001*#REF!*#REF!,IF(VLOOKUP(B618,M!$B$6:$I$733,8,FALSE)="აბ",VLOOKUP(B618,M!$B$6:$I$733,3,FALSE)*0.001*#REF!*#REF!,IF(VLOOKUP(B618,M!$B$6:$I$733,8,FALSE)="ინ",VLOOKUP(B618,M!$B$6:$I$733,3,FALSE)*0.001*#REF!*#REF!,IF(VLOOKUP(B618,M!$B$6:$I$733,8,FALSE)="ას",VLOOKUP(B618,M!$B$6:$I$733,3,FALSE)*0.001*#REF!*#REF!,IF(VLOOKUP(B618,M!$B$6:$I$733,8,FALSE)="სხ",VLOOKUP(B618,M!$B$6:$I$733,3,FALSE)*0.001*#REF!*#REF!,IF(VLOOKUP(B618,M!$B$6:$I$733,8,FALSE)="ხმ",VLOOKUP(B618,M!$B$6:$I$733,3,FALSE)*0.001*#REF!*#REF!))))))))),2)</f>
        <v>32.56</v>
      </c>
      <c r="K618" s="112">
        <f>E618*J618</f>
        <v>102.88960000000002</v>
      </c>
      <c r="L618" s="14">
        <f t="shared" si="193"/>
        <v>102.88960000000002</v>
      </c>
      <c r="M618" s="23" t="str">
        <f>(IF(ISNUMBER(MATCH(B618,E!$B$6:$B$197,0)),VLOOKUP(B618,E!$B$6:$E$197,4,FALSE),VLOOKUP(B618,M!$B$6:$I$733,7,FALSE)))</f>
        <v>14-52</v>
      </c>
    </row>
    <row r="619" spans="1:14" ht="39.950000000000003" customHeight="1" x14ac:dyDescent="0.25">
      <c r="A619" s="16" t="s">
        <v>673</v>
      </c>
      <c r="B619" s="111" t="s">
        <v>202</v>
      </c>
      <c r="C619" s="111" t="s">
        <v>672</v>
      </c>
      <c r="D619" s="112">
        <v>1.06</v>
      </c>
      <c r="E619" s="125">
        <f>E616*D619</f>
        <v>1.06</v>
      </c>
      <c r="F619" s="112"/>
      <c r="G619" s="112"/>
      <c r="H619" s="112"/>
      <c r="I619" s="112"/>
      <c r="J619" s="35">
        <f>ROUND(IF(ISNUMBER(MATCH(B619,E!$B$6:$B$197,0)),VLOOKUP(B619,E!$B$6:$E$197,2,FALSE),IF(#REF!="დიახ",IF(VLOOKUP(B619,M!$B$6:$I$733,8,FALSE)="ლ",VLOOKUP(B619,M!$B$6:$I$733,3,FALSE)*0.001*#REF!*#REF!,IF(VLOOKUP(B619,M!$B$6:$I$733,8,FALSE)="მბ",VLOOKUP(B619,M!$B$6:$I$733,3,FALSE)*0.001*#REF!*#REF!,IF(VLOOKUP(B619,M!$B$6:$I$733,8,FALSE)="აბ",VLOOKUP(B619,M!$B$6:$I$733,3,FALSE)*0.001*#REF!*#REF!,IF(VLOOKUP(B619,M!$B$6:$I$733,8,FALSE)="ინ",VLOOKUP(B619,M!$B$6:$I$733,3,FALSE)*0.001*#REF!*#REF!,IF(VLOOKUP(B619,M!$B$6:$I$733,8,FALSE)="ას",VLOOKUP(B619,M!$B$6:$I$733,3,FALSE)*0.001*#REF!*#REF!,IF(VLOOKUP(B619,M!$B$6:$I$733,8,FALSE)="სხ",VLOOKUP(B619,M!$B$6:$I$733,3,FALSE)*0.001*#REF!*#REF!,IF(VLOOKUP(B619,M!$B$6:$I$733,8,FALSE)="ხმ",VLOOKUP(B619,M!$B$6:$I$733,3,FALSE)*0.001*#REF!*#REF!))))))))),2)</f>
        <v>24.82</v>
      </c>
      <c r="K619" s="112">
        <f>E619*J619</f>
        <v>26.309200000000001</v>
      </c>
      <c r="L619" s="14">
        <f t="shared" si="193"/>
        <v>26.309200000000001</v>
      </c>
      <c r="M619" s="23" t="str">
        <f>(IF(ISNUMBER(MATCH(B619,E!$B$6:$B$197,0)),VLOOKUP(B619,E!$B$6:$E$197,4,FALSE),VLOOKUP(B619,M!$B$6:$I$733,7,FALSE)))</f>
        <v>14-113</v>
      </c>
    </row>
    <row r="620" spans="1:14" ht="39.950000000000003" customHeight="1" x14ac:dyDescent="0.25">
      <c r="A620" s="16" t="s">
        <v>675</v>
      </c>
      <c r="B620" s="111" t="s">
        <v>654</v>
      </c>
      <c r="C620" s="111" t="s">
        <v>393</v>
      </c>
      <c r="D620" s="112">
        <v>5.37</v>
      </c>
      <c r="E620" s="125">
        <f>E616*D620</f>
        <v>5.37</v>
      </c>
      <c r="F620" s="112"/>
      <c r="G620" s="112"/>
      <c r="H620" s="112"/>
      <c r="I620" s="112"/>
      <c r="J620" s="35">
        <f>ROUND(IF(ISNUMBER(MATCH(B620,E!$B$6:$B$197,0)),VLOOKUP(B620,E!$B$6:$E$197,2,FALSE),IF(#REF!="დიახ",IF(VLOOKUP(B620,M!$B$6:$I$733,8,FALSE)="ლ",VLOOKUP(B620,M!$B$6:$I$733,3,FALSE)*0.001*#REF!*#REF!,IF(VLOOKUP(B620,M!$B$6:$I$733,8,FALSE)="მბ",VLOOKUP(B620,M!$B$6:$I$733,3,FALSE)*0.001*#REF!*#REF!,IF(VLOOKUP(B620,M!$B$6:$I$733,8,FALSE)="აბ",VLOOKUP(B620,M!$B$6:$I$733,3,FALSE)*0.001*#REF!*#REF!,IF(VLOOKUP(B620,M!$B$6:$I$733,8,FALSE)="ინ",VLOOKUP(B620,M!$B$6:$I$733,3,FALSE)*0.001*#REF!*#REF!,IF(VLOOKUP(B620,M!$B$6:$I$733,8,FALSE)="ას",VLOOKUP(B620,M!$B$6:$I$733,3,FALSE)*0.001*#REF!*#REF!,IF(VLOOKUP(B620,M!$B$6:$I$733,8,FALSE)="სხ",VLOOKUP(B620,M!$B$6:$I$733,3,FALSE)*0.001*#REF!*#REF!,IF(VLOOKUP(B620,M!$B$6:$I$733,8,FALSE)="ხმ",VLOOKUP(B620,M!$B$6:$I$733,3,FALSE)*0.001*#REF!*#REF!))))))))),2)</f>
        <v>3.2</v>
      </c>
      <c r="K620" s="112">
        <f>E620*J620</f>
        <v>17.184000000000001</v>
      </c>
      <c r="L620" s="14">
        <f t="shared" si="193"/>
        <v>17.184000000000001</v>
      </c>
      <c r="M620" s="23" t="str">
        <f>(IF(ISNUMBER(MATCH(B620,E!$B$6:$B$197,0)),VLOOKUP(B620,E!$B$6:$E$197,4,FALSE),VLOOKUP(B620,M!$B$6:$I$733,7,FALSE)))</f>
        <v>ს.რ.ფ</v>
      </c>
    </row>
    <row r="621" spans="1:14" ht="39.950000000000003" customHeight="1" x14ac:dyDescent="0.25">
      <c r="A621" s="16" t="s">
        <v>695</v>
      </c>
      <c r="B621" s="111" t="s">
        <v>1176</v>
      </c>
      <c r="C621" s="111" t="s">
        <v>9</v>
      </c>
      <c r="D621" s="112">
        <v>1</v>
      </c>
      <c r="E621" s="125">
        <f>E616*D621</f>
        <v>1</v>
      </c>
      <c r="F621" s="31" t="e">
        <f>ROUND(VLOOKUP(B621,M!$B$6:$H$733,IF(#REF!="დაბალი",4,IF(#REF!="საშუალო",6,IF(#REF!="მაღალი",5))),FALSE),2)</f>
        <v>#REF!</v>
      </c>
      <c r="G621" s="112" t="e">
        <f t="shared" ref="G621:G626" si="194">E621*F621</f>
        <v>#REF!</v>
      </c>
      <c r="H621" s="112"/>
      <c r="I621" s="112"/>
      <c r="J621" s="35" t="e">
        <f>ROUND(IF(ISNUMBER(MATCH(B621,E!$B$6:$B$197,0)),VLOOKUP(B621,E!$B$6:$E$197,2,FALSE),IF(#REF!="დიახ",IF(VLOOKUP(B621,M!$B$6:$I$733,8,FALSE)="ლ",VLOOKUP(B621,M!$B$6:$I$733,3,FALSE)*0.001*#REF!*#REF!,IF(VLOOKUP(B621,M!$B$6:$I$733,8,FALSE)="მბ",VLOOKUP(B621,M!$B$6:$I$733,3,FALSE)*0.001*#REF!*#REF!,IF(VLOOKUP(B621,M!$B$6:$I$733,8,FALSE)="აბ",VLOOKUP(B621,M!$B$6:$I$733,3,FALSE)*0.001*#REF!*#REF!,IF(VLOOKUP(B621,M!$B$6:$I$733,8,FALSE)="ინ",VLOOKUP(B621,M!$B$6:$I$733,3,FALSE)*0.001*#REF!*#REF!,IF(VLOOKUP(B621,M!$B$6:$I$733,8,FALSE)="ას",VLOOKUP(B621,M!$B$6:$I$733,3,FALSE)*0.001*#REF!*#REF!,IF(VLOOKUP(B621,M!$B$6:$I$733,8,FALSE)="სხ",VLOOKUP(B621,M!$B$6:$I$733,3,FALSE)*0.001*#REF!*#REF!,IF(VLOOKUP(B621,M!$B$6:$I$733,8,FALSE)="ხმ",VLOOKUP(B621,M!$B$6:$I$733,3,FALSE)*0.001*#REF!*#REF!))))))))),2)</f>
        <v>#REF!</v>
      </c>
      <c r="K621" s="112" t="e">
        <f>E621*J621</f>
        <v>#REF!</v>
      </c>
      <c r="L621" s="14" t="e">
        <f t="shared" si="193"/>
        <v>#REF!</v>
      </c>
      <c r="M621" s="23" t="str">
        <f>(IF(ISNUMBER(MATCH(B621,E!$B$6:$B$197,0)),VLOOKUP(B621,E!$B$6:$E$197,4,FALSE),VLOOKUP(B621,M!$B$6:$I$733,7,FALSE)))</f>
        <v>საბაზრო</v>
      </c>
    </row>
    <row r="622" spans="1:14" ht="39.950000000000003" customHeight="1" x14ac:dyDescent="0.25">
      <c r="A622" s="16" t="s">
        <v>696</v>
      </c>
      <c r="B622" s="111" t="s">
        <v>1177</v>
      </c>
      <c r="C622" s="111" t="s">
        <v>28</v>
      </c>
      <c r="D622" s="112">
        <v>2.1</v>
      </c>
      <c r="E622" s="125">
        <f>E616*D622</f>
        <v>2.1</v>
      </c>
      <c r="F622" s="112">
        <v>3.6</v>
      </c>
      <c r="G622" s="112">
        <f t="shared" si="194"/>
        <v>7.5600000000000005</v>
      </c>
      <c r="H622" s="112"/>
      <c r="I622" s="112"/>
      <c r="J622" s="112"/>
      <c r="K622" s="112"/>
      <c r="L622" s="14">
        <f t="shared" si="193"/>
        <v>7.5600000000000005</v>
      </c>
      <c r="M622" s="23" t="s">
        <v>845</v>
      </c>
    </row>
    <row r="623" spans="1:14" ht="39.950000000000003" customHeight="1" x14ac:dyDescent="0.25">
      <c r="A623" s="16" t="s">
        <v>733</v>
      </c>
      <c r="B623" s="111" t="s">
        <v>329</v>
      </c>
      <c r="C623" s="2" t="s">
        <v>674</v>
      </c>
      <c r="D623" s="112">
        <v>0.23</v>
      </c>
      <c r="E623" s="125">
        <f>E616*D623</f>
        <v>0.23</v>
      </c>
      <c r="F623" s="31" t="e">
        <f>ROUND(VLOOKUP(B623,M!$B$6:$H$733,IF(#REF!="დაბალი",4,IF(#REF!="საშუალო",6,IF(#REF!="მაღალი",5))),FALSE),2)</f>
        <v>#REF!</v>
      </c>
      <c r="G623" s="112" t="e">
        <f t="shared" si="194"/>
        <v>#REF!</v>
      </c>
      <c r="H623" s="112"/>
      <c r="I623" s="112"/>
      <c r="J623" s="35" t="e">
        <f>ROUND(IF(ISNUMBER(MATCH(B623,E!$B$6:$B$197,0)),VLOOKUP(B623,E!$B$6:$E$197,2,FALSE),IF(#REF!="დიახ",IF(VLOOKUP(B623,M!$B$6:$I$733,8,FALSE)="ლ",VLOOKUP(B623,M!$B$6:$I$733,3,FALSE)*0.001*#REF!*#REF!,IF(VLOOKUP(B623,M!$B$6:$I$733,8,FALSE)="მბ",VLOOKUP(B623,M!$B$6:$I$733,3,FALSE)*0.001*#REF!*#REF!,IF(VLOOKUP(B623,M!$B$6:$I$733,8,FALSE)="აბ",VLOOKUP(B623,M!$B$6:$I$733,3,FALSE)*0.001*#REF!*#REF!,IF(VLOOKUP(B623,M!$B$6:$I$733,8,FALSE)="ინ",VLOOKUP(B623,M!$B$6:$I$733,3,FALSE)*0.001*#REF!*#REF!,IF(VLOOKUP(B623,M!$B$6:$I$733,8,FALSE)="ას",VLOOKUP(B623,M!$B$6:$I$733,3,FALSE)*0.001*#REF!*#REF!,IF(VLOOKUP(B623,M!$B$6:$I$733,8,FALSE)="სხ",VLOOKUP(B623,M!$B$6:$I$733,3,FALSE)*0.001*#REF!*#REF!,IF(VLOOKUP(B623,M!$B$6:$I$733,8,FALSE)="ხმ",VLOOKUP(B623,M!$B$6:$I$733,3,FALSE)*0.001*#REF!*#REF!))))))))),2)</f>
        <v>#REF!</v>
      </c>
      <c r="K623" s="112" t="e">
        <f>E623*J623</f>
        <v>#REF!</v>
      </c>
      <c r="L623" s="14" t="e">
        <f t="shared" si="193"/>
        <v>#REF!</v>
      </c>
      <c r="M623" s="23" t="str">
        <f>(IF(ISNUMBER(MATCH(B623,E!$B$6:$B$197,0)),VLOOKUP(B623,E!$B$6:$E$197,4,FALSE),VLOOKUP(B623,M!$B$6:$I$733,7,FALSE)))</f>
        <v>4.1-226</v>
      </c>
    </row>
    <row r="624" spans="1:14" ht="39.950000000000003" customHeight="1" x14ac:dyDescent="0.25">
      <c r="A624" s="16" t="s">
        <v>734</v>
      </c>
      <c r="B624" s="111" t="s">
        <v>1178</v>
      </c>
      <c r="C624" s="111" t="s">
        <v>9</v>
      </c>
      <c r="D624" s="112">
        <v>0.02</v>
      </c>
      <c r="E624" s="125">
        <f>E616*D624</f>
        <v>0.02</v>
      </c>
      <c r="F624" s="31" t="e">
        <f>ROUND(VLOOKUP(B624,M!$B$6:$H$733,IF(#REF!="დაბალი",4,IF(#REF!="საშუალო",6,IF(#REF!="მაღალი",5))),FALSE),2)</f>
        <v>#REF!</v>
      </c>
      <c r="G624" s="112" t="e">
        <f t="shared" si="194"/>
        <v>#REF!</v>
      </c>
      <c r="H624" s="112"/>
      <c r="I624" s="112"/>
      <c r="J624" s="35" t="e">
        <f>ROUND(IF(ISNUMBER(MATCH(B624,E!$B$6:$B$197,0)),VLOOKUP(B624,E!$B$6:$E$197,2,FALSE),IF(#REF!="დიახ",IF(VLOOKUP(B624,M!$B$6:$I$733,8,FALSE)="ლ",VLOOKUP(B624,M!$B$6:$I$733,3,FALSE)*0.001*#REF!*#REF!,IF(VLOOKUP(B624,M!$B$6:$I$733,8,FALSE)="მბ",VLOOKUP(B624,M!$B$6:$I$733,3,FALSE)*0.001*#REF!*#REF!,IF(VLOOKUP(B624,M!$B$6:$I$733,8,FALSE)="აბ",VLOOKUP(B624,M!$B$6:$I$733,3,FALSE)*0.001*#REF!*#REF!,IF(VLOOKUP(B624,M!$B$6:$I$733,8,FALSE)="ინ",VLOOKUP(B624,M!$B$6:$I$733,3,FALSE)*0.001*#REF!*#REF!,IF(VLOOKUP(B624,M!$B$6:$I$733,8,FALSE)="ას",VLOOKUP(B624,M!$B$6:$I$733,3,FALSE)*0.001*#REF!*#REF!,IF(VLOOKUP(B624,M!$B$6:$I$733,8,FALSE)="სხ",VLOOKUP(B624,M!$B$6:$I$733,3,FALSE)*0.001*#REF!*#REF!,IF(VLOOKUP(B624,M!$B$6:$I$733,8,FALSE)="ხმ",VLOOKUP(B624,M!$B$6:$I$733,3,FALSE)*0.001*#REF!*#REF!))))))))),2)</f>
        <v>#REF!</v>
      </c>
      <c r="K624" s="112" t="e">
        <f>E624*J624</f>
        <v>#REF!</v>
      </c>
      <c r="L624" s="14" t="e">
        <f t="shared" si="193"/>
        <v>#REF!</v>
      </c>
      <c r="M624" s="23" t="str">
        <f>(IF(ISNUMBER(MATCH(B624,E!$B$6:$B$197,0)),VLOOKUP(B624,E!$B$6:$E$197,4,FALSE),VLOOKUP(B624,M!$B$6:$I$733,7,FALSE)))</f>
        <v>საბაზრო</v>
      </c>
    </row>
    <row r="625" spans="1:14" ht="39.950000000000003" customHeight="1" x14ac:dyDescent="0.25">
      <c r="A625" s="16" t="s">
        <v>735</v>
      </c>
      <c r="B625" s="111" t="s">
        <v>131</v>
      </c>
      <c r="C625" s="111" t="s">
        <v>9</v>
      </c>
      <c r="D625" s="112">
        <v>0.02</v>
      </c>
      <c r="E625" s="125">
        <f>E616*D625</f>
        <v>0.02</v>
      </c>
      <c r="F625" s="31" t="e">
        <f>ROUND(VLOOKUP(B625,M!$B$6:$H$733,IF(#REF!="დაბალი",4,IF(#REF!="საშუალო",6,IF(#REF!="მაღალი",5))),FALSE),2)</f>
        <v>#REF!</v>
      </c>
      <c r="G625" s="112" t="e">
        <f t="shared" si="194"/>
        <v>#REF!</v>
      </c>
      <c r="H625" s="112"/>
      <c r="I625" s="112"/>
      <c r="J625" s="35" t="e">
        <f>ROUND(IF(ISNUMBER(MATCH(B625,E!$B$6:$B$197,0)),VLOOKUP(B625,E!$B$6:$E$197,2,FALSE),IF(#REF!="დიახ",IF(VLOOKUP(B625,M!$B$6:$I$733,8,FALSE)="ლ",VLOOKUP(B625,M!$B$6:$I$733,3,FALSE)*0.001*#REF!*#REF!,IF(VLOOKUP(B625,M!$B$6:$I$733,8,FALSE)="მბ",VLOOKUP(B625,M!$B$6:$I$733,3,FALSE)*0.001*#REF!*#REF!,IF(VLOOKUP(B625,M!$B$6:$I$733,8,FALSE)="აბ",VLOOKUP(B625,M!$B$6:$I$733,3,FALSE)*0.001*#REF!*#REF!,IF(VLOOKUP(B625,M!$B$6:$I$733,8,FALSE)="ინ",VLOOKUP(B625,M!$B$6:$I$733,3,FALSE)*0.001*#REF!*#REF!,IF(VLOOKUP(B625,M!$B$6:$I$733,8,FALSE)="ას",VLOOKUP(B625,M!$B$6:$I$733,3,FALSE)*0.001*#REF!*#REF!,IF(VLOOKUP(B625,M!$B$6:$I$733,8,FALSE)="სხ",VLOOKUP(B625,M!$B$6:$I$733,3,FALSE)*0.001*#REF!*#REF!,IF(VLOOKUP(B625,M!$B$6:$I$733,8,FALSE)="ხმ",VLOOKUP(B625,M!$B$6:$I$733,3,FALSE)*0.001*#REF!*#REF!))))))))),2)</f>
        <v>#REF!</v>
      </c>
      <c r="K625" s="112" t="e">
        <f>E625*J625</f>
        <v>#REF!</v>
      </c>
      <c r="L625" s="14" t="e">
        <f t="shared" si="193"/>
        <v>#REF!</v>
      </c>
      <c r="M625" s="23" t="str">
        <f>(IF(ISNUMBER(MATCH(B625,E!$B$6:$B$197,0)),VLOOKUP(B625,E!$B$6:$E$197,4,FALSE),VLOOKUP(B625,M!$B$6:$I$733,7,FALSE)))</f>
        <v>1.9-78</v>
      </c>
    </row>
    <row r="626" spans="1:14" ht="39.950000000000003" customHeight="1" x14ac:dyDescent="0.25">
      <c r="A626" s="16" t="s">
        <v>736</v>
      </c>
      <c r="B626" s="111" t="s">
        <v>677</v>
      </c>
      <c r="C626" s="111" t="s">
        <v>393</v>
      </c>
      <c r="D626" s="112">
        <v>11.6</v>
      </c>
      <c r="E626" s="125">
        <f>E616*D626</f>
        <v>11.6</v>
      </c>
      <c r="F626" s="31" t="e">
        <f>ROUND(VLOOKUP(B626,M!$B$6:$H$733,IF(#REF!="დაბალი",4,IF(#REF!="საშუალო",6,IF(#REF!="მაღალი",5))),FALSE),2)</f>
        <v>#REF!</v>
      </c>
      <c r="G626" s="112" t="e">
        <f t="shared" si="194"/>
        <v>#REF!</v>
      </c>
      <c r="H626" s="112"/>
      <c r="I626" s="112"/>
      <c r="J626" s="112"/>
      <c r="K626" s="112"/>
      <c r="L626" s="14" t="e">
        <f t="shared" si="193"/>
        <v>#REF!</v>
      </c>
      <c r="M626" s="23" t="str">
        <f>(IF(ISNUMBER(MATCH(B626,E!$B$6:$B$197,0)),VLOOKUP(B626,E!$B$6:$E$197,4,FALSE),VLOOKUP(B626,M!$B$6:$I$733,7,FALSE)))</f>
        <v>ს.რ.ფ</v>
      </c>
    </row>
    <row r="627" spans="1:14" s="45" customFormat="1" ht="39.950000000000003" customHeight="1" x14ac:dyDescent="0.25">
      <c r="A627" s="39">
        <v>1.1000000000000001</v>
      </c>
      <c r="B627" s="40" t="s">
        <v>1091</v>
      </c>
      <c r="C627" s="41" t="s">
        <v>842</v>
      </c>
      <c r="D627" s="41"/>
      <c r="E627" s="52">
        <v>100</v>
      </c>
      <c r="F627" s="41"/>
      <c r="G627" s="41"/>
      <c r="H627" s="42"/>
      <c r="I627" s="42"/>
      <c r="J627" s="41"/>
      <c r="K627" s="41"/>
      <c r="L627" s="43" t="e">
        <f>SUM(L628:L633)</f>
        <v>#REF!</v>
      </c>
      <c r="M627" s="44" t="s">
        <v>1093</v>
      </c>
      <c r="N627" s="68"/>
    </row>
    <row r="628" spans="1:14" ht="39.950000000000003" customHeight="1" x14ac:dyDescent="0.25">
      <c r="A628" s="16" t="s">
        <v>668</v>
      </c>
      <c r="B628" s="17" t="s">
        <v>669</v>
      </c>
      <c r="C628" s="2" t="s">
        <v>670</v>
      </c>
      <c r="D628" s="2">
        <v>116</v>
      </c>
      <c r="E628" s="14">
        <f>D628*E627/100</f>
        <v>116</v>
      </c>
      <c r="F628" s="13"/>
      <c r="G628" s="13"/>
      <c r="H628" s="27">
        <f>IF((ISNUMBER(--LEFT(M627,2))),VLOOKUP(--LEFT(M627,2),N!$A$5:$C$54,3,FALSE),VLOOKUP(--LEFT(M627,1),N!$A$5:$C$54,3,FALSE))</f>
        <v>6</v>
      </c>
      <c r="I628" s="14">
        <f>ROUND(E628*H628,2)</f>
        <v>696</v>
      </c>
      <c r="J628" s="2"/>
      <c r="K628" s="2"/>
      <c r="L628" s="14">
        <f t="shared" ref="L628:L633" si="195">G628+I628+K628</f>
        <v>696</v>
      </c>
      <c r="M628" s="23" t="str">
        <f>(IF(ISNUMBER(MATCH(B628,E!$B$6:$B$197,0)),VLOOKUP(B628,E!$B$6:$E$197,4,FALSE),VLOOKUP(B628,M!$B$6:$I$733,7,FALSE)))</f>
        <v>მ.ც</v>
      </c>
    </row>
    <row r="629" spans="1:14" ht="39.950000000000003" customHeight="1" x14ac:dyDescent="0.25">
      <c r="A629" s="16" t="s">
        <v>671</v>
      </c>
      <c r="B629" s="17" t="s">
        <v>654</v>
      </c>
      <c r="C629" s="2" t="s">
        <v>393</v>
      </c>
      <c r="D629" s="2">
        <v>6.13</v>
      </c>
      <c r="E629" s="14">
        <f>D629*E627/100</f>
        <v>6.13</v>
      </c>
      <c r="F629" s="13"/>
      <c r="G629" s="13"/>
      <c r="H629" s="2"/>
      <c r="I629" s="2"/>
      <c r="J629" s="35">
        <f>ROUND(IF(ISNUMBER(MATCH(B629,E!$B$6:$B$197,0)),VLOOKUP(B629,E!$B$6:$E$197,2,FALSE),IF(#REF!="დიახ",IF(VLOOKUP(B629,M!$B$6:$I$733,8,FALSE)="ლ",VLOOKUP(B629,M!$B$6:$I$733,3,FALSE)*0.001*#REF!*#REF!,IF(VLOOKUP(B629,M!$B$6:$I$733,8,FALSE)="მბ",VLOOKUP(B629,M!$B$6:$I$733,3,FALSE)*0.001*#REF!*#REF!,IF(VLOOKUP(B629,M!$B$6:$I$733,8,FALSE)="აბ",VLOOKUP(B629,M!$B$6:$I$733,3,FALSE)*0.001*#REF!*#REF!,IF(VLOOKUP(B629,M!$B$6:$I$733,8,FALSE)="ინ",VLOOKUP(B629,M!$B$6:$I$733,3,FALSE)*0.001*#REF!*#REF!,IF(VLOOKUP(B629,M!$B$6:$I$733,8,FALSE)="ას",VLOOKUP(B629,M!$B$6:$I$733,3,FALSE)*0.001*#REF!*#REF!,IF(VLOOKUP(B629,M!$B$6:$I$733,8,FALSE)="სხ",VLOOKUP(B629,M!$B$6:$I$733,3,FALSE)*0.001*#REF!*#REF!,IF(VLOOKUP(B629,M!$B$6:$I$733,8,FALSE)="ხმ",VLOOKUP(B629,M!$B$6:$I$733,3,FALSE)*0.001*#REF!*#REF!))))))))),2)</f>
        <v>3.2</v>
      </c>
      <c r="K629" s="31">
        <f>ROUND(E629*J629,2)</f>
        <v>19.62</v>
      </c>
      <c r="L629" s="14">
        <f t="shared" si="195"/>
        <v>19.62</v>
      </c>
      <c r="M629" s="23" t="str">
        <f>(IF(ISNUMBER(MATCH(B629,E!$B$6:$B$197,0)),VLOOKUP(B629,E!$B$6:$E$197,4,FALSE),VLOOKUP(B629,M!$B$6:$I$733,7,FALSE)))</f>
        <v>ს.რ.ფ</v>
      </c>
    </row>
    <row r="630" spans="1:14" ht="39.75" customHeight="1" x14ac:dyDescent="0.25">
      <c r="A630" s="16" t="s">
        <v>673</v>
      </c>
      <c r="B630" s="17" t="s">
        <v>452</v>
      </c>
      <c r="C630" s="2" t="s">
        <v>9</v>
      </c>
      <c r="D630" s="2">
        <v>0.68</v>
      </c>
      <c r="E630" s="14">
        <f>D630*E627/100</f>
        <v>0.68</v>
      </c>
      <c r="F630" s="31" t="e">
        <f>ROUND(VLOOKUP(B630,M!$B$6:$H$733,IF(#REF!="დაბალი",4,IF(#REF!="საშუალო",6,IF(#REF!="მაღალი",5))),FALSE),2)</f>
        <v>#REF!</v>
      </c>
      <c r="G630" s="14" t="e">
        <f>ROUND(E630*F630,2)</f>
        <v>#REF!</v>
      </c>
      <c r="H630" s="2"/>
      <c r="I630" s="2"/>
      <c r="J630" s="35" t="e">
        <f>ROUND(IF(ISNUMBER(MATCH(B630,E!$B$6:$B$197,0)),VLOOKUP(B630,E!$B$6:$E$197,2,FALSE),IF(#REF!="დიახ",IF(VLOOKUP(B630,M!$B$6:$I$733,8,FALSE)="ლ",VLOOKUP(B630,M!$B$6:$I$733,3,FALSE)*0.001*#REF!*#REF!,IF(VLOOKUP(B630,M!$B$6:$I$733,8,FALSE)="მბ",VLOOKUP(B630,M!$B$6:$I$733,3,FALSE)*0.001*#REF!*#REF!,IF(VLOOKUP(B630,M!$B$6:$I$733,8,FALSE)="აბ",VLOOKUP(B630,M!$B$6:$I$733,3,FALSE)*0.001*#REF!*#REF!,IF(VLOOKUP(B630,M!$B$6:$I$733,8,FALSE)="ინ",VLOOKUP(B630,M!$B$6:$I$733,3,FALSE)*0.001*#REF!*#REF!,IF(VLOOKUP(B630,M!$B$6:$I$733,8,FALSE)="ას",VLOOKUP(B630,M!$B$6:$I$733,3,FALSE)*0.001*#REF!*#REF!,IF(VLOOKUP(B630,M!$B$6:$I$733,8,FALSE)="სხ",VLOOKUP(B630,M!$B$6:$I$733,3,FALSE)*0.001*#REF!*#REF!,IF(VLOOKUP(B630,M!$B$6:$I$733,8,FALSE)="ხმ",VLOOKUP(B630,M!$B$6:$I$733,3,FALSE)*0.001*#REF!*#REF!))))))))),2)</f>
        <v>#REF!</v>
      </c>
      <c r="K630" s="31" t="e">
        <f t="shared" ref="K630:K631" si="196">ROUND(E630*J630,2)</f>
        <v>#REF!</v>
      </c>
      <c r="L630" s="14" t="e">
        <f t="shared" si="195"/>
        <v>#REF!</v>
      </c>
      <c r="M630" s="23" t="str">
        <f>(IF(ISNUMBER(MATCH(B630,E!$B$6:$B$197,0)),VLOOKUP(B630,E!$B$6:$E$197,4,FALSE),VLOOKUP(B630,M!$B$6:$I$733,7,FALSE)))</f>
        <v>4.1-537</v>
      </c>
    </row>
    <row r="631" spans="1:14" ht="39.950000000000003" customHeight="1" x14ac:dyDescent="0.25">
      <c r="A631" s="16" t="s">
        <v>675</v>
      </c>
      <c r="B631" s="17" t="s">
        <v>400</v>
      </c>
      <c r="C631" s="2" t="s">
        <v>674</v>
      </c>
      <c r="D631" s="2">
        <v>0.75</v>
      </c>
      <c r="E631" s="14">
        <f>D631*E627/100</f>
        <v>0.75</v>
      </c>
      <c r="F631" s="31" t="e">
        <f>ROUND(VLOOKUP(B631,M!$B$6:$H$733,IF(#REF!="დაბალი",4,IF(#REF!="საშუალო",6,IF(#REF!="მაღალი",5))),FALSE),2)</f>
        <v>#REF!</v>
      </c>
      <c r="G631" s="14" t="e">
        <f>ROUND(E631*F631,2)</f>
        <v>#REF!</v>
      </c>
      <c r="H631" s="2"/>
      <c r="I631" s="2"/>
      <c r="J631" s="35" t="e">
        <f>ROUND(IF(ISNUMBER(MATCH(B631,E!$B$6:$B$197,0)),VLOOKUP(B631,E!$B$6:$E$197,2,FALSE),IF(#REF!="დიახ",IF(VLOOKUP(B631,M!$B$6:$I$733,8,FALSE)="ლ",VLOOKUP(B631,M!$B$6:$I$733,3,FALSE)*0.001*#REF!*#REF!,IF(VLOOKUP(B631,M!$B$6:$I$733,8,FALSE)="მბ",VLOOKUP(B631,M!$B$6:$I$733,3,FALSE)*0.001*#REF!*#REF!,IF(VLOOKUP(B631,M!$B$6:$I$733,8,FALSE)="აბ",VLOOKUP(B631,M!$B$6:$I$733,3,FALSE)*0.001*#REF!*#REF!,IF(VLOOKUP(B631,M!$B$6:$I$733,8,FALSE)="ინ",VLOOKUP(B631,M!$B$6:$I$733,3,FALSE)*0.001*#REF!*#REF!,IF(VLOOKUP(B631,M!$B$6:$I$733,8,FALSE)="ას",VLOOKUP(B631,M!$B$6:$I$733,3,FALSE)*0.001*#REF!*#REF!,IF(VLOOKUP(B631,M!$B$6:$I$733,8,FALSE)="სხ",VLOOKUP(B631,M!$B$6:$I$733,3,FALSE)*0.001*#REF!*#REF!,IF(VLOOKUP(B631,M!$B$6:$I$733,8,FALSE)="ხმ",VLOOKUP(B631,M!$B$6:$I$733,3,FALSE)*0.001*#REF!*#REF!))))))))),2)</f>
        <v>#REF!</v>
      </c>
      <c r="K631" s="31" t="e">
        <f t="shared" si="196"/>
        <v>#REF!</v>
      </c>
      <c r="L631" s="14" t="e">
        <f t="shared" si="195"/>
        <v>#REF!</v>
      </c>
      <c r="M631" s="23" t="str">
        <f>(IF(ISNUMBER(MATCH(B631,E!$B$6:$B$197,0)),VLOOKUP(B631,E!$B$6:$E$197,4,FALSE),VLOOKUP(B631,M!$B$6:$I$733,7,FALSE)))</f>
        <v>4.1-371</v>
      </c>
    </row>
    <row r="632" spans="1:14" ht="39.950000000000003" customHeight="1" x14ac:dyDescent="0.25">
      <c r="A632" s="16" t="s">
        <v>695</v>
      </c>
      <c r="B632" s="17" t="s">
        <v>1094</v>
      </c>
      <c r="C632" s="2" t="s">
        <v>814</v>
      </c>
      <c r="D632" s="2">
        <v>234</v>
      </c>
      <c r="E632" s="14">
        <f>D632*E627/100</f>
        <v>234</v>
      </c>
      <c r="F632" s="14">
        <v>2.56</v>
      </c>
      <c r="G632" s="14">
        <f>ROUND(E632*F632,2)</f>
        <v>599.04</v>
      </c>
      <c r="H632" s="2"/>
      <c r="I632" s="2"/>
      <c r="J632" s="35"/>
      <c r="K632" s="31"/>
      <c r="L632" s="14">
        <f t="shared" si="195"/>
        <v>599.04</v>
      </c>
      <c r="M632" s="23" t="s">
        <v>845</v>
      </c>
    </row>
    <row r="633" spans="1:14" ht="39.950000000000003" customHeight="1" x14ac:dyDescent="0.25">
      <c r="A633" s="16" t="s">
        <v>696</v>
      </c>
      <c r="B633" s="17" t="s">
        <v>677</v>
      </c>
      <c r="C633" s="2" t="s">
        <v>393</v>
      </c>
      <c r="D633" s="2">
        <v>58.8</v>
      </c>
      <c r="E633" s="14">
        <f>D633*E627/100</f>
        <v>58.8</v>
      </c>
      <c r="F633" s="13">
        <v>3.2</v>
      </c>
      <c r="G633" s="14">
        <f>ROUND(E633*F633,2)</f>
        <v>188.16</v>
      </c>
      <c r="H633" s="2"/>
      <c r="I633" s="2"/>
      <c r="J633" s="35"/>
      <c r="K633" s="31"/>
      <c r="L633" s="14">
        <f t="shared" si="195"/>
        <v>188.16</v>
      </c>
      <c r="M633" s="23" t="str">
        <f>(IF(ISNUMBER(MATCH(B633,E!$B$6:$B$197,0)),VLOOKUP(B633,E!$B$6:$E$197,4,FALSE),VLOOKUP(B633,M!$B$6:$I$733,7,FALSE)))</f>
        <v>ს.რ.ფ</v>
      </c>
    </row>
    <row r="634" spans="1:14" ht="39.950000000000003" customHeight="1" x14ac:dyDescent="0.25">
      <c r="A634" s="115">
        <v>1.44</v>
      </c>
      <c r="B634" s="110" t="s">
        <v>1134</v>
      </c>
      <c r="C634" s="2" t="s">
        <v>1092</v>
      </c>
      <c r="D634" s="2"/>
      <c r="E634" s="2">
        <v>1</v>
      </c>
      <c r="F634" s="2"/>
      <c r="G634" s="2"/>
      <c r="H634" s="13"/>
      <c r="I634" s="13"/>
      <c r="J634" s="2"/>
      <c r="K634" s="2"/>
      <c r="L634" s="14">
        <f>SUM(L635:L640)</f>
        <v>20385.46</v>
      </c>
      <c r="M634" s="223" t="s">
        <v>1135</v>
      </c>
      <c r="N634" s="66" t="s">
        <v>1111</v>
      </c>
    </row>
    <row r="635" spans="1:14" ht="39.950000000000003" customHeight="1" x14ac:dyDescent="0.25">
      <c r="A635" s="16" t="s">
        <v>1136</v>
      </c>
      <c r="B635" s="17" t="s">
        <v>669</v>
      </c>
      <c r="C635" s="2" t="s">
        <v>670</v>
      </c>
      <c r="D635" s="2">
        <v>122</v>
      </c>
      <c r="E635" s="14">
        <f>D635*E634</f>
        <v>122</v>
      </c>
      <c r="F635" s="13"/>
      <c r="G635" s="13"/>
      <c r="H635" s="13">
        <v>6</v>
      </c>
      <c r="I635" s="14">
        <f>ROUND(E635*H635,2)</f>
        <v>732</v>
      </c>
      <c r="J635" s="2"/>
      <c r="K635" s="2"/>
      <c r="L635" s="14">
        <f>G635+I635+K635</f>
        <v>732</v>
      </c>
      <c r="M635" s="224"/>
    </row>
    <row r="636" spans="1:14" ht="39.950000000000003" customHeight="1" x14ac:dyDescent="0.25">
      <c r="A636" s="16" t="s">
        <v>1137</v>
      </c>
      <c r="B636" s="17" t="s">
        <v>654</v>
      </c>
      <c r="C636" s="2" t="s">
        <v>393</v>
      </c>
      <c r="D636" s="2">
        <v>24.6</v>
      </c>
      <c r="E636" s="14">
        <f>D636*E634</f>
        <v>24.6</v>
      </c>
      <c r="F636" s="13"/>
      <c r="G636" s="13"/>
      <c r="H636" s="2"/>
      <c r="I636" s="2"/>
      <c r="J636" s="13">
        <v>3.2</v>
      </c>
      <c r="K636" s="14">
        <f>ROUND(E636*J636,2)</f>
        <v>78.72</v>
      </c>
      <c r="L636" s="14">
        <f>G636+I636+K636</f>
        <v>78.72</v>
      </c>
      <c r="M636" s="224"/>
    </row>
    <row r="637" spans="1:14" ht="39.950000000000003" customHeight="1" x14ac:dyDescent="0.25">
      <c r="A637" s="16" t="s">
        <v>1138</v>
      </c>
      <c r="B637" s="17" t="s">
        <v>452</v>
      </c>
      <c r="C637" s="2" t="s">
        <v>9</v>
      </c>
      <c r="D637" s="2">
        <v>0.85</v>
      </c>
      <c r="E637" s="14">
        <f>D637*E634</f>
        <v>0.85</v>
      </c>
      <c r="F637" s="13">
        <v>995</v>
      </c>
      <c r="G637" s="14">
        <f>ROUND(E637*F637,2)</f>
        <v>845.75</v>
      </c>
      <c r="H637" s="2"/>
      <c r="I637" s="2"/>
      <c r="J637" s="2">
        <v>7.82</v>
      </c>
      <c r="K637" s="14">
        <f>ROUND(E637*J637,2)</f>
        <v>6.65</v>
      </c>
      <c r="L637" s="14">
        <f>G637+I637+K637</f>
        <v>852.4</v>
      </c>
      <c r="M637" s="224"/>
    </row>
    <row r="638" spans="1:14" ht="39.950000000000003" customHeight="1" x14ac:dyDescent="0.25">
      <c r="A638" s="16" t="s">
        <v>1139</v>
      </c>
      <c r="B638" s="17" t="s">
        <v>1140</v>
      </c>
      <c r="C638" s="2" t="s">
        <v>9</v>
      </c>
      <c r="D638" s="2">
        <v>0.05</v>
      </c>
      <c r="E638" s="14">
        <f>D638*E634</f>
        <v>0.05</v>
      </c>
      <c r="F638" s="13">
        <v>1250</v>
      </c>
      <c r="G638" s="14">
        <f>ROUND(E638*F638,2)</f>
        <v>62.5</v>
      </c>
      <c r="H638" s="2"/>
      <c r="I638" s="2"/>
      <c r="J638" s="2">
        <v>7.82</v>
      </c>
      <c r="K638" s="14">
        <f>ROUND(E638*J638,2)</f>
        <v>0.39</v>
      </c>
      <c r="L638" s="14">
        <f>G638+I638+K638</f>
        <v>62.89</v>
      </c>
      <c r="M638" s="224"/>
    </row>
    <row r="639" spans="1:14" ht="39.950000000000003" customHeight="1" x14ac:dyDescent="0.25">
      <c r="A639" s="16" t="s">
        <v>1141</v>
      </c>
      <c r="B639" s="17" t="s">
        <v>1142</v>
      </c>
      <c r="C639" s="2" t="s">
        <v>814</v>
      </c>
      <c r="D639" s="2">
        <v>275</v>
      </c>
      <c r="E639" s="14">
        <f>D639*E634</f>
        <v>275</v>
      </c>
      <c r="F639" s="14">
        <v>67.55</v>
      </c>
      <c r="G639" s="14">
        <f>ROUND(E639*F639,2)</f>
        <v>18576.25</v>
      </c>
      <c r="H639" s="2"/>
      <c r="I639" s="2"/>
      <c r="J639" s="2"/>
      <c r="K639" s="2"/>
      <c r="L639" s="14">
        <f>G639+I639+K639</f>
        <v>18576.25</v>
      </c>
      <c r="M639" s="224"/>
    </row>
    <row r="640" spans="1:14" ht="39.950000000000003" customHeight="1" x14ac:dyDescent="0.25">
      <c r="A640" s="16" t="s">
        <v>1143</v>
      </c>
      <c r="B640" s="17" t="s">
        <v>1085</v>
      </c>
      <c r="C640" s="2" t="s">
        <v>393</v>
      </c>
      <c r="D640" s="2">
        <v>26</v>
      </c>
      <c r="E640" s="14">
        <f>D640*E634</f>
        <v>26</v>
      </c>
      <c r="F640" s="13">
        <v>3.2</v>
      </c>
      <c r="G640" s="14">
        <f>ROUND(E640*F640,2)</f>
        <v>83.2</v>
      </c>
      <c r="H640" s="2"/>
      <c r="I640" s="2"/>
      <c r="J640" s="2"/>
      <c r="K640" s="2"/>
      <c r="L640" s="14">
        <f t="shared" ref="L640" si="197">G640+I640+K640</f>
        <v>83.2</v>
      </c>
      <c r="M640" s="225"/>
    </row>
    <row r="641" spans="1:13" s="45" customFormat="1" ht="39.950000000000003" customHeight="1" x14ac:dyDescent="0.25">
      <c r="A641" s="39">
        <v>1.1000000000000001</v>
      </c>
      <c r="B641" s="40" t="s">
        <v>848</v>
      </c>
      <c r="C641" s="41" t="s">
        <v>842</v>
      </c>
      <c r="D641" s="41"/>
      <c r="E641" s="52">
        <v>100</v>
      </c>
      <c r="F641" s="41"/>
      <c r="G641" s="41"/>
      <c r="H641" s="42"/>
      <c r="I641" s="42"/>
      <c r="J641" s="46"/>
      <c r="K641" s="46"/>
      <c r="L641" s="43" t="e">
        <f>SUM(L642:L646)</f>
        <v>#REF!</v>
      </c>
      <c r="M641" s="44" t="s">
        <v>849</v>
      </c>
    </row>
    <row r="642" spans="1:13" ht="39.950000000000003" customHeight="1" x14ac:dyDescent="0.25">
      <c r="A642" s="16" t="s">
        <v>668</v>
      </c>
      <c r="B642" s="17" t="s">
        <v>669</v>
      </c>
      <c r="C642" s="2" t="s">
        <v>670</v>
      </c>
      <c r="D642" s="2">
        <v>56.4</v>
      </c>
      <c r="E642" s="14">
        <f>D642*E641/100</f>
        <v>56.4</v>
      </c>
      <c r="F642" s="13"/>
      <c r="G642" s="13"/>
      <c r="H642" s="27">
        <f>IF((ISNUMBER(--LEFT(M641,2))),VLOOKUP(--LEFT(M641,2),N!$A$5:$C$54,3,FALSE),VLOOKUP(--LEFT(M641,1),N!$A$5:$C$54,3,FALSE))</f>
        <v>6</v>
      </c>
      <c r="I642" s="14">
        <f>ROUND(E642*H642,2)</f>
        <v>338.4</v>
      </c>
      <c r="J642" s="31"/>
      <c r="K642" s="31"/>
      <c r="L642" s="14">
        <f>G642+I642+K642</f>
        <v>338.4</v>
      </c>
      <c r="M642" s="23" t="str">
        <f>(IF(ISNUMBER(MATCH(B642,E!$B$6:$B$197,0)),VLOOKUP(B642,E!$B$6:$E$197,4,FALSE),VLOOKUP(B642,M!$B$6:$I$733,7,FALSE)))</f>
        <v>მ.ც</v>
      </c>
    </row>
    <row r="643" spans="1:13" ht="39.950000000000003" customHeight="1" x14ac:dyDescent="0.25">
      <c r="A643" s="16" t="s">
        <v>671</v>
      </c>
      <c r="B643" s="17" t="s">
        <v>654</v>
      </c>
      <c r="C643" s="2" t="s">
        <v>393</v>
      </c>
      <c r="D643" s="2">
        <v>4.09</v>
      </c>
      <c r="E643" s="14">
        <f>D643*E641/100</f>
        <v>4.09</v>
      </c>
      <c r="F643" s="13"/>
      <c r="G643" s="13"/>
      <c r="H643" s="2"/>
      <c r="I643" s="2"/>
      <c r="J643" s="35">
        <f>ROUND(IF(ISNUMBER(MATCH(B643,E!$B$6:$B$197,0)),VLOOKUP(B643,E!$B$6:$E$197,2,FALSE),IF(#REF!="დიახ",IF(VLOOKUP(B643,M!$B$6:$I$733,8,FALSE)="ლ",VLOOKUP(B643,M!$B$6:$I$733,3,FALSE)*0.001*#REF!*#REF!,IF(VLOOKUP(B643,M!$B$6:$I$733,8,FALSE)="მბ",VLOOKUP(B643,M!$B$6:$I$733,3,FALSE)*0.001*#REF!*#REF!,IF(VLOOKUP(B643,M!$B$6:$I$733,8,FALSE)="აბ",VLOOKUP(B643,M!$B$6:$I$733,3,FALSE)*0.001*#REF!*#REF!,IF(VLOOKUP(B643,M!$B$6:$I$733,8,FALSE)="ინ",VLOOKUP(B643,M!$B$6:$I$733,3,FALSE)*0.001*#REF!*#REF!,IF(VLOOKUP(B643,M!$B$6:$I$733,8,FALSE)="ას",VLOOKUP(B643,M!$B$6:$I$733,3,FALSE)*0.001*#REF!*#REF!,IF(VLOOKUP(B643,M!$B$6:$I$733,8,FALSE)="სხ",VLOOKUP(B643,M!$B$6:$I$733,3,FALSE)*0.001*#REF!*#REF!,IF(VLOOKUP(B643,M!$B$6:$I$733,8,FALSE)="ხმ",VLOOKUP(B643,M!$B$6:$I$733,3,FALSE)*0.001*#REF!*#REF!))))))))),2)</f>
        <v>3.2</v>
      </c>
      <c r="K643" s="31">
        <f>ROUND(E643*J643,2)</f>
        <v>13.09</v>
      </c>
      <c r="L643" s="14">
        <f>G643+I643+K643</f>
        <v>13.09</v>
      </c>
      <c r="M643" s="23" t="str">
        <f>(IF(ISNUMBER(MATCH(B643,E!$B$6:$B$197,0)),VLOOKUP(B643,E!$B$6:$E$197,4,FALSE),VLOOKUP(B643,M!$B$6:$I$733,7,FALSE)))</f>
        <v>ს.რ.ფ</v>
      </c>
    </row>
    <row r="644" spans="1:13" ht="39.950000000000003" customHeight="1" x14ac:dyDescent="0.25">
      <c r="A644" s="16" t="s">
        <v>673</v>
      </c>
      <c r="B644" s="17" t="s">
        <v>452</v>
      </c>
      <c r="C644" s="2" t="s">
        <v>9</v>
      </c>
      <c r="D644" s="2">
        <v>0.45</v>
      </c>
      <c r="E644" s="14">
        <f>D644*E641/100</f>
        <v>0.45</v>
      </c>
      <c r="F644" s="31" t="e">
        <f>ROUND(VLOOKUP(B644,M!$B$6:$H$733,IF(#REF!="დაბალი",4,IF(#REF!="საშუალო",6,IF(#REF!="მაღალი",5))),FALSE),2)</f>
        <v>#REF!</v>
      </c>
      <c r="G644" s="14" t="e">
        <f>ROUND(E644*F644,2)</f>
        <v>#REF!</v>
      </c>
      <c r="H644" s="2"/>
      <c r="I644" s="2"/>
      <c r="J644" s="35" t="e">
        <f>ROUND(IF(ISNUMBER(MATCH(B644,E!$B$6:$B$197,0)),VLOOKUP(B644,E!$B$6:$E$197,2,FALSE),IF(#REF!="დიახ",IF(VLOOKUP(B644,M!$B$6:$I$733,8,FALSE)="ლ",VLOOKUP(B644,M!$B$6:$I$733,3,FALSE)*0.001*#REF!*#REF!,IF(VLOOKUP(B644,M!$B$6:$I$733,8,FALSE)="მბ",VLOOKUP(B644,M!$B$6:$I$733,3,FALSE)*0.001*#REF!*#REF!,IF(VLOOKUP(B644,M!$B$6:$I$733,8,FALSE)="აბ",VLOOKUP(B644,M!$B$6:$I$733,3,FALSE)*0.001*#REF!*#REF!,IF(VLOOKUP(B644,M!$B$6:$I$733,8,FALSE)="ინ",VLOOKUP(B644,M!$B$6:$I$733,3,FALSE)*0.001*#REF!*#REF!,IF(VLOOKUP(B644,M!$B$6:$I$733,8,FALSE)="ას",VLOOKUP(B644,M!$B$6:$I$733,3,FALSE)*0.001*#REF!*#REF!,IF(VLOOKUP(B644,M!$B$6:$I$733,8,FALSE)="სხ",VLOOKUP(B644,M!$B$6:$I$733,3,FALSE)*0.001*#REF!*#REF!,IF(VLOOKUP(B644,M!$B$6:$I$733,8,FALSE)="ხმ",VLOOKUP(B644,M!$B$6:$I$733,3,FALSE)*0.001*#REF!*#REF!))))))))),2)</f>
        <v>#REF!</v>
      </c>
      <c r="K644" s="31" t="e">
        <f>ROUND(E644*J644,2)</f>
        <v>#REF!</v>
      </c>
      <c r="L644" s="14" t="e">
        <f>G644+I644+K644</f>
        <v>#REF!</v>
      </c>
      <c r="M644" s="23" t="str">
        <f>(IF(ISNUMBER(MATCH(B644,E!$B$6:$B$197,0)),VLOOKUP(B644,E!$B$6:$E$197,4,FALSE),VLOOKUP(B644,M!$B$6:$I$733,7,FALSE)))</f>
        <v>4.1-537</v>
      </c>
    </row>
    <row r="645" spans="1:13" ht="39.950000000000003" customHeight="1" x14ac:dyDescent="0.25">
      <c r="A645" s="16" t="s">
        <v>675</v>
      </c>
      <c r="B645" s="17" t="s">
        <v>400</v>
      </c>
      <c r="C645" s="2" t="s">
        <v>674</v>
      </c>
      <c r="D645" s="2">
        <v>0.75</v>
      </c>
      <c r="E645" s="14">
        <f>D645*E641/100</f>
        <v>0.75</v>
      </c>
      <c r="F645" s="31" t="e">
        <f>ROUND(VLOOKUP(B645,M!$B$6:$H$733,IF(#REF!="დაბალი",4,IF(#REF!="საშუალო",6,IF(#REF!="მაღალი",5))),FALSE),2)</f>
        <v>#REF!</v>
      </c>
      <c r="G645" s="14" t="e">
        <f>ROUND(E645*F645,2)</f>
        <v>#REF!</v>
      </c>
      <c r="H645" s="2"/>
      <c r="I645" s="2"/>
      <c r="J645" s="35" t="e">
        <f>ROUND(IF(ISNUMBER(MATCH(B645,E!$B$6:$B$197,0)),VLOOKUP(B645,E!$B$6:$E$197,2,FALSE),IF(#REF!="დიახ",IF(VLOOKUP(B645,M!$B$6:$I$733,8,FALSE)="ლ",VLOOKUP(B645,M!$B$6:$I$733,3,FALSE)*0.001*#REF!*#REF!,IF(VLOOKUP(B645,M!$B$6:$I$733,8,FALSE)="მბ",VLOOKUP(B645,M!$B$6:$I$733,3,FALSE)*0.001*#REF!*#REF!,IF(VLOOKUP(B645,M!$B$6:$I$733,8,FALSE)="აბ",VLOOKUP(B645,M!$B$6:$I$733,3,FALSE)*0.001*#REF!*#REF!,IF(VLOOKUP(B645,M!$B$6:$I$733,8,FALSE)="ინ",VLOOKUP(B645,M!$B$6:$I$733,3,FALSE)*0.001*#REF!*#REF!,IF(VLOOKUP(B645,M!$B$6:$I$733,8,FALSE)="ას",VLOOKUP(B645,M!$B$6:$I$733,3,FALSE)*0.001*#REF!*#REF!,IF(VLOOKUP(B645,M!$B$6:$I$733,8,FALSE)="სხ",VLOOKUP(B645,M!$B$6:$I$733,3,FALSE)*0.001*#REF!*#REF!,IF(VLOOKUP(B645,M!$B$6:$I$733,8,FALSE)="ხმ",VLOOKUP(B645,M!$B$6:$I$733,3,FALSE)*0.001*#REF!*#REF!))))))))),2)</f>
        <v>#REF!</v>
      </c>
      <c r="K645" s="31" t="e">
        <f>ROUND(E645*J645,2)</f>
        <v>#REF!</v>
      </c>
      <c r="L645" s="14" t="e">
        <f>G645+I645+K645</f>
        <v>#REF!</v>
      </c>
      <c r="M645" s="23" t="str">
        <f>(IF(ISNUMBER(MATCH(B645,E!$B$6:$B$197,0)),VLOOKUP(B645,E!$B$6:$E$197,4,FALSE),VLOOKUP(B645,M!$B$6:$I$733,7,FALSE)))</f>
        <v>4.1-371</v>
      </c>
    </row>
    <row r="646" spans="1:13" ht="39.950000000000003" customHeight="1" x14ac:dyDescent="0.25">
      <c r="A646" s="16" t="s">
        <v>695</v>
      </c>
      <c r="B646" s="17" t="s">
        <v>677</v>
      </c>
      <c r="C646" s="2" t="s">
        <v>393</v>
      </c>
      <c r="D646" s="2">
        <v>26.5</v>
      </c>
      <c r="E646" s="14">
        <f>D646*E641/100</f>
        <v>26.5</v>
      </c>
      <c r="F646" s="31" t="e">
        <f>ROUND(VLOOKUP(B646,M!$B$6:$H$733,IF(#REF!="დაბალი",4,IF(#REF!="საშუალო",6,IF(#REF!="მაღალი",5))),FALSE),2)</f>
        <v>#REF!</v>
      </c>
      <c r="G646" s="14" t="e">
        <f>ROUND(E646*F646,2)</f>
        <v>#REF!</v>
      </c>
      <c r="H646" s="2"/>
      <c r="I646" s="2"/>
      <c r="J646" s="31"/>
      <c r="K646" s="31"/>
      <c r="L646" s="14" t="e">
        <f>G646+I646+K646</f>
        <v>#REF!</v>
      </c>
      <c r="M646" s="23" t="str">
        <f>(IF(ISNUMBER(MATCH(B646,E!$B$6:$B$197,0)),VLOOKUP(B646,E!$B$6:$E$197,4,FALSE),VLOOKUP(B646,M!$B$6:$I$733,7,FALSE)))</f>
        <v>ს.რ.ფ</v>
      </c>
    </row>
    <row r="647" spans="1:13" s="45" customFormat="1" ht="39.950000000000003" customHeight="1" x14ac:dyDescent="0.25">
      <c r="A647" s="39">
        <v>1.1000000000000001</v>
      </c>
      <c r="B647" s="130" t="s">
        <v>1127</v>
      </c>
      <c r="C647" s="122" t="s">
        <v>1146</v>
      </c>
      <c r="D647" s="131"/>
      <c r="E647" s="52">
        <v>100</v>
      </c>
      <c r="F647" s="132"/>
      <c r="G647" s="123"/>
      <c r="H647" s="132"/>
      <c r="I647" s="123"/>
      <c r="J647" s="132"/>
      <c r="K647" s="93"/>
      <c r="L647" s="43" t="e">
        <f>SUM(L648:L655)</f>
        <v>#REF!</v>
      </c>
      <c r="M647" s="44" t="s">
        <v>1145</v>
      </c>
    </row>
    <row r="648" spans="1:13" ht="39.950000000000003" customHeight="1" x14ac:dyDescent="0.25">
      <c r="A648" s="16" t="s">
        <v>668</v>
      </c>
      <c r="B648" s="17" t="s">
        <v>669</v>
      </c>
      <c r="C648" s="2" t="s">
        <v>670</v>
      </c>
      <c r="D648" s="117">
        <v>750</v>
      </c>
      <c r="E648" s="118">
        <f>E647*D648/100</f>
        <v>750</v>
      </c>
      <c r="F648" s="129"/>
      <c r="G648" s="117"/>
      <c r="H648" s="117">
        <v>6</v>
      </c>
      <c r="I648" s="117">
        <f t="shared" ref="I648" si="198">E648*H648</f>
        <v>4500</v>
      </c>
      <c r="J648" s="129"/>
      <c r="K648" s="89"/>
      <c r="L648" s="14">
        <f t="shared" ref="L648:L651" si="199">G648+I648+K648</f>
        <v>4500</v>
      </c>
      <c r="M648" s="23" t="str">
        <f>(IF(ISNUMBER(MATCH(B648,E!$B$6:$B$197,0)),VLOOKUP(B648,E!$B$6:$E$197,4,FALSE),VLOOKUP(B648,M!$B$6:$I$733,7,FALSE)))</f>
        <v>მ.ც</v>
      </c>
    </row>
    <row r="649" spans="1:13" ht="39.950000000000003" customHeight="1" x14ac:dyDescent="0.25">
      <c r="A649" s="16" t="s">
        <v>671</v>
      </c>
      <c r="B649" s="2" t="s">
        <v>169</v>
      </c>
      <c r="C649" s="119" t="s">
        <v>672</v>
      </c>
      <c r="D649" s="117">
        <v>15.7</v>
      </c>
      <c r="E649" s="118">
        <f>E647*D649/100</f>
        <v>15.7</v>
      </c>
      <c r="F649" s="129"/>
      <c r="G649" s="117"/>
      <c r="H649" s="129"/>
      <c r="I649" s="117"/>
      <c r="J649" s="35">
        <f>ROUND(IF(ISNUMBER(MATCH(B649,E!$B$6:$B$197,0)),VLOOKUP(B649,E!$B$6:$E$197,2,FALSE),IF(#REF!="დიახ",IF(VLOOKUP(B649,M!$B$6:$I$733,8,FALSE)="ლ",VLOOKUP(B649,M!$B$6:$I$733,3,FALSE)*0.001*#REF!*#REF!,IF(VLOOKUP(B649,M!$B$6:$I$733,8,FALSE)="მბ",VLOOKUP(B649,M!$B$6:$I$733,3,FALSE)*0.001*#REF!*#REF!,IF(VLOOKUP(B649,M!$B$6:$I$733,8,FALSE)="აბ",VLOOKUP(B649,M!$B$6:$I$733,3,FALSE)*0.001*#REF!*#REF!,IF(VLOOKUP(B649,M!$B$6:$I$733,8,FALSE)="ინ",VLOOKUP(B649,M!$B$6:$I$733,3,FALSE)*0.001*#REF!*#REF!,IF(VLOOKUP(B649,M!$B$6:$I$733,8,FALSE)="ას",VLOOKUP(B649,M!$B$6:$I$733,3,FALSE)*0.001*#REF!*#REF!,IF(VLOOKUP(B649,M!$B$6:$I$733,8,FALSE)="სხ",VLOOKUP(B649,M!$B$6:$I$733,3,FALSE)*0.001*#REF!*#REF!,IF(VLOOKUP(B649,M!$B$6:$I$733,8,FALSE)="ხმ",VLOOKUP(B649,M!$B$6:$I$733,3,FALSE)*0.001*#REF!*#REF!))))))))),2)</f>
        <v>15.06</v>
      </c>
      <c r="K649" s="89">
        <f t="shared" ref="K649:K651" si="200">E649*J649</f>
        <v>236.44200000000001</v>
      </c>
      <c r="L649" s="14">
        <f t="shared" si="199"/>
        <v>236.44200000000001</v>
      </c>
      <c r="M649" s="23" t="str">
        <f>(IF(ISNUMBER(MATCH(B649,E!$B$6:$B$197,0)),VLOOKUP(B649,E!$B$6:$E$197,4,FALSE),VLOOKUP(B649,M!$B$6:$I$733,7,FALSE)))</f>
        <v>14-43</v>
      </c>
    </row>
    <row r="650" spans="1:13" ht="39.950000000000003" customHeight="1" x14ac:dyDescent="0.25">
      <c r="A650" s="16" t="s">
        <v>673</v>
      </c>
      <c r="B650" s="119" t="s">
        <v>654</v>
      </c>
      <c r="C650" s="116" t="s">
        <v>393</v>
      </c>
      <c r="D650" s="117">
        <v>221</v>
      </c>
      <c r="E650" s="118">
        <f>E647*D650/100</f>
        <v>221</v>
      </c>
      <c r="F650" s="129"/>
      <c r="G650" s="117"/>
      <c r="H650" s="129"/>
      <c r="I650" s="117"/>
      <c r="J650" s="35">
        <f>ROUND(IF(ISNUMBER(MATCH(B650,E!$B$6:$B$197,0)),VLOOKUP(B650,E!$B$6:$E$197,2,FALSE),IF(#REF!="დიახ",IF(VLOOKUP(B650,M!$B$6:$I$733,8,FALSE)="ლ",VLOOKUP(B650,M!$B$6:$I$733,3,FALSE)*0.001*#REF!*#REF!,IF(VLOOKUP(B650,M!$B$6:$I$733,8,FALSE)="მბ",VLOOKUP(B650,M!$B$6:$I$733,3,FALSE)*0.001*#REF!*#REF!,IF(VLOOKUP(B650,M!$B$6:$I$733,8,FALSE)="აბ",VLOOKUP(B650,M!$B$6:$I$733,3,FALSE)*0.001*#REF!*#REF!,IF(VLOOKUP(B650,M!$B$6:$I$733,8,FALSE)="ინ",VLOOKUP(B650,M!$B$6:$I$733,3,FALSE)*0.001*#REF!*#REF!,IF(VLOOKUP(B650,M!$B$6:$I$733,8,FALSE)="ას",VLOOKUP(B650,M!$B$6:$I$733,3,FALSE)*0.001*#REF!*#REF!,IF(VLOOKUP(B650,M!$B$6:$I$733,8,FALSE)="სხ",VLOOKUP(B650,M!$B$6:$I$733,3,FALSE)*0.001*#REF!*#REF!,IF(VLOOKUP(B650,M!$B$6:$I$733,8,FALSE)="ხმ",VLOOKUP(B650,M!$B$6:$I$733,3,FALSE)*0.001*#REF!*#REF!))))))))),2)</f>
        <v>3.2</v>
      </c>
      <c r="K650" s="89">
        <f t="shared" si="200"/>
        <v>707.2</v>
      </c>
      <c r="L650" s="14">
        <f t="shared" si="199"/>
        <v>707.2</v>
      </c>
      <c r="M650" s="23" t="str">
        <f>(IF(ISNUMBER(MATCH(B650,E!$B$6:$B$197,0)),VLOOKUP(B650,E!$B$6:$E$197,4,FALSE),VLOOKUP(B650,M!$B$6:$I$733,7,FALSE)))</f>
        <v>ს.რ.ფ</v>
      </c>
    </row>
    <row r="651" spans="1:13" ht="39.950000000000003" customHeight="1" x14ac:dyDescent="0.25">
      <c r="A651" s="16" t="s">
        <v>675</v>
      </c>
      <c r="B651" s="2" t="s">
        <v>801</v>
      </c>
      <c r="C651" s="2" t="s">
        <v>674</v>
      </c>
      <c r="D651" s="117">
        <v>11.4</v>
      </c>
      <c r="E651" s="118">
        <f>E647*D651/100</f>
        <v>11.4</v>
      </c>
      <c r="F651" s="31" t="e">
        <f>ROUND(VLOOKUP(B651,M!$B$6:$H$733,IF(#REF!="დაბალი",4,IF(#REF!="საშუალო",6,IF(#REF!="მაღალი",5))),FALSE),2)</f>
        <v>#REF!</v>
      </c>
      <c r="G651" s="14" t="e">
        <f t="shared" ref="G651:G653" si="201">ROUND(E651*F651,2)</f>
        <v>#REF!</v>
      </c>
      <c r="H651" s="129"/>
      <c r="I651" s="117"/>
      <c r="J651" s="35" t="e">
        <f>ROUND(IF(ISNUMBER(MATCH(B651,E!$B$6:$B$197,0)),VLOOKUP(B651,E!$B$6:$E$197,2,FALSE),IF(#REF!="დიახ",IF(VLOOKUP(B651,M!$B$6:$I$733,8,FALSE)="ლ",VLOOKUP(B651,M!$B$6:$I$733,3,FALSE)*0.001*#REF!*#REF!,IF(VLOOKUP(B651,M!$B$6:$I$733,8,FALSE)="მბ",VLOOKUP(B651,M!$B$6:$I$733,3,FALSE)*0.001*#REF!*#REF!,IF(VLOOKUP(B651,M!$B$6:$I$733,8,FALSE)="აბ",VLOOKUP(B651,M!$B$6:$I$733,3,FALSE)*0.001*#REF!*#REF!,IF(VLOOKUP(B651,M!$B$6:$I$733,8,FALSE)="ინ",VLOOKUP(B651,M!$B$6:$I$733,3,FALSE)*0.001*#REF!*#REF!,IF(VLOOKUP(B651,M!$B$6:$I$733,8,FALSE)="ას",VLOOKUP(B651,M!$B$6:$I$733,3,FALSE)*0.001*#REF!*#REF!,IF(VLOOKUP(B651,M!$B$6:$I$733,8,FALSE)="სხ",VLOOKUP(B651,M!$B$6:$I$733,3,FALSE)*0.001*#REF!*#REF!,IF(VLOOKUP(B651,M!$B$6:$I$733,8,FALSE)="ხმ",VLOOKUP(B651,M!$B$6:$I$733,3,FALSE)*0.001*#REF!*#REF!))))))))),2)</f>
        <v>#REF!</v>
      </c>
      <c r="K651" s="89" t="e">
        <f t="shared" si="200"/>
        <v>#REF!</v>
      </c>
      <c r="L651" s="14" t="e">
        <f t="shared" si="199"/>
        <v>#REF!</v>
      </c>
      <c r="M651" s="23" t="str">
        <f>(IF(ISNUMBER(MATCH(B651,E!$B$6:$B$197,0)),VLOOKUP(B651,E!$B$6:$E$197,4,FALSE),VLOOKUP(B651,M!$B$6:$I$733,7,FALSE)))</f>
        <v>4.1-345</v>
      </c>
    </row>
    <row r="652" spans="1:13" ht="39.950000000000003" customHeight="1" x14ac:dyDescent="0.25">
      <c r="A652" s="16" t="s">
        <v>695</v>
      </c>
      <c r="B652" s="2" t="s">
        <v>1147</v>
      </c>
      <c r="C652" s="2" t="s">
        <v>9</v>
      </c>
      <c r="D652" s="117">
        <v>0.59</v>
      </c>
      <c r="E652" s="118">
        <f>E647*D652/100</f>
        <v>0.59</v>
      </c>
      <c r="F652" s="31" t="e">
        <f>ROUND(VLOOKUP(B652,M!$B$6:$H$733,IF(#REF!="დაბალი",4,IF(#REF!="საშუალო",6,IF(#REF!="მაღალი",5))),FALSE),2)</f>
        <v>#REF!</v>
      </c>
      <c r="G652" s="14" t="e">
        <f t="shared" si="201"/>
        <v>#REF!</v>
      </c>
      <c r="H652" s="129"/>
      <c r="I652" s="117"/>
      <c r="J652" s="35" t="e">
        <f>ROUND(IF(ISNUMBER(MATCH(B652,E!$B$6:$B$197,0)),VLOOKUP(B652,E!$B$6:$E$197,2,FALSE),IF(#REF!="დიახ",IF(VLOOKUP(B652,M!$B$6:$I$733,8,FALSE)="ლ",VLOOKUP(B652,M!$B$6:$I$733,3,FALSE)*0.001*#REF!*#REF!,IF(VLOOKUP(B652,M!$B$6:$I$733,8,FALSE)="მბ",VLOOKUP(B652,M!$B$6:$I$733,3,FALSE)*0.001*#REF!*#REF!,IF(VLOOKUP(B652,M!$B$6:$I$733,8,FALSE)="აბ",VLOOKUP(B652,M!$B$6:$I$733,3,FALSE)*0.001*#REF!*#REF!,IF(VLOOKUP(B652,M!$B$6:$I$733,8,FALSE)="ინ",VLOOKUP(B652,M!$B$6:$I$733,3,FALSE)*0.001*#REF!*#REF!,IF(VLOOKUP(B652,M!$B$6:$I$733,8,FALSE)="ას",VLOOKUP(B652,M!$B$6:$I$733,3,FALSE)*0.001*#REF!*#REF!,IF(VLOOKUP(B652,M!$B$6:$I$733,8,FALSE)="სხ",VLOOKUP(B652,M!$B$6:$I$733,3,FALSE)*0.001*#REF!*#REF!,IF(VLOOKUP(B652,M!$B$6:$I$733,8,FALSE)="ხმ",VLOOKUP(B652,M!$B$6:$I$733,3,FALSE)*0.001*#REF!*#REF!))))))))),2)</f>
        <v>#REF!</v>
      </c>
      <c r="K652" s="89" t="e">
        <f t="shared" ref="K652:K653" si="202">E652*J652</f>
        <v>#REF!</v>
      </c>
      <c r="L652" s="14" t="e">
        <f t="shared" ref="L652:L653" si="203">G652+I652+K652</f>
        <v>#REF!</v>
      </c>
      <c r="M652" s="23" t="str">
        <f>(IF(ISNUMBER(MATCH(B652,E!$B$6:$B$197,0)),VLOOKUP(B652,E!$B$6:$E$197,4,FALSE),VLOOKUP(B652,M!$B$6:$I$733,7,FALSE)))</f>
        <v>საბაზრო</v>
      </c>
    </row>
    <row r="653" spans="1:13" ht="39.950000000000003" customHeight="1" x14ac:dyDescent="0.25">
      <c r="A653" s="16" t="s">
        <v>696</v>
      </c>
      <c r="B653" s="2" t="s">
        <v>1148</v>
      </c>
      <c r="C653" s="2" t="s">
        <v>28</v>
      </c>
      <c r="D653" s="117">
        <v>414</v>
      </c>
      <c r="E653" s="118">
        <f>E647*D653/100</f>
        <v>414</v>
      </c>
      <c r="F653" s="31" t="e">
        <f>ROUND(VLOOKUP(B653,M!$B$6:$H$733,IF(#REF!="დაბალი",4,IF(#REF!="საშუალო",6,IF(#REF!="მაღალი",5))),FALSE),2)</f>
        <v>#REF!</v>
      </c>
      <c r="G653" s="14" t="e">
        <f t="shared" si="201"/>
        <v>#REF!</v>
      </c>
      <c r="H653" s="129"/>
      <c r="I653" s="117"/>
      <c r="J653" s="35" t="e">
        <f>ROUND(IF(ISNUMBER(MATCH(B653,E!$B$6:$B$197,0)),VLOOKUP(B653,E!$B$6:$E$197,2,FALSE),IF(#REF!="დიახ",IF(VLOOKUP(B653,M!$B$6:$I$733,8,FALSE)="ლ",VLOOKUP(B653,M!$B$6:$I$733,3,FALSE)*0.001*#REF!*#REF!,IF(VLOOKUP(B653,M!$B$6:$I$733,8,FALSE)="მბ",VLOOKUP(B653,M!$B$6:$I$733,3,FALSE)*0.001*#REF!*#REF!,IF(VLOOKUP(B653,M!$B$6:$I$733,8,FALSE)="აბ",VLOOKUP(B653,M!$B$6:$I$733,3,FALSE)*0.001*#REF!*#REF!,IF(VLOOKUP(B653,M!$B$6:$I$733,8,FALSE)="ინ",VLOOKUP(B653,M!$B$6:$I$733,3,FALSE)*0.001*#REF!*#REF!,IF(VLOOKUP(B653,M!$B$6:$I$733,8,FALSE)="ას",VLOOKUP(B653,M!$B$6:$I$733,3,FALSE)*0.001*#REF!*#REF!,IF(VLOOKUP(B653,M!$B$6:$I$733,8,FALSE)="სხ",VLOOKUP(B653,M!$B$6:$I$733,3,FALSE)*0.001*#REF!*#REF!,IF(VLOOKUP(B653,M!$B$6:$I$733,8,FALSE)="ხმ",VLOOKUP(B653,M!$B$6:$I$733,3,FALSE)*0.001*#REF!*#REF!))))))))),2)</f>
        <v>#REF!</v>
      </c>
      <c r="K653" s="89" t="e">
        <f t="shared" si="202"/>
        <v>#REF!</v>
      </c>
      <c r="L653" s="14" t="e">
        <f t="shared" si="203"/>
        <v>#REF!</v>
      </c>
      <c r="M653" s="23" t="str">
        <f>(IF(ISNUMBER(MATCH(B653,E!$B$6:$B$197,0)),VLOOKUP(B653,E!$B$6:$E$197,4,FALSE),VLOOKUP(B653,M!$B$6:$I$733,7,FALSE)))</f>
        <v>საბაზრო</v>
      </c>
    </row>
    <row r="654" spans="1:13" ht="39.950000000000003" customHeight="1" x14ac:dyDescent="0.25">
      <c r="A654" s="16" t="s">
        <v>733</v>
      </c>
      <c r="B654" s="119" t="s">
        <v>1149</v>
      </c>
      <c r="C654" s="116" t="s">
        <v>1150</v>
      </c>
      <c r="D654" s="117">
        <v>216</v>
      </c>
      <c r="E654" s="118">
        <f>E647*D654/100</f>
        <v>216</v>
      </c>
      <c r="F654" s="31" t="e">
        <f>ROUND(VLOOKUP(B654,M!$B$6:$H$733,IF(#REF!="დაბალი",4,IF(#REF!="საშუალო",6,IF(#REF!="მაღალი",5))),FALSE),2)</f>
        <v>#REF!</v>
      </c>
      <c r="G654" s="14" t="e">
        <f>ROUND(E654*F654,2)</f>
        <v>#REF!</v>
      </c>
      <c r="H654" s="2"/>
      <c r="I654" s="2"/>
      <c r="J654" s="35"/>
      <c r="K654" s="89"/>
      <c r="L654" s="14" t="e">
        <f>G654+I654+K654</f>
        <v>#REF!</v>
      </c>
      <c r="M654" s="23" t="str">
        <f>(IF(ISNUMBER(MATCH(B654,E!$B$6:$B$197,0)),VLOOKUP(B654,E!$B$6:$E$197,4,FALSE),VLOOKUP(B654,M!$B$6:$I$733,7,FALSE)))</f>
        <v>საბაზრო</v>
      </c>
    </row>
    <row r="655" spans="1:13" ht="39.950000000000003" customHeight="1" x14ac:dyDescent="0.25">
      <c r="A655" s="16" t="s">
        <v>734</v>
      </c>
      <c r="B655" s="119" t="s">
        <v>677</v>
      </c>
      <c r="C655" s="116" t="s">
        <v>393</v>
      </c>
      <c r="D655" s="117">
        <v>3.35</v>
      </c>
      <c r="E655" s="118">
        <f>E647*D655/100</f>
        <v>3.35</v>
      </c>
      <c r="F655" s="31" t="e">
        <f>ROUND(VLOOKUP(B655,M!$B$6:$H$733,IF(#REF!="დაბალი",4,IF(#REF!="საშუალო",6,IF(#REF!="მაღალი",5))),FALSE),2)</f>
        <v>#REF!</v>
      </c>
      <c r="G655" s="117" t="e">
        <f t="shared" ref="G655" si="204">F655*E655</f>
        <v>#REF!</v>
      </c>
      <c r="H655" s="129"/>
      <c r="I655" s="117"/>
      <c r="J655" s="35"/>
      <c r="K655" s="89"/>
      <c r="L655" s="14" t="e">
        <f t="shared" ref="L655" si="205">G655+I655+K655</f>
        <v>#REF!</v>
      </c>
      <c r="M655" s="23" t="str">
        <f>(IF(ISNUMBER(MATCH(B655,E!$B$6:$B$197,0)),VLOOKUP(B655,E!$B$6:$E$197,4,FALSE),VLOOKUP(B655,M!$B$6:$I$733,7,FALSE)))</f>
        <v>ს.რ.ფ</v>
      </c>
    </row>
    <row r="656" spans="1:13" s="45" customFormat="1" ht="39.950000000000003" customHeight="1" x14ac:dyDescent="0.25">
      <c r="A656" s="39">
        <v>1.1000000000000001</v>
      </c>
      <c r="B656" s="40" t="s">
        <v>904</v>
      </c>
      <c r="C656" s="41" t="s">
        <v>712</v>
      </c>
      <c r="D656" s="41"/>
      <c r="E656" s="52">
        <v>100</v>
      </c>
      <c r="F656" s="42"/>
      <c r="G656" s="42"/>
      <c r="H656" s="42"/>
      <c r="I656" s="42"/>
      <c r="J656" s="46"/>
      <c r="K656" s="46"/>
      <c r="L656" s="43">
        <f>SUM(L657:L658)</f>
        <v>8676.7999999999993</v>
      </c>
      <c r="M656" s="82" t="s">
        <v>903</v>
      </c>
    </row>
    <row r="657" spans="1:14" ht="39.950000000000003" customHeight="1" x14ac:dyDescent="0.25">
      <c r="A657" s="16" t="s">
        <v>668</v>
      </c>
      <c r="B657" s="17" t="s">
        <v>669</v>
      </c>
      <c r="C657" s="2" t="s">
        <v>670</v>
      </c>
      <c r="D657" s="2">
        <v>1020</v>
      </c>
      <c r="E657" s="14">
        <f>D657*E656/100</f>
        <v>1020</v>
      </c>
      <c r="F657" s="13"/>
      <c r="G657" s="13"/>
      <c r="H657" s="27">
        <f>IF((ISNUMBER(--LEFT(M656,2))),VLOOKUP(--LEFT(M656,2),N!$A$5:$C$54,3,FALSE),VLOOKUP(--LEFT(M656,1),N!$A$5:$C$54,3,FALSE))</f>
        <v>6</v>
      </c>
      <c r="I657" s="14">
        <f>ROUND(E657*H657,2)</f>
        <v>6120</v>
      </c>
      <c r="J657" s="31"/>
      <c r="K657" s="31"/>
      <c r="L657" s="14">
        <f>G657+I657+K657</f>
        <v>6120</v>
      </c>
      <c r="M657" s="23" t="str">
        <f>(IF(ISNUMBER(MATCH(B657,E!$B$6:$B$197,0)),VLOOKUP(B657,E!$B$6:$E$197,4,FALSE),VLOOKUP(B657,M!$B$6:$I$733,7,FALSE)))</f>
        <v>მ.ც</v>
      </c>
    </row>
    <row r="658" spans="1:14" ht="39.950000000000003" customHeight="1" x14ac:dyDescent="0.25">
      <c r="A658" s="16" t="s">
        <v>671</v>
      </c>
      <c r="B658" s="17" t="s">
        <v>654</v>
      </c>
      <c r="C658" s="2" t="s">
        <v>672</v>
      </c>
      <c r="D658" s="2">
        <v>799</v>
      </c>
      <c r="E658" s="14">
        <f>D658*E656/100</f>
        <v>799</v>
      </c>
      <c r="F658" s="13"/>
      <c r="G658" s="13"/>
      <c r="H658" s="13"/>
      <c r="I658" s="13"/>
      <c r="J658" s="35">
        <f>ROUND(IF(ISNUMBER(MATCH(B658,E!$B$6:$B$197,0)),VLOOKUP(B658,E!$B$6:$E$197,2,FALSE),IF(#REF!="დიახ",IF(VLOOKUP(B658,M!$B$6:$I$733,8,FALSE)="ლ",VLOOKUP(B658,M!$B$6:$I$733,3,FALSE)*0.001*#REF!*#REF!,IF(VLOOKUP(B658,M!$B$6:$I$733,8,FALSE)="მბ",VLOOKUP(B658,M!$B$6:$I$733,3,FALSE)*0.001*#REF!*#REF!,IF(VLOOKUP(B658,M!$B$6:$I$733,8,FALSE)="აბ",VLOOKUP(B658,M!$B$6:$I$733,3,FALSE)*0.001*#REF!*#REF!,IF(VLOOKUP(B658,M!$B$6:$I$733,8,FALSE)="ინ",VLOOKUP(B658,M!$B$6:$I$733,3,FALSE)*0.001*#REF!*#REF!,IF(VLOOKUP(B658,M!$B$6:$I$733,8,FALSE)="ას",VLOOKUP(B658,M!$B$6:$I$733,3,FALSE)*0.001*#REF!*#REF!,IF(VLOOKUP(B658,M!$B$6:$I$733,8,FALSE)="სხ",VLOOKUP(B658,M!$B$6:$I$733,3,FALSE)*0.001*#REF!*#REF!,IF(VLOOKUP(B658,M!$B$6:$I$733,8,FALSE)="ხმ",VLOOKUP(B658,M!$B$6:$I$733,3,FALSE)*0.001*#REF!*#REF!))))))))),2)</f>
        <v>3.2</v>
      </c>
      <c r="K658" s="31">
        <f>ROUND(E658*J658,2)</f>
        <v>2556.8000000000002</v>
      </c>
      <c r="L658" s="14">
        <f>G658+I658+K658</f>
        <v>2556.8000000000002</v>
      </c>
      <c r="M658" s="23" t="str">
        <f>(IF(ISNUMBER(MATCH(B658,E!$B$6:$B$197,0)),VLOOKUP(B658,E!$B$6:$E$197,4,FALSE),VLOOKUP(B658,M!$B$6:$I$733,7,FALSE)))</f>
        <v>ს.რ.ფ</v>
      </c>
    </row>
    <row r="659" spans="1:14" s="45" customFormat="1" ht="39.950000000000003" customHeight="1" x14ac:dyDescent="0.25">
      <c r="A659" s="39">
        <v>1.1000000000000001</v>
      </c>
      <c r="B659" s="40" t="s">
        <v>1100</v>
      </c>
      <c r="C659" s="41" t="s">
        <v>792</v>
      </c>
      <c r="D659" s="41"/>
      <c r="E659" s="41">
        <v>1</v>
      </c>
      <c r="F659" s="41"/>
      <c r="G659" s="41"/>
      <c r="H659" s="42"/>
      <c r="I659" s="42"/>
      <c r="J659" s="41"/>
      <c r="K659" s="41"/>
      <c r="L659" s="43" t="e">
        <f>SUM(L660:L664)</f>
        <v>#REF!</v>
      </c>
      <c r="M659" s="57" t="s">
        <v>1101</v>
      </c>
      <c r="N659" s="107"/>
    </row>
    <row r="660" spans="1:14" ht="39.950000000000003" customHeight="1" x14ac:dyDescent="0.25">
      <c r="A660" s="16" t="s">
        <v>668</v>
      </c>
      <c r="B660" s="17" t="s">
        <v>669</v>
      </c>
      <c r="C660" s="2" t="s">
        <v>670</v>
      </c>
      <c r="D660" s="14">
        <v>8</v>
      </c>
      <c r="E660" s="14">
        <f>D660*E659</f>
        <v>8</v>
      </c>
      <c r="F660" s="13"/>
      <c r="G660" s="13"/>
      <c r="H660" s="27">
        <f>IF((ISNUMBER(--LEFT(M659,2))),VLOOKUP(--LEFT(M659,2),N!$A$5:$C$54,3,FALSE),VLOOKUP(--LEFT(M659,1),N!$A$5:$C$54,3,FALSE))</f>
        <v>6</v>
      </c>
      <c r="I660" s="14">
        <f>ROUND(E660*H660,2)</f>
        <v>48</v>
      </c>
      <c r="J660" s="2"/>
      <c r="K660" s="2"/>
      <c r="L660" s="14">
        <f t="shared" ref="L660:L664" si="206">G660+I660+K660</f>
        <v>48</v>
      </c>
      <c r="M660" s="23" t="str">
        <f>(IF(ISNUMBER(MATCH(B660,E!$B$6:$B$197,0)),VLOOKUP(B660,E!$B$6:$E$197,4,FALSE),VLOOKUP(B660,M!$B$6:$I$733,7,FALSE)))</f>
        <v>მ.ც</v>
      </c>
      <c r="N660" s="106"/>
    </row>
    <row r="661" spans="1:14" ht="39.950000000000003" customHeight="1" x14ac:dyDescent="0.25">
      <c r="A661" s="16" t="s">
        <v>671</v>
      </c>
      <c r="B661" s="2" t="s">
        <v>182</v>
      </c>
      <c r="C661" s="2" t="s">
        <v>672</v>
      </c>
      <c r="D661" s="2">
        <v>1.98</v>
      </c>
      <c r="E661" s="14">
        <f>D661*E659</f>
        <v>1.98</v>
      </c>
      <c r="F661" s="13"/>
      <c r="G661" s="13"/>
      <c r="H661" s="2"/>
      <c r="I661" s="2"/>
      <c r="J661" s="35">
        <f>ROUND(IF(ISNUMBER(MATCH(B661,E!$B$6:$B$197,0)),VLOOKUP(B661,E!$B$6:$E$197,2,FALSE),IF(#REF!="დიახ",IF(VLOOKUP(B661,M!$B$6:$I$733,8,FALSE)="ლ",VLOOKUP(B661,M!$B$6:$I$733,3,FALSE)*0.001*#REF!*#REF!,IF(VLOOKUP(B661,M!$B$6:$I$733,8,FALSE)="მბ",VLOOKUP(B661,M!$B$6:$I$733,3,FALSE)*0.001*#REF!*#REF!,IF(VLOOKUP(B661,M!$B$6:$I$733,8,FALSE)="აბ",VLOOKUP(B661,M!$B$6:$I$733,3,FALSE)*0.001*#REF!*#REF!,IF(VLOOKUP(B661,M!$B$6:$I$733,8,FALSE)="ინ",VLOOKUP(B661,M!$B$6:$I$733,3,FALSE)*0.001*#REF!*#REF!,IF(VLOOKUP(B661,M!$B$6:$I$733,8,FALSE)="ას",VLOOKUP(B661,M!$B$6:$I$733,3,FALSE)*0.001*#REF!*#REF!,IF(VLOOKUP(B661,M!$B$6:$I$733,8,FALSE)="სხ",VLOOKUP(B661,M!$B$6:$I$733,3,FALSE)*0.001*#REF!*#REF!,IF(VLOOKUP(B661,M!$B$6:$I$733,8,FALSE)="ხმ",VLOOKUP(B661,M!$B$6:$I$733,3,FALSE)*0.001*#REF!*#REF!))))))))),2)</f>
        <v>35.03</v>
      </c>
      <c r="K661" s="14">
        <f>ROUND(E661*J661,2)</f>
        <v>69.36</v>
      </c>
      <c r="L661" s="14">
        <f t="shared" si="206"/>
        <v>69.36</v>
      </c>
      <c r="M661" s="23" t="str">
        <f>(IF(ISNUMBER(MATCH(B661,E!$B$6:$B$197,0)),VLOOKUP(B661,E!$B$6:$E$197,4,FALSE),VLOOKUP(B661,M!$B$6:$I$733,7,FALSE)))</f>
        <v>14-56</v>
      </c>
      <c r="N661" s="106"/>
    </row>
    <row r="662" spans="1:14" ht="39.75" customHeight="1" x14ac:dyDescent="0.25">
      <c r="A662" s="16" t="s">
        <v>673</v>
      </c>
      <c r="B662" s="2" t="s">
        <v>294</v>
      </c>
      <c r="C662" s="2" t="s">
        <v>595</v>
      </c>
      <c r="D662" s="2" t="s">
        <v>827</v>
      </c>
      <c r="E662" s="14">
        <v>1</v>
      </c>
      <c r="F662" s="31" t="e">
        <f>ROUND(VLOOKUP(B662,M!$B$6:$H$733,IF(#REF!="დაბალი",4,IF(#REF!="საშუალო",6,IF(#REF!="მაღალი",5))),FALSE),2)</f>
        <v>#REF!</v>
      </c>
      <c r="G662" s="14" t="e">
        <f>ROUND(E662*F662,2)</f>
        <v>#REF!</v>
      </c>
      <c r="H662" s="2"/>
      <c r="I662" s="2"/>
      <c r="J662" s="35" t="e">
        <f>ROUND(IF(ISNUMBER(MATCH(B662,E!$B$6:$B$197,0)),VLOOKUP(B662,E!$B$6:$E$197,2,FALSE),IF(#REF!="დიახ",IF(VLOOKUP(B662,M!$B$6:$I$733,8,FALSE)="ლ",VLOOKUP(B662,M!$B$6:$I$733,3,FALSE)*0.001*#REF!*#REF!,IF(VLOOKUP(B662,M!$B$6:$I$733,8,FALSE)="მბ",VLOOKUP(B662,M!$B$6:$I$733,3,FALSE)*0.001*#REF!*#REF!,IF(VLOOKUP(B662,M!$B$6:$I$733,8,FALSE)="აბ",VLOOKUP(B662,M!$B$6:$I$733,3,FALSE)*0.001*#REF!*#REF!,IF(VLOOKUP(B662,M!$B$6:$I$733,8,FALSE)="ინ",VLOOKUP(B662,M!$B$6:$I$733,3,FALSE)*0.001*#REF!*#REF!,IF(VLOOKUP(B662,M!$B$6:$I$733,8,FALSE)="ას",VLOOKUP(B662,M!$B$6:$I$733,3,FALSE)*0.001*#REF!*#REF!,IF(VLOOKUP(B662,M!$B$6:$I$733,8,FALSE)="სხ",VLOOKUP(B662,M!$B$6:$I$733,3,FALSE)*0.001*#REF!*#REF!,IF(VLOOKUP(B662,M!$B$6:$I$733,8,FALSE)="ხმ",VLOOKUP(B662,M!$B$6:$I$733,3,FALSE)*0.001*#REF!*#REF!))))))))),2)</f>
        <v>#REF!</v>
      </c>
      <c r="K662" s="14" t="e">
        <f t="shared" ref="K662:K663" si="207">ROUND(E662*J662,2)</f>
        <v>#REF!</v>
      </c>
      <c r="L662" s="14" t="e">
        <f t="shared" si="206"/>
        <v>#REF!</v>
      </c>
      <c r="M662" s="23" t="str">
        <f>(IF(ISNUMBER(MATCH(B662,E!$B$6:$B$197,0)),VLOOKUP(B662,E!$B$6:$E$197,4,FALSE),VLOOKUP(B662,M!$B$6:$I$733,7,FALSE)))</f>
        <v>4.1-98</v>
      </c>
      <c r="N662" s="106"/>
    </row>
    <row r="663" spans="1:14" ht="39.75" customHeight="1" x14ac:dyDescent="0.25">
      <c r="A663" s="16" t="s">
        <v>675</v>
      </c>
      <c r="B663" s="2" t="s">
        <v>440</v>
      </c>
      <c r="C663" s="2" t="s">
        <v>9</v>
      </c>
      <c r="D663" s="2">
        <v>0.1</v>
      </c>
      <c r="E663" s="14">
        <f>D663*E659</f>
        <v>0.1</v>
      </c>
      <c r="F663" s="31" t="e">
        <f>ROUND(VLOOKUP(B663,M!$B$6:$H$733,IF(#REF!="დაბალი",4,IF(#REF!="საშუალო",6,IF(#REF!="მაღალი",5))),FALSE),2)</f>
        <v>#REF!</v>
      </c>
      <c r="G663" s="14" t="e">
        <f>ROUND(E663*F663,2)</f>
        <v>#REF!</v>
      </c>
      <c r="H663" s="2"/>
      <c r="I663" s="2"/>
      <c r="J663" s="35" t="e">
        <f>ROUND(IF(ISNUMBER(MATCH(B663,E!$B$6:$B$197,0)),VLOOKUP(B663,E!$B$6:$E$197,2,FALSE),IF(#REF!="დიახ",IF(VLOOKUP(B663,M!$B$6:$I$733,8,FALSE)="ლ",VLOOKUP(B663,M!$B$6:$I$733,3,FALSE)*0.001*#REF!*#REF!,IF(VLOOKUP(B663,M!$B$6:$I$733,8,FALSE)="მბ",VLOOKUP(B663,M!$B$6:$I$733,3,FALSE)*0.001*#REF!*#REF!,IF(VLOOKUP(B663,M!$B$6:$I$733,8,FALSE)="აბ",VLOOKUP(B663,M!$B$6:$I$733,3,FALSE)*0.001*#REF!*#REF!,IF(VLOOKUP(B663,M!$B$6:$I$733,8,FALSE)="ინ",VLOOKUP(B663,M!$B$6:$I$733,3,FALSE)*0.001*#REF!*#REF!,IF(VLOOKUP(B663,M!$B$6:$I$733,8,FALSE)="ას",VLOOKUP(B663,M!$B$6:$I$733,3,FALSE)*0.001*#REF!*#REF!,IF(VLOOKUP(B663,M!$B$6:$I$733,8,FALSE)="სხ",VLOOKUP(B663,M!$B$6:$I$733,3,FALSE)*0.001*#REF!*#REF!,IF(VLOOKUP(B663,M!$B$6:$I$733,8,FALSE)="ხმ",VLOOKUP(B663,M!$B$6:$I$733,3,FALSE)*0.001*#REF!*#REF!))))))))),2)</f>
        <v>#REF!</v>
      </c>
      <c r="K663" s="14" t="e">
        <f t="shared" si="207"/>
        <v>#REF!</v>
      </c>
      <c r="L663" s="14" t="e">
        <f t="shared" si="206"/>
        <v>#REF!</v>
      </c>
      <c r="M663" s="23" t="str">
        <f>(IF(ISNUMBER(MATCH(B663,E!$B$6:$B$197,0)),VLOOKUP(B663,E!$B$6:$E$197,4,FALSE),VLOOKUP(B663,M!$B$6:$I$733,7,FALSE)))</f>
        <v>4.1-522</v>
      </c>
      <c r="N663" s="106"/>
    </row>
    <row r="664" spans="1:14" ht="39.950000000000003" customHeight="1" x14ac:dyDescent="0.25">
      <c r="A664" s="16" t="s">
        <v>695</v>
      </c>
      <c r="B664" s="17" t="s">
        <v>677</v>
      </c>
      <c r="C664" s="2" t="s">
        <v>393</v>
      </c>
      <c r="D664" s="2">
        <v>6.36</v>
      </c>
      <c r="E664" s="14">
        <f>D664*E659</f>
        <v>6.36</v>
      </c>
      <c r="F664" s="31" t="e">
        <f>ROUND(VLOOKUP(B664,M!$B$6:$H$733,IF(#REF!="დაბალი",4,IF(#REF!="საშუალო",6,IF(#REF!="მაღალი",5))),FALSE),2)</f>
        <v>#REF!</v>
      </c>
      <c r="G664" s="14" t="e">
        <f>ROUND(E664*F664,2)</f>
        <v>#REF!</v>
      </c>
      <c r="H664" s="2"/>
      <c r="I664" s="2"/>
      <c r="J664" s="2"/>
      <c r="K664" s="14"/>
      <c r="L664" s="14" t="e">
        <f t="shared" si="206"/>
        <v>#REF!</v>
      </c>
      <c r="M664" s="23" t="str">
        <f>(IF(ISNUMBER(MATCH(B664,E!$B$6:$B$197,0)),VLOOKUP(B664,E!$B$6:$E$197,4,FALSE),VLOOKUP(B664,M!$B$6:$I$733,7,FALSE)))</f>
        <v>ს.რ.ფ</v>
      </c>
      <c r="N664" s="106"/>
    </row>
    <row r="665" spans="1:14" s="45" customFormat="1" ht="39.950000000000003" customHeight="1" x14ac:dyDescent="0.25">
      <c r="A665" s="39">
        <v>1.1000000000000001</v>
      </c>
      <c r="B665" s="40" t="s">
        <v>1102</v>
      </c>
      <c r="C665" s="41" t="s">
        <v>792</v>
      </c>
      <c r="D665" s="41"/>
      <c r="E665" s="41">
        <v>1</v>
      </c>
      <c r="F665" s="41"/>
      <c r="G665" s="41"/>
      <c r="H665" s="42"/>
      <c r="I665" s="42"/>
      <c r="J665" s="41"/>
      <c r="K665" s="41"/>
      <c r="L665" s="43" t="e">
        <f>SUM(L666:L670)</f>
        <v>#REF!</v>
      </c>
      <c r="M665" s="57" t="s">
        <v>1103</v>
      </c>
      <c r="N665" s="107"/>
    </row>
    <row r="666" spans="1:14" ht="39.950000000000003" customHeight="1" x14ac:dyDescent="0.25">
      <c r="A666" s="16" t="s">
        <v>668</v>
      </c>
      <c r="B666" s="17" t="s">
        <v>669</v>
      </c>
      <c r="C666" s="2" t="s">
        <v>670</v>
      </c>
      <c r="D666" s="14">
        <v>5.56</v>
      </c>
      <c r="E666" s="14">
        <f>D666*E665</f>
        <v>5.56</v>
      </c>
      <c r="F666" s="13"/>
      <c r="G666" s="13"/>
      <c r="H666" s="27">
        <f>IF((ISNUMBER(--LEFT(M665,2))),VLOOKUP(--LEFT(M665,2),N!$A$5:$C$54,3,FALSE),VLOOKUP(--LEFT(M665,1),N!$A$5:$C$54,3,FALSE))</f>
        <v>6</v>
      </c>
      <c r="I666" s="14">
        <f>ROUND(E666*H666,2)</f>
        <v>33.36</v>
      </c>
      <c r="J666" s="2"/>
      <c r="K666" s="2"/>
      <c r="L666" s="14">
        <f t="shared" ref="L666:L670" si="208">G666+I666+K666</f>
        <v>33.36</v>
      </c>
      <c r="M666" s="23" t="str">
        <f>(IF(ISNUMBER(MATCH(B666,E!$B$6:$B$197,0)),VLOOKUP(B666,E!$B$6:$E$197,4,FALSE),VLOOKUP(B666,M!$B$6:$I$733,7,FALSE)))</f>
        <v>მ.ც</v>
      </c>
      <c r="N666" s="106"/>
    </row>
    <row r="667" spans="1:14" ht="39.950000000000003" customHeight="1" x14ac:dyDescent="0.25">
      <c r="A667" s="16" t="s">
        <v>671</v>
      </c>
      <c r="B667" s="2" t="s">
        <v>182</v>
      </c>
      <c r="C667" s="2" t="s">
        <v>672</v>
      </c>
      <c r="D667" s="2">
        <v>1.31</v>
      </c>
      <c r="E667" s="14">
        <f>D667*E665</f>
        <v>1.31</v>
      </c>
      <c r="F667" s="13"/>
      <c r="G667" s="13"/>
      <c r="H667" s="2"/>
      <c r="I667" s="2"/>
      <c r="J667" s="35">
        <f>ROUND(IF(ISNUMBER(MATCH(B667,E!$B$6:$B$197,0)),VLOOKUP(B667,E!$B$6:$E$197,2,FALSE),IF(#REF!="დიახ",IF(VLOOKUP(B667,M!$B$6:$I$733,8,FALSE)="ლ",VLOOKUP(B667,M!$B$6:$I$733,3,FALSE)*0.001*#REF!*#REF!,IF(VLOOKUP(B667,M!$B$6:$I$733,8,FALSE)="მბ",VLOOKUP(B667,M!$B$6:$I$733,3,FALSE)*0.001*#REF!*#REF!,IF(VLOOKUP(B667,M!$B$6:$I$733,8,FALSE)="აბ",VLOOKUP(B667,M!$B$6:$I$733,3,FALSE)*0.001*#REF!*#REF!,IF(VLOOKUP(B667,M!$B$6:$I$733,8,FALSE)="ინ",VLOOKUP(B667,M!$B$6:$I$733,3,FALSE)*0.001*#REF!*#REF!,IF(VLOOKUP(B667,M!$B$6:$I$733,8,FALSE)="ას",VLOOKUP(B667,M!$B$6:$I$733,3,FALSE)*0.001*#REF!*#REF!,IF(VLOOKUP(B667,M!$B$6:$I$733,8,FALSE)="სხ",VLOOKUP(B667,M!$B$6:$I$733,3,FALSE)*0.001*#REF!*#REF!,IF(VLOOKUP(B667,M!$B$6:$I$733,8,FALSE)="ხმ",VLOOKUP(B667,M!$B$6:$I$733,3,FALSE)*0.001*#REF!*#REF!))))))))),2)</f>
        <v>35.03</v>
      </c>
      <c r="K667" s="14">
        <f>ROUND(E667*J667,2)</f>
        <v>45.89</v>
      </c>
      <c r="L667" s="14">
        <f t="shared" si="208"/>
        <v>45.89</v>
      </c>
      <c r="M667" s="23" t="str">
        <f>(IF(ISNUMBER(MATCH(B667,E!$B$6:$B$197,0)),VLOOKUP(B667,E!$B$6:$E$197,4,FALSE),VLOOKUP(B667,M!$B$6:$I$733,7,FALSE)))</f>
        <v>14-56</v>
      </c>
      <c r="N667" s="106"/>
    </row>
    <row r="668" spans="1:14" ht="39.75" customHeight="1" x14ac:dyDescent="0.25">
      <c r="A668" s="16" t="s">
        <v>673</v>
      </c>
      <c r="B668" s="2" t="s">
        <v>295</v>
      </c>
      <c r="C668" s="2" t="s">
        <v>595</v>
      </c>
      <c r="D668" s="2" t="s">
        <v>827</v>
      </c>
      <c r="E668" s="14">
        <v>1</v>
      </c>
      <c r="F668" s="31" t="e">
        <f>ROUND(VLOOKUP(B668,M!$B$6:$H$733,IF(#REF!="დაბალი",4,IF(#REF!="საშუალო",6,IF(#REF!="მაღალი",5))),FALSE),2)</f>
        <v>#REF!</v>
      </c>
      <c r="G668" s="14" t="e">
        <f>ROUND(E668*F668,2)</f>
        <v>#REF!</v>
      </c>
      <c r="H668" s="2"/>
      <c r="I668" s="2"/>
      <c r="J668" s="35" t="e">
        <f>ROUND(IF(ISNUMBER(MATCH(B668,E!$B$6:$B$197,0)),VLOOKUP(B668,E!$B$6:$E$197,2,FALSE),IF(#REF!="დიახ",IF(VLOOKUP(B668,M!$B$6:$I$733,8,FALSE)="ლ",VLOOKUP(B668,M!$B$6:$I$733,3,FALSE)*0.001*#REF!*#REF!,IF(VLOOKUP(B668,M!$B$6:$I$733,8,FALSE)="მბ",VLOOKUP(B668,M!$B$6:$I$733,3,FALSE)*0.001*#REF!*#REF!,IF(VLOOKUP(B668,M!$B$6:$I$733,8,FALSE)="აბ",VLOOKUP(B668,M!$B$6:$I$733,3,FALSE)*0.001*#REF!*#REF!,IF(VLOOKUP(B668,M!$B$6:$I$733,8,FALSE)="ინ",VLOOKUP(B668,M!$B$6:$I$733,3,FALSE)*0.001*#REF!*#REF!,IF(VLOOKUP(B668,M!$B$6:$I$733,8,FALSE)="ას",VLOOKUP(B668,M!$B$6:$I$733,3,FALSE)*0.001*#REF!*#REF!,IF(VLOOKUP(B668,M!$B$6:$I$733,8,FALSE)="სხ",VLOOKUP(B668,M!$B$6:$I$733,3,FALSE)*0.001*#REF!*#REF!,IF(VLOOKUP(B668,M!$B$6:$I$733,8,FALSE)="ხმ",VLOOKUP(B668,M!$B$6:$I$733,3,FALSE)*0.001*#REF!*#REF!))))))))),2)</f>
        <v>#REF!</v>
      </c>
      <c r="K668" s="14" t="e">
        <f t="shared" ref="K668:K669" si="209">ROUND(E668*J668,2)</f>
        <v>#REF!</v>
      </c>
      <c r="L668" s="14" t="e">
        <f t="shared" si="208"/>
        <v>#REF!</v>
      </c>
      <c r="M668" s="23" t="str">
        <f>(IF(ISNUMBER(MATCH(B668,E!$B$6:$B$197,0)),VLOOKUP(B668,E!$B$6:$E$197,4,FALSE),VLOOKUP(B668,M!$B$6:$I$733,7,FALSE)))</f>
        <v>4.1-99</v>
      </c>
      <c r="N668" s="106"/>
    </row>
    <row r="669" spans="1:14" ht="39.75" customHeight="1" x14ac:dyDescent="0.25">
      <c r="A669" s="16" t="s">
        <v>675</v>
      </c>
      <c r="B669" s="2" t="s">
        <v>440</v>
      </c>
      <c r="C669" s="2" t="s">
        <v>9</v>
      </c>
      <c r="D669" s="2">
        <v>0.1</v>
      </c>
      <c r="E669" s="14">
        <f>D669*E665</f>
        <v>0.1</v>
      </c>
      <c r="F669" s="31" t="e">
        <f>ROUND(VLOOKUP(B669,M!$B$6:$H$733,IF(#REF!="დაბალი",4,IF(#REF!="საშუალო",6,IF(#REF!="მაღალი",5))),FALSE),2)</f>
        <v>#REF!</v>
      </c>
      <c r="G669" s="14" t="e">
        <f>ROUND(E669*F669,2)</f>
        <v>#REF!</v>
      </c>
      <c r="H669" s="2"/>
      <c r="I669" s="2"/>
      <c r="J669" s="35" t="e">
        <f>ROUND(IF(ISNUMBER(MATCH(B669,E!$B$6:$B$197,0)),VLOOKUP(B669,E!$B$6:$E$197,2,FALSE),IF(#REF!="დიახ",IF(VLOOKUP(B669,M!$B$6:$I$733,8,FALSE)="ლ",VLOOKUP(B669,M!$B$6:$I$733,3,FALSE)*0.001*#REF!*#REF!,IF(VLOOKUP(B669,M!$B$6:$I$733,8,FALSE)="მბ",VLOOKUP(B669,M!$B$6:$I$733,3,FALSE)*0.001*#REF!*#REF!,IF(VLOOKUP(B669,M!$B$6:$I$733,8,FALSE)="აბ",VLOOKUP(B669,M!$B$6:$I$733,3,FALSE)*0.001*#REF!*#REF!,IF(VLOOKUP(B669,M!$B$6:$I$733,8,FALSE)="ინ",VLOOKUP(B669,M!$B$6:$I$733,3,FALSE)*0.001*#REF!*#REF!,IF(VLOOKUP(B669,M!$B$6:$I$733,8,FALSE)="ას",VLOOKUP(B669,M!$B$6:$I$733,3,FALSE)*0.001*#REF!*#REF!,IF(VLOOKUP(B669,M!$B$6:$I$733,8,FALSE)="სხ",VLOOKUP(B669,M!$B$6:$I$733,3,FALSE)*0.001*#REF!*#REF!,IF(VLOOKUP(B669,M!$B$6:$I$733,8,FALSE)="ხმ",VLOOKUP(B669,M!$B$6:$I$733,3,FALSE)*0.001*#REF!*#REF!))))))))),2)</f>
        <v>#REF!</v>
      </c>
      <c r="K669" s="14" t="e">
        <f t="shared" si="209"/>
        <v>#REF!</v>
      </c>
      <c r="L669" s="14" t="e">
        <f t="shared" si="208"/>
        <v>#REF!</v>
      </c>
      <c r="M669" s="23" t="str">
        <f>(IF(ISNUMBER(MATCH(B669,E!$B$6:$B$197,0)),VLOOKUP(B669,E!$B$6:$E$197,4,FALSE),VLOOKUP(B669,M!$B$6:$I$733,7,FALSE)))</f>
        <v>4.1-522</v>
      </c>
      <c r="N669" s="106"/>
    </row>
    <row r="670" spans="1:14" ht="39.950000000000003" customHeight="1" x14ac:dyDescent="0.25">
      <c r="A670" s="16" t="s">
        <v>695</v>
      </c>
      <c r="B670" s="17" t="s">
        <v>677</v>
      </c>
      <c r="C670" s="2" t="s">
        <v>393</v>
      </c>
      <c r="D670" s="2">
        <v>4.6500000000000004</v>
      </c>
      <c r="E670" s="14">
        <f>D670*E665</f>
        <v>4.6500000000000004</v>
      </c>
      <c r="F670" s="31" t="e">
        <f>ROUND(VLOOKUP(B670,M!$B$6:$H$733,IF(#REF!="დაბალი",4,IF(#REF!="საშუალო",6,IF(#REF!="მაღალი",5))),FALSE),2)</f>
        <v>#REF!</v>
      </c>
      <c r="G670" s="14" t="e">
        <f>ROUND(E670*F670,2)</f>
        <v>#REF!</v>
      </c>
      <c r="H670" s="2"/>
      <c r="I670" s="2"/>
      <c r="J670" s="2"/>
      <c r="K670" s="14"/>
      <c r="L670" s="14" t="e">
        <f t="shared" si="208"/>
        <v>#REF!</v>
      </c>
      <c r="M670" s="23" t="str">
        <f>(IF(ISNUMBER(MATCH(B670,E!$B$6:$B$197,0)),VLOOKUP(B670,E!$B$6:$E$197,4,FALSE),VLOOKUP(B670,M!$B$6:$I$733,7,FALSE)))</f>
        <v>ს.რ.ფ</v>
      </c>
      <c r="N670" s="106"/>
    </row>
    <row r="671" spans="1:14" s="45" customFormat="1" ht="39.950000000000003" customHeight="1" x14ac:dyDescent="0.25">
      <c r="A671" s="39">
        <v>1.1000000000000001</v>
      </c>
      <c r="B671" s="40" t="s">
        <v>1015</v>
      </c>
      <c r="C671" s="41" t="s">
        <v>9</v>
      </c>
      <c r="D671" s="41"/>
      <c r="E671" s="41">
        <v>1</v>
      </c>
      <c r="F671" s="41"/>
      <c r="G671" s="41"/>
      <c r="H671" s="42"/>
      <c r="I671" s="42"/>
      <c r="J671" s="41"/>
      <c r="K671" s="41"/>
      <c r="L671" s="43" t="e">
        <f>SUM(L672:L675)</f>
        <v>#REF!</v>
      </c>
      <c r="M671" s="57" t="s">
        <v>1016</v>
      </c>
    </row>
    <row r="672" spans="1:14" ht="39.950000000000003" customHeight="1" x14ac:dyDescent="0.25">
      <c r="A672" s="16" t="s">
        <v>668</v>
      </c>
      <c r="B672" s="17" t="s">
        <v>669</v>
      </c>
      <c r="C672" s="2" t="s">
        <v>670</v>
      </c>
      <c r="D672" s="14">
        <v>31.4</v>
      </c>
      <c r="E672" s="14">
        <f>D672*E671</f>
        <v>31.4</v>
      </c>
      <c r="F672" s="13"/>
      <c r="G672" s="13"/>
      <c r="H672" s="27">
        <f>IF((ISNUMBER(--LEFT(M671,2))),VLOOKUP(--LEFT(M671,2),N!$A$5:$C$54,3,FALSE),VLOOKUP(--LEFT(M671,1),N!$A$5:$C$54,3,FALSE))</f>
        <v>6</v>
      </c>
      <c r="I672" s="14">
        <f>ROUND(E672*H672,2)</f>
        <v>188.4</v>
      </c>
      <c r="J672" s="2"/>
      <c r="K672" s="2"/>
      <c r="L672" s="14">
        <f t="shared" ref="L672" si="210">G672+I672+K672</f>
        <v>188.4</v>
      </c>
      <c r="M672" s="23" t="str">
        <f>(IF(ISNUMBER(MATCH(B672,E!$B$6:$B$197,0)),VLOOKUP(B672,E!$B$6:$E$197,4,FALSE),VLOOKUP(B672,M!$B$6:$I$733,7,FALSE)))</f>
        <v>მ.ც</v>
      </c>
    </row>
    <row r="673" spans="1:14" ht="39.950000000000003" customHeight="1" x14ac:dyDescent="0.25">
      <c r="A673" s="16" t="s">
        <v>671</v>
      </c>
      <c r="B673" s="17" t="s">
        <v>654</v>
      </c>
      <c r="C673" s="2" t="s">
        <v>393</v>
      </c>
      <c r="D673" s="14">
        <v>0.37</v>
      </c>
      <c r="E673" s="14">
        <f>D673*E671</f>
        <v>0.37</v>
      </c>
      <c r="F673" s="13"/>
      <c r="G673" s="14"/>
      <c r="H673" s="2"/>
      <c r="I673" s="2"/>
      <c r="J673" s="35">
        <f>ROUND(IF(ISNUMBER(MATCH(B673,E!$B$6:$B$197,0)),VLOOKUP(B673,E!$B$6:$E$197,2,FALSE),IF(#REF!="დიახ",IF(VLOOKUP(B673,M!$B$6:$I$733,8,FALSE)="ლ",VLOOKUP(B673,M!$B$6:$I$733,3,FALSE)*0.001*#REF!*#REF!,IF(VLOOKUP(B673,M!$B$6:$I$733,8,FALSE)="მბ",VLOOKUP(B673,M!$B$6:$I$733,3,FALSE)*0.001*#REF!*#REF!,IF(VLOOKUP(B673,M!$B$6:$I$733,8,FALSE)="აბ",VLOOKUP(B673,M!$B$6:$I$733,3,FALSE)*0.001*#REF!*#REF!,IF(VLOOKUP(B673,M!$B$6:$I$733,8,FALSE)="ინ",VLOOKUP(B673,M!$B$6:$I$733,3,FALSE)*0.001*#REF!*#REF!,IF(VLOOKUP(B673,M!$B$6:$I$733,8,FALSE)="ას",VLOOKUP(B673,M!$B$6:$I$733,3,FALSE)*0.001*#REF!*#REF!,IF(VLOOKUP(B673,M!$B$6:$I$733,8,FALSE)="სხ",VLOOKUP(B673,M!$B$6:$I$733,3,FALSE)*0.001*#REF!*#REF!,IF(VLOOKUP(B673,M!$B$6:$I$733,8,FALSE)="ხმ",VLOOKUP(B673,M!$B$6:$I$733,3,FALSE)*0.001*#REF!*#REF!))))))))),2)</f>
        <v>3.2</v>
      </c>
      <c r="K673" s="14">
        <f>ROUND(E673*J673,2)</f>
        <v>1.18</v>
      </c>
      <c r="L673" s="14">
        <f>G673+I673+K673</f>
        <v>1.18</v>
      </c>
      <c r="M673" s="23" t="str">
        <f>(IF(ISNUMBER(MATCH(B673,E!$B$6:$B$197,0)),VLOOKUP(B673,E!$B$6:$E$197,4,FALSE),VLOOKUP(B673,M!$B$6:$I$733,7,FALSE)))</f>
        <v>ს.რ.ფ</v>
      </c>
    </row>
    <row r="674" spans="1:14" ht="39.75" customHeight="1" x14ac:dyDescent="0.25">
      <c r="A674" s="16" t="s">
        <v>673</v>
      </c>
      <c r="B674" s="17" t="s">
        <v>1017</v>
      </c>
      <c r="C674" s="2" t="s">
        <v>9</v>
      </c>
      <c r="D674" s="2">
        <v>1</v>
      </c>
      <c r="E674" s="14">
        <f>D674*E671</f>
        <v>1</v>
      </c>
      <c r="F674" s="31" t="e">
        <f>ROUND(VLOOKUP(B674,M!$B$6:$H$733,IF(#REF!="დაბალი",4,IF(#REF!="საშუალო",6,IF(#REF!="მაღალი",5))),FALSE),2)</f>
        <v>#REF!</v>
      </c>
      <c r="G674" s="14" t="e">
        <f t="shared" ref="G674" si="211">ROUND(E674*F674,2)</f>
        <v>#REF!</v>
      </c>
      <c r="H674" s="2"/>
      <c r="I674" s="2"/>
      <c r="J674" s="2"/>
      <c r="K674" s="14"/>
      <c r="L674" s="14" t="e">
        <f t="shared" ref="L674:L675" si="212">G674+I674+K674</f>
        <v>#REF!</v>
      </c>
      <c r="M674" s="23" t="str">
        <f>(IF(ISNUMBER(MATCH(B674,E!$B$6:$B$197,0)),VLOOKUP(B674,E!$B$6:$E$197,4,FALSE),VLOOKUP(B674,M!$B$6:$I$733,7,FALSE)))</f>
        <v>საბაზრო</v>
      </c>
    </row>
    <row r="675" spans="1:14" ht="39.950000000000003" customHeight="1" x14ac:dyDescent="0.25">
      <c r="A675" s="16" t="s">
        <v>675</v>
      </c>
      <c r="B675" s="17" t="s">
        <v>677</v>
      </c>
      <c r="C675" s="2" t="s">
        <v>393</v>
      </c>
      <c r="D675" s="2">
        <v>28.9</v>
      </c>
      <c r="E675" s="14">
        <f>D675*E671</f>
        <v>28.9</v>
      </c>
      <c r="F675" s="31" t="e">
        <f>ROUND(VLOOKUP(B675,M!$B$6:$H$733,IF(#REF!="დაბალი",4,IF(#REF!="საშუალო",6,IF(#REF!="მაღალი",5))),FALSE),2)</f>
        <v>#REF!</v>
      </c>
      <c r="G675" s="14" t="e">
        <f>ROUND(E675*F675,2)</f>
        <v>#REF!</v>
      </c>
      <c r="H675" s="2"/>
      <c r="I675" s="2"/>
      <c r="J675" s="2"/>
      <c r="K675" s="2"/>
      <c r="L675" s="14" t="e">
        <f t="shared" si="212"/>
        <v>#REF!</v>
      </c>
      <c r="M675" s="23" t="str">
        <f>(IF(ISNUMBER(MATCH(B675,E!$B$6:$B$197,0)),VLOOKUP(B675,E!$B$6:$E$197,4,FALSE),VLOOKUP(B675,M!$B$6:$I$733,7,FALSE)))</f>
        <v>ს.რ.ფ</v>
      </c>
    </row>
    <row r="676" spans="1:14" s="45" customFormat="1" ht="39.950000000000003" customHeight="1" x14ac:dyDescent="0.25">
      <c r="A676" s="39">
        <v>1.1000000000000001</v>
      </c>
      <c r="B676" s="40" t="s">
        <v>1013</v>
      </c>
      <c r="C676" s="41" t="s">
        <v>9</v>
      </c>
      <c r="D676" s="41"/>
      <c r="E676" s="41">
        <v>1</v>
      </c>
      <c r="F676" s="41"/>
      <c r="G676" s="41"/>
      <c r="H676" s="42"/>
      <c r="I676" s="42"/>
      <c r="J676" s="41"/>
      <c r="K676" s="41"/>
      <c r="L676" s="43" t="e">
        <f>SUM(L677:L681)</f>
        <v>#REF!</v>
      </c>
      <c r="M676" s="44" t="s">
        <v>1014</v>
      </c>
    </row>
    <row r="677" spans="1:14" ht="39.950000000000003" customHeight="1" x14ac:dyDescent="0.25">
      <c r="A677" s="16" t="s">
        <v>668</v>
      </c>
      <c r="B677" s="17" t="s">
        <v>669</v>
      </c>
      <c r="C677" s="2" t="s">
        <v>670</v>
      </c>
      <c r="D677" s="2">
        <v>4.6399999999999997</v>
      </c>
      <c r="E677" s="14">
        <f>D677*E676</f>
        <v>4.6399999999999997</v>
      </c>
      <c r="F677" s="13"/>
      <c r="G677" s="13"/>
      <c r="H677" s="27">
        <f>IF((ISNUMBER(--LEFT(M676,2))),VLOOKUP(--LEFT(M676,2),N!$A$5:$C$54,3,FALSE),VLOOKUP(--LEFT(M676,1),N!$A$5:$C$54,3,FALSE))</f>
        <v>6</v>
      </c>
      <c r="I677" s="14">
        <f>ROUND(E677*H677,2)</f>
        <v>27.84</v>
      </c>
      <c r="J677" s="2"/>
      <c r="K677" s="2"/>
      <c r="L677" s="14">
        <f>G677+I677+K677</f>
        <v>27.84</v>
      </c>
      <c r="M677" s="23" t="str">
        <f>(IF(ISNUMBER(MATCH(B677,E!$B$6:$B$197,0)),VLOOKUP(B677,E!$B$6:$E$197,4,FALSE),VLOOKUP(B677,M!$B$6:$I$733,7,FALSE)))</f>
        <v>მ.ც</v>
      </c>
    </row>
    <row r="678" spans="1:14" ht="39.950000000000003" customHeight="1" x14ac:dyDescent="0.25">
      <c r="A678" s="16" t="s">
        <v>671</v>
      </c>
      <c r="B678" s="17" t="s">
        <v>654</v>
      </c>
      <c r="C678" s="2" t="s">
        <v>393</v>
      </c>
      <c r="D678" s="2">
        <v>4.09</v>
      </c>
      <c r="E678" s="14">
        <f>D678*E676</f>
        <v>4.09</v>
      </c>
      <c r="F678" s="13"/>
      <c r="G678" s="13"/>
      <c r="H678" s="2"/>
      <c r="I678" s="2"/>
      <c r="J678" s="35">
        <f>ROUND(IF(ISNUMBER(MATCH(B678,E!$B$6:$B$197,0)),VLOOKUP(B678,E!$B$6:$E$197,2,FALSE),IF(#REF!="დიახ",IF(VLOOKUP(B678,M!$B$6:$I$733,8,FALSE)="ლ",VLOOKUP(B678,M!$B$6:$I$733,3,FALSE)*0.001*#REF!*#REF!,IF(VLOOKUP(B678,M!$B$6:$I$733,8,FALSE)="მბ",VLOOKUP(B678,M!$B$6:$I$733,3,FALSE)*0.001*#REF!*#REF!,IF(VLOOKUP(B678,M!$B$6:$I$733,8,FALSE)="აბ",VLOOKUP(B678,M!$B$6:$I$733,3,FALSE)*0.001*#REF!*#REF!,IF(VLOOKUP(B678,M!$B$6:$I$733,8,FALSE)="ინ",VLOOKUP(B678,M!$B$6:$I$733,3,FALSE)*0.001*#REF!*#REF!,IF(VLOOKUP(B678,M!$B$6:$I$733,8,FALSE)="ას",VLOOKUP(B678,M!$B$6:$I$733,3,FALSE)*0.001*#REF!*#REF!,IF(VLOOKUP(B678,M!$B$6:$I$733,8,FALSE)="სხ",VLOOKUP(B678,M!$B$6:$I$733,3,FALSE)*0.001*#REF!*#REF!,IF(VLOOKUP(B678,M!$B$6:$I$733,8,FALSE)="ხმ",VLOOKUP(B678,M!$B$6:$I$733,3,FALSE)*0.001*#REF!*#REF!))))))))),2)</f>
        <v>3.2</v>
      </c>
      <c r="K678" s="14">
        <f>ROUND(E678*J678,2)</f>
        <v>13.09</v>
      </c>
      <c r="L678" s="14">
        <f>G678+I678+K678</f>
        <v>13.09</v>
      </c>
      <c r="M678" s="23" t="str">
        <f>(IF(ISNUMBER(MATCH(B678,E!$B$6:$B$197,0)),VLOOKUP(B678,E!$B$6:$E$197,4,FALSE),VLOOKUP(B678,M!$B$6:$I$733,7,FALSE)))</f>
        <v>ს.რ.ფ</v>
      </c>
    </row>
    <row r="679" spans="1:14" ht="39.950000000000003" customHeight="1" x14ac:dyDescent="0.25">
      <c r="A679" s="16" t="s">
        <v>673</v>
      </c>
      <c r="B679" s="17" t="s">
        <v>467</v>
      </c>
      <c r="C679" s="2" t="s">
        <v>28</v>
      </c>
      <c r="D679" s="2">
        <v>2</v>
      </c>
      <c r="E679" s="14">
        <f>D679*E676</f>
        <v>2</v>
      </c>
      <c r="F679" s="31" t="e">
        <f>ROUND(VLOOKUP(B679,M!$B$6:$H$733,IF(#REF!="დაბალი",4,IF(#REF!="საშუალო",6,IF(#REF!="მაღალი",5))),FALSE),2)</f>
        <v>#REF!</v>
      </c>
      <c r="G679" s="14" t="e">
        <f>ROUND(E679*F679,2)</f>
        <v>#REF!</v>
      </c>
      <c r="H679" s="2"/>
      <c r="I679" s="2"/>
      <c r="J679" s="2"/>
      <c r="K679" s="2"/>
      <c r="L679" s="14" t="e">
        <f>G679+I679+K679</f>
        <v>#REF!</v>
      </c>
      <c r="M679" s="23" t="str">
        <f>(IF(ISNUMBER(MATCH(B679,E!$B$6:$B$197,0)),VLOOKUP(B679,E!$B$6:$E$197,4,FALSE),VLOOKUP(B679,M!$B$6:$I$733,7,FALSE)))</f>
        <v>4.2-16</v>
      </c>
    </row>
    <row r="680" spans="1:14" ht="39.950000000000003" customHeight="1" x14ac:dyDescent="0.25">
      <c r="A680" s="16" t="s">
        <v>675</v>
      </c>
      <c r="B680" s="17" t="s">
        <v>468</v>
      </c>
      <c r="C680" s="2" t="s">
        <v>28</v>
      </c>
      <c r="D680" s="2">
        <v>4</v>
      </c>
      <c r="E680" s="14">
        <f>D680*E676</f>
        <v>4</v>
      </c>
      <c r="F680" s="31" t="e">
        <f>ROUND(VLOOKUP(B680,M!$B$6:$H$733,IF(#REF!="დაბალი",4,IF(#REF!="საშუალო",6,IF(#REF!="მაღალი",5))),FALSE),2)</f>
        <v>#REF!</v>
      </c>
      <c r="G680" s="14" t="e">
        <f>ROUND(E680*F680,2)</f>
        <v>#REF!</v>
      </c>
      <c r="H680" s="2"/>
      <c r="I680" s="2"/>
      <c r="J680" s="2"/>
      <c r="K680" s="2"/>
      <c r="L680" s="14" t="e">
        <f>G680+I680+K680</f>
        <v>#REF!</v>
      </c>
      <c r="M680" s="23" t="str">
        <f>(IF(ISNUMBER(MATCH(B680,E!$B$6:$B$197,0)),VLOOKUP(B680,E!$B$6:$E$197,4,FALSE),VLOOKUP(B680,M!$B$6:$I$733,7,FALSE)))</f>
        <v>4.2-25</v>
      </c>
    </row>
    <row r="681" spans="1:14" ht="39.950000000000003" customHeight="1" x14ac:dyDescent="0.25">
      <c r="A681" s="16" t="s">
        <v>695</v>
      </c>
      <c r="B681" s="17" t="s">
        <v>677</v>
      </c>
      <c r="C681" s="2" t="s">
        <v>393</v>
      </c>
      <c r="D681" s="2">
        <v>26.5</v>
      </c>
      <c r="E681" s="14">
        <f>D681*E676</f>
        <v>26.5</v>
      </c>
      <c r="F681" s="31" t="e">
        <f>ROUND(VLOOKUP(B681,M!$B$6:$H$733,IF(#REF!="დაბალი",4,IF(#REF!="საშუალო",6,IF(#REF!="მაღალი",5))),FALSE),2)</f>
        <v>#REF!</v>
      </c>
      <c r="G681" s="14" t="e">
        <f>ROUND(E681*F681,2)</f>
        <v>#REF!</v>
      </c>
      <c r="H681" s="2"/>
      <c r="I681" s="2"/>
      <c r="J681" s="2"/>
      <c r="K681" s="2"/>
      <c r="L681" s="14" t="e">
        <f t="shared" ref="L681" si="213">G681+I681+K681</f>
        <v>#REF!</v>
      </c>
      <c r="M681" s="23" t="str">
        <f>(IF(ISNUMBER(MATCH(B681,E!$B$6:$B$197,0)),VLOOKUP(B681,E!$B$6:$E$197,4,FALSE),VLOOKUP(B681,M!$B$6:$I$733,7,FALSE)))</f>
        <v>ს.რ.ფ</v>
      </c>
    </row>
    <row r="682" spans="1:14" ht="80.099999999999994" customHeight="1" x14ac:dyDescent="0.25">
      <c r="A682" s="134"/>
      <c r="B682" s="135" t="s">
        <v>1186</v>
      </c>
      <c r="C682" s="10"/>
      <c r="D682" s="10"/>
      <c r="E682" s="10"/>
      <c r="F682" s="30"/>
      <c r="G682" s="10"/>
      <c r="H682" s="26"/>
      <c r="I682" s="10"/>
      <c r="J682" s="30"/>
      <c r="K682" s="30"/>
      <c r="L682" s="11"/>
      <c r="M682" s="22"/>
    </row>
    <row r="683" spans="1:14" s="45" customFormat="1" ht="39.950000000000003" customHeight="1" x14ac:dyDescent="0.25">
      <c r="A683" s="70">
        <v>1.1000000000000001</v>
      </c>
      <c r="B683" s="40" t="s">
        <v>1187</v>
      </c>
      <c r="C683" s="41" t="s">
        <v>66</v>
      </c>
      <c r="D683" s="41"/>
      <c r="E683" s="41">
        <v>1</v>
      </c>
      <c r="F683" s="42"/>
      <c r="G683" s="42"/>
      <c r="H683" s="42"/>
      <c r="I683" s="42"/>
      <c r="J683" s="42"/>
      <c r="K683" s="42"/>
      <c r="L683" s="43" t="e">
        <f>SUM(L684:L687)</f>
        <v>#REF!</v>
      </c>
      <c r="M683" s="57" t="s">
        <v>1188</v>
      </c>
      <c r="N683" s="107"/>
    </row>
    <row r="684" spans="1:14" ht="39.950000000000003" customHeight="1" x14ac:dyDescent="0.25">
      <c r="A684" s="16" t="s">
        <v>668</v>
      </c>
      <c r="B684" s="17" t="s">
        <v>669</v>
      </c>
      <c r="C684" s="2" t="s">
        <v>670</v>
      </c>
      <c r="D684" s="2">
        <f>3.5*0.8</f>
        <v>2.8000000000000003</v>
      </c>
      <c r="E684" s="14">
        <f>D684*E683</f>
        <v>2.8000000000000003</v>
      </c>
      <c r="F684" s="13"/>
      <c r="G684" s="13"/>
      <c r="H684" s="27">
        <f>IF((ISNUMBER(--LEFT(M683,2))),VLOOKUP(--LEFT(M683,2),N!$A$5:$C$54,3,FALSE),VLOOKUP(--LEFT(M683,1),N!$A$5:$C$54,3,FALSE))</f>
        <v>6</v>
      </c>
      <c r="I684" s="14">
        <f>ROUND(E684*H684,2)</f>
        <v>16.8</v>
      </c>
      <c r="J684" s="13"/>
      <c r="K684" s="13"/>
      <c r="L684" s="14">
        <f>G684+I684+K684</f>
        <v>16.8</v>
      </c>
      <c r="M684" s="23" t="str">
        <f>(IF(ISNUMBER(MATCH(B684,E!$B$6:$B$197,0)),VLOOKUP(B684,E!$B$6:$E$197,4,FALSE),VLOOKUP(B684,M!$B$6:$I$733,7,FALSE)))</f>
        <v>მ.ც</v>
      </c>
      <c r="N684" s="106"/>
    </row>
    <row r="685" spans="1:14" ht="39.950000000000003" customHeight="1" x14ac:dyDescent="0.25">
      <c r="A685" s="16" t="s">
        <v>715</v>
      </c>
      <c r="B685" s="17" t="s">
        <v>867</v>
      </c>
      <c r="C685" s="2" t="s">
        <v>672</v>
      </c>
      <c r="D685" s="2">
        <f>0.43*0.8</f>
        <v>0.34400000000000003</v>
      </c>
      <c r="E685" s="14">
        <f>D685*E683</f>
        <v>0.34400000000000003</v>
      </c>
      <c r="F685" s="13"/>
      <c r="G685" s="13"/>
      <c r="H685" s="13"/>
      <c r="I685" s="14"/>
      <c r="J685" s="35">
        <f>ROUND(IF(ISNUMBER(MATCH(B685,E!$B$6:$B$197,0)),VLOOKUP(B685,E!$B$6:$E$197,2,FALSE),IF(#REF!="დიახ",IF(VLOOKUP(B685,M!$B$6:$I$733,8,FALSE)="ლ",VLOOKUP(B685,M!$B$6:$I$733,3,FALSE)*0.001*#REF!*#REF!,IF(VLOOKUP(B685,M!$B$6:$I$733,8,FALSE)="მბ",VLOOKUP(B685,M!$B$6:$I$733,3,FALSE)*0.001*#REF!*#REF!,IF(VLOOKUP(B685,M!$B$6:$I$733,8,FALSE)="აბ",VLOOKUP(B685,M!$B$6:$I$733,3,FALSE)*0.001*#REF!*#REF!,IF(VLOOKUP(B685,M!$B$6:$I$733,8,FALSE)="ინ",VLOOKUP(B685,M!$B$6:$I$733,3,FALSE)*0.001*#REF!*#REF!,IF(VLOOKUP(B685,M!$B$6:$I$733,8,FALSE)="ას",VLOOKUP(B685,M!$B$6:$I$733,3,FALSE)*0.001*#REF!*#REF!,IF(VLOOKUP(B685,M!$B$6:$I$733,8,FALSE)="სხ",VLOOKUP(B685,M!$B$6:$I$733,3,FALSE)*0.001*#REF!*#REF!,IF(VLOOKUP(B685,M!$B$6:$I$733,8,FALSE)="ხმ",VLOOKUP(B685,M!$B$6:$I$733,3,FALSE)*0.001*#REF!*#REF!))))))))),2)</f>
        <v>30.29</v>
      </c>
      <c r="K685" s="14">
        <f>ROUND(E685*J685,2)</f>
        <v>10.42</v>
      </c>
      <c r="L685" s="14">
        <f>G685+I685+K685</f>
        <v>10.42</v>
      </c>
      <c r="M685" s="23" t="str">
        <f>(IF(ISNUMBER(MATCH(B685,E!$B$6:$B$197,0)),VLOOKUP(B685,E!$B$6:$E$197,4,FALSE),VLOOKUP(B685,M!$B$6:$I$733,7,FALSE)))</f>
        <v>14-299</v>
      </c>
      <c r="N685" s="106"/>
    </row>
    <row r="686" spans="1:14" ht="39.950000000000003" customHeight="1" x14ac:dyDescent="0.25">
      <c r="A686" s="16" t="s">
        <v>716</v>
      </c>
      <c r="B686" s="17" t="s">
        <v>654</v>
      </c>
      <c r="C686" s="2" t="s">
        <v>393</v>
      </c>
      <c r="D686" s="2">
        <f>0.75*0.8</f>
        <v>0.60000000000000009</v>
      </c>
      <c r="E686" s="14">
        <f>D686*E683</f>
        <v>0.60000000000000009</v>
      </c>
      <c r="F686" s="13"/>
      <c r="G686" s="13"/>
      <c r="H686" s="13"/>
      <c r="I686" s="13"/>
      <c r="J686" s="35">
        <f>ROUND(IF(ISNUMBER(MATCH(B686,E!$B$6:$B$197,0)),VLOOKUP(B686,E!$B$6:$E$197,2,FALSE),IF(#REF!="დიახ",IF(VLOOKUP(B686,M!$B$6:$I$733,8,FALSE)="ლ",VLOOKUP(B686,M!$B$6:$I$733,3,FALSE)*0.001*#REF!*#REF!,IF(VLOOKUP(B686,M!$B$6:$I$733,8,FALSE)="მბ",VLOOKUP(B686,M!$B$6:$I$733,3,FALSE)*0.001*#REF!*#REF!,IF(VLOOKUP(B686,M!$B$6:$I$733,8,FALSE)="აბ",VLOOKUP(B686,M!$B$6:$I$733,3,FALSE)*0.001*#REF!*#REF!,IF(VLOOKUP(B686,M!$B$6:$I$733,8,FALSE)="ინ",VLOOKUP(B686,M!$B$6:$I$733,3,FALSE)*0.001*#REF!*#REF!,IF(VLOOKUP(B686,M!$B$6:$I$733,8,FALSE)="ას",VLOOKUP(B686,M!$B$6:$I$733,3,FALSE)*0.001*#REF!*#REF!,IF(VLOOKUP(B686,M!$B$6:$I$733,8,FALSE)="სხ",VLOOKUP(B686,M!$B$6:$I$733,3,FALSE)*0.001*#REF!*#REF!,IF(VLOOKUP(B686,M!$B$6:$I$733,8,FALSE)="ხმ",VLOOKUP(B686,M!$B$6:$I$733,3,FALSE)*0.001*#REF!*#REF!))))))))),2)</f>
        <v>3.2</v>
      </c>
      <c r="K686" s="14">
        <f>ROUND(E686*J686,2)</f>
        <v>1.92</v>
      </c>
      <c r="L686" s="14">
        <f>G686+I686+K686</f>
        <v>1.92</v>
      </c>
      <c r="M686" s="23" t="str">
        <f>(IF(ISNUMBER(MATCH(B686,E!$B$6:$B$197,0)),VLOOKUP(B686,E!$B$6:$E$197,4,FALSE),VLOOKUP(B686,M!$B$6:$I$733,7,FALSE)))</f>
        <v>ს.რ.ფ</v>
      </c>
      <c r="N686" s="106"/>
    </row>
    <row r="687" spans="1:14" ht="39.75" customHeight="1" x14ac:dyDescent="0.25">
      <c r="A687" s="16" t="s">
        <v>717</v>
      </c>
      <c r="B687" s="17" t="s">
        <v>677</v>
      </c>
      <c r="C687" s="2" t="s">
        <v>393</v>
      </c>
      <c r="D687" s="2">
        <f>0.15*0.8</f>
        <v>0.12</v>
      </c>
      <c r="E687" s="14">
        <f>D687*E683</f>
        <v>0.12</v>
      </c>
      <c r="F687" s="31" t="e">
        <f>ROUND(VLOOKUP(B687,M!$B$6:$H$733,IF(#REF!="დაბალი",4,IF(#REF!="საშუალო",6,IF(#REF!="მაღალი",5))),FALSE),2)</f>
        <v>#REF!</v>
      </c>
      <c r="G687" s="14" t="e">
        <f>ROUND(E687*F687,2)</f>
        <v>#REF!</v>
      </c>
      <c r="H687" s="13"/>
      <c r="I687" s="13"/>
      <c r="J687" s="13"/>
      <c r="K687" s="13"/>
      <c r="L687" s="14" t="e">
        <f>G687+I687+K687</f>
        <v>#REF!</v>
      </c>
      <c r="M687" s="23" t="str">
        <f>(IF(ISNUMBER(MATCH(B687,E!$B$6:$B$197,0)),VLOOKUP(B687,E!$B$6:$E$197,4,FALSE),VLOOKUP(B687,M!$B$6:$I$733,7,FALSE)))</f>
        <v>ს.რ.ფ</v>
      </c>
      <c r="N687" s="106"/>
    </row>
    <row r="688" spans="1:14" s="45" customFormat="1" ht="39.950000000000003" customHeight="1" x14ac:dyDescent="0.25">
      <c r="A688" s="70">
        <v>1.1000000000000001</v>
      </c>
      <c r="B688" s="40" t="s">
        <v>1189</v>
      </c>
      <c r="C688" s="41" t="s">
        <v>66</v>
      </c>
      <c r="D688" s="41"/>
      <c r="E688" s="41">
        <v>1</v>
      </c>
      <c r="F688" s="42"/>
      <c r="G688" s="42"/>
      <c r="H688" s="42"/>
      <c r="I688" s="42"/>
      <c r="J688" s="42"/>
      <c r="K688" s="42"/>
      <c r="L688" s="43" t="e">
        <f>SUM(L689:L692)</f>
        <v>#REF!</v>
      </c>
      <c r="M688" s="57" t="s">
        <v>1190</v>
      </c>
      <c r="N688" s="107"/>
    </row>
    <row r="689" spans="1:14" ht="39.950000000000003" customHeight="1" x14ac:dyDescent="0.25">
      <c r="A689" s="16" t="s">
        <v>668</v>
      </c>
      <c r="B689" s="17" t="s">
        <v>669</v>
      </c>
      <c r="C689" s="2" t="s">
        <v>670</v>
      </c>
      <c r="D689" s="2">
        <v>3.5</v>
      </c>
      <c r="E689" s="14">
        <f>D689*E688</f>
        <v>3.5</v>
      </c>
      <c r="F689" s="13"/>
      <c r="G689" s="13"/>
      <c r="H689" s="13">
        <v>6</v>
      </c>
      <c r="I689" s="14">
        <f>ROUND(E689*H689,2)</f>
        <v>21</v>
      </c>
      <c r="J689" s="13"/>
      <c r="K689" s="13"/>
      <c r="L689" s="14">
        <f t="shared" ref="L689:L692" si="214">G689+I689+K689</f>
        <v>21</v>
      </c>
      <c r="M689" s="23" t="str">
        <f>(IF(ISNUMBER(MATCH(B689,E!$B$6:$B$197,0)),VLOOKUP(B689,E!$B$6:$E$197,4,FALSE),VLOOKUP(B689,M!$B$6:$I$733,7,FALSE)))</f>
        <v>მ.ც</v>
      </c>
      <c r="N689" s="106"/>
    </row>
    <row r="690" spans="1:14" ht="39.950000000000003" customHeight="1" x14ac:dyDescent="0.25">
      <c r="A690" s="16" t="s">
        <v>715</v>
      </c>
      <c r="B690" s="17" t="s">
        <v>867</v>
      </c>
      <c r="C690" s="2" t="s">
        <v>672</v>
      </c>
      <c r="D690" s="2">
        <v>0.43</v>
      </c>
      <c r="E690" s="14">
        <f>D690*E688</f>
        <v>0.43</v>
      </c>
      <c r="F690" s="13"/>
      <c r="G690" s="13"/>
      <c r="H690" s="13"/>
      <c r="I690" s="14"/>
      <c r="J690" s="35">
        <f>ROUND(IF(ISNUMBER(MATCH(B690,E!$B$6:$B$197,0)),VLOOKUP(B690,E!$B$6:$E$197,2,FALSE),IF(#REF!="დიახ",IF(VLOOKUP(B690,M!$B$6:$I$733,8,FALSE)="ლ",VLOOKUP(B690,M!$B$6:$I$733,3,FALSE)*0.001*#REF!*#REF!,IF(VLOOKUP(B690,M!$B$6:$I$733,8,FALSE)="მბ",VLOOKUP(B690,M!$B$6:$I$733,3,FALSE)*0.001*#REF!*#REF!,IF(VLOOKUP(B690,M!$B$6:$I$733,8,FALSE)="აბ",VLOOKUP(B690,M!$B$6:$I$733,3,FALSE)*0.001*#REF!*#REF!,IF(VLOOKUP(B690,M!$B$6:$I$733,8,FALSE)="ინ",VLOOKUP(B690,M!$B$6:$I$733,3,FALSE)*0.001*#REF!*#REF!,IF(VLOOKUP(B690,M!$B$6:$I$733,8,FALSE)="ას",VLOOKUP(B690,M!$B$6:$I$733,3,FALSE)*0.001*#REF!*#REF!,IF(VLOOKUP(B690,M!$B$6:$I$733,8,FALSE)="სხ",VLOOKUP(B690,M!$B$6:$I$733,3,FALSE)*0.001*#REF!*#REF!,IF(VLOOKUP(B690,M!$B$6:$I$733,8,FALSE)="ხმ",VLOOKUP(B690,M!$B$6:$I$733,3,FALSE)*0.001*#REF!*#REF!))))))))),2)</f>
        <v>30.29</v>
      </c>
      <c r="K690" s="14">
        <f>ROUND(E690*J690,2)</f>
        <v>13.02</v>
      </c>
      <c r="L690" s="14">
        <f t="shared" si="214"/>
        <v>13.02</v>
      </c>
      <c r="M690" s="23" t="str">
        <f>(IF(ISNUMBER(MATCH(B690,E!$B$6:$B$197,0)),VLOOKUP(B690,E!$B$6:$E$197,4,FALSE),VLOOKUP(B690,M!$B$6:$I$733,7,FALSE)))</f>
        <v>14-299</v>
      </c>
      <c r="N690" s="106"/>
    </row>
    <row r="691" spans="1:14" ht="39.950000000000003" customHeight="1" x14ac:dyDescent="0.25">
      <c r="A691" s="16" t="s">
        <v>716</v>
      </c>
      <c r="B691" s="17" t="s">
        <v>654</v>
      </c>
      <c r="C691" s="2" t="s">
        <v>393</v>
      </c>
      <c r="D691" s="2">
        <v>0.75</v>
      </c>
      <c r="E691" s="14">
        <f>D691*E688</f>
        <v>0.75</v>
      </c>
      <c r="F691" s="13"/>
      <c r="G691" s="13"/>
      <c r="H691" s="13"/>
      <c r="I691" s="13"/>
      <c r="J691" s="35">
        <f>ROUND(IF(ISNUMBER(MATCH(B691,E!$B$6:$B$197,0)),VLOOKUP(B691,E!$B$6:$E$197,2,FALSE),IF(#REF!="დიახ",IF(VLOOKUP(B691,M!$B$6:$I$733,8,FALSE)="ლ",VLOOKUP(B691,M!$B$6:$I$733,3,FALSE)*0.001*#REF!*#REF!,IF(VLOOKUP(B691,M!$B$6:$I$733,8,FALSE)="მბ",VLOOKUP(B691,M!$B$6:$I$733,3,FALSE)*0.001*#REF!*#REF!,IF(VLOOKUP(B691,M!$B$6:$I$733,8,FALSE)="აბ",VLOOKUP(B691,M!$B$6:$I$733,3,FALSE)*0.001*#REF!*#REF!,IF(VLOOKUP(B691,M!$B$6:$I$733,8,FALSE)="ინ",VLOOKUP(B691,M!$B$6:$I$733,3,FALSE)*0.001*#REF!*#REF!,IF(VLOOKUP(B691,M!$B$6:$I$733,8,FALSE)="ას",VLOOKUP(B691,M!$B$6:$I$733,3,FALSE)*0.001*#REF!*#REF!,IF(VLOOKUP(B691,M!$B$6:$I$733,8,FALSE)="სხ",VLOOKUP(B691,M!$B$6:$I$733,3,FALSE)*0.001*#REF!*#REF!,IF(VLOOKUP(B691,M!$B$6:$I$733,8,FALSE)="ხმ",VLOOKUP(B691,M!$B$6:$I$733,3,FALSE)*0.001*#REF!*#REF!))))))))),2)</f>
        <v>3.2</v>
      </c>
      <c r="K691" s="14">
        <f>ROUND(E691*J691,2)</f>
        <v>2.4</v>
      </c>
      <c r="L691" s="14">
        <f t="shared" si="214"/>
        <v>2.4</v>
      </c>
      <c r="M691" s="23" t="str">
        <f>(IF(ISNUMBER(MATCH(B691,E!$B$6:$B$197,0)),VLOOKUP(B691,E!$B$6:$E$197,4,FALSE),VLOOKUP(B691,M!$B$6:$I$733,7,FALSE)))</f>
        <v>ს.რ.ფ</v>
      </c>
      <c r="N691" s="106"/>
    </row>
    <row r="692" spans="1:14" ht="39.75" customHeight="1" x14ac:dyDescent="0.25">
      <c r="A692" s="16" t="s">
        <v>717</v>
      </c>
      <c r="B692" s="17" t="s">
        <v>677</v>
      </c>
      <c r="C692" s="2" t="s">
        <v>393</v>
      </c>
      <c r="D692" s="2">
        <v>0.15</v>
      </c>
      <c r="E692" s="14">
        <f>D692*E688</f>
        <v>0.15</v>
      </c>
      <c r="F692" s="31" t="e">
        <f>ROUND(VLOOKUP(B692,M!$B$6:$H$733,IF(#REF!="დაბალი",4,IF(#REF!="საშუალო",6,IF(#REF!="მაღალი",5))),FALSE),2)</f>
        <v>#REF!</v>
      </c>
      <c r="G692" s="14" t="e">
        <f>ROUND(E692*F692,2)</f>
        <v>#REF!</v>
      </c>
      <c r="H692" s="13"/>
      <c r="I692" s="13"/>
      <c r="J692" s="13"/>
      <c r="K692" s="13"/>
      <c r="L692" s="14" t="e">
        <f t="shared" si="214"/>
        <v>#REF!</v>
      </c>
      <c r="M692" s="23" t="str">
        <f>(IF(ISNUMBER(MATCH(B692,E!$B$6:$B$197,0)),VLOOKUP(B692,E!$B$6:$E$197,4,FALSE),VLOOKUP(B692,M!$B$6:$I$733,7,FALSE)))</f>
        <v>ს.რ.ფ</v>
      </c>
      <c r="N692" s="106"/>
    </row>
    <row r="693" spans="1:14" s="45" customFormat="1" ht="39.950000000000003" customHeight="1" x14ac:dyDescent="0.25">
      <c r="A693" s="70">
        <v>1.1000000000000001</v>
      </c>
      <c r="B693" s="40" t="s">
        <v>1191</v>
      </c>
      <c r="C693" s="41" t="s">
        <v>847</v>
      </c>
      <c r="D693" s="41"/>
      <c r="E693" s="51">
        <v>1000</v>
      </c>
      <c r="F693" s="42"/>
      <c r="G693" s="42"/>
      <c r="H693" s="42"/>
      <c r="I693" s="42"/>
      <c r="J693" s="42"/>
      <c r="K693" s="42"/>
      <c r="L693" s="43">
        <f>SUM(L694:L697)</f>
        <v>105.82999999999998</v>
      </c>
      <c r="M693" s="57" t="s">
        <v>1192</v>
      </c>
      <c r="N693" s="107"/>
    </row>
    <row r="694" spans="1:14" ht="39.950000000000003" customHeight="1" x14ac:dyDescent="0.25">
      <c r="A694" s="16" t="s">
        <v>668</v>
      </c>
      <c r="B694" s="17" t="s">
        <v>669</v>
      </c>
      <c r="C694" s="2" t="s">
        <v>670</v>
      </c>
      <c r="D694" s="2">
        <f>24.7*0.3</f>
        <v>7.4099999999999993</v>
      </c>
      <c r="E694" s="14">
        <f>D694*E693/1000</f>
        <v>7.4099999999999993</v>
      </c>
      <c r="F694" s="13"/>
      <c r="G694" s="13"/>
      <c r="H694" s="13">
        <v>6</v>
      </c>
      <c r="I694" s="14">
        <f>ROUND(E694*H694,2)</f>
        <v>44.46</v>
      </c>
      <c r="J694" s="13"/>
      <c r="K694" s="13"/>
      <c r="L694" s="14">
        <f>G694+I694+K694</f>
        <v>44.46</v>
      </c>
      <c r="M694" s="23" t="str">
        <f>(IF(ISNUMBER(MATCH(B694,E!$B$6:$B$197,0)),VLOOKUP(B694,E!$B$6:$E$197,4,FALSE),VLOOKUP(B694,M!$B$6:$I$733,7,FALSE)))</f>
        <v>მ.ც</v>
      </c>
      <c r="N694" s="106"/>
    </row>
    <row r="695" spans="1:14" ht="39.950000000000003" customHeight="1" x14ac:dyDescent="0.25">
      <c r="A695" s="16" t="s">
        <v>715</v>
      </c>
      <c r="B695" s="2" t="s">
        <v>1195</v>
      </c>
      <c r="C695" s="2" t="s">
        <v>672</v>
      </c>
      <c r="D695" s="2">
        <f>3.64*0.3</f>
        <v>1.0920000000000001</v>
      </c>
      <c r="E695" s="14">
        <f>D695*E693/1000</f>
        <v>1.0920000000000001</v>
      </c>
      <c r="F695" s="13"/>
      <c r="G695" s="13"/>
      <c r="H695" s="13"/>
      <c r="I695" s="14"/>
      <c r="J695" s="35">
        <f>ROUND(IF(ISNUMBER(MATCH(B695,E!$B$6:$B$197,0)),VLOOKUP(B695,E!$B$6:$E$197,2,FALSE),IF(#REF!="დიახ",IF(VLOOKUP(B695,M!$B$6:$I$733,8,FALSE)="ლ",VLOOKUP(B695,M!$B$6:$I$733,3,FALSE)*0.001*#REF!*#REF!,IF(VLOOKUP(B695,M!$B$6:$I$733,8,FALSE)="მბ",VLOOKUP(B695,M!$B$6:$I$733,3,FALSE)*0.001*#REF!*#REF!,IF(VLOOKUP(B695,M!$B$6:$I$733,8,FALSE)="აბ",VLOOKUP(B695,M!$B$6:$I$733,3,FALSE)*0.001*#REF!*#REF!,IF(VLOOKUP(B695,M!$B$6:$I$733,8,FALSE)="ინ",VLOOKUP(B695,M!$B$6:$I$733,3,FALSE)*0.001*#REF!*#REF!,IF(VLOOKUP(B695,M!$B$6:$I$733,8,FALSE)="ას",VLOOKUP(B695,M!$B$6:$I$733,3,FALSE)*0.001*#REF!*#REF!,IF(VLOOKUP(B695,M!$B$6:$I$733,8,FALSE)="სხ",VLOOKUP(B695,M!$B$6:$I$733,3,FALSE)*0.001*#REF!*#REF!,IF(VLOOKUP(B695,M!$B$6:$I$733,8,FALSE)="ხმ",VLOOKUP(B695,M!$B$6:$I$733,3,FALSE)*0.001*#REF!*#REF!))))))))),2)</f>
        <v>28.69</v>
      </c>
      <c r="K695" s="14">
        <f>ROUND(E695*J695,2)</f>
        <v>31.33</v>
      </c>
      <c r="L695" s="14">
        <f>G695+I695+K695</f>
        <v>31.33</v>
      </c>
      <c r="M695" s="23" t="str">
        <f>(IF(ISNUMBER(MATCH(B695,E!$B$6:$B$197,0)),VLOOKUP(B695,E!$B$6:$E$197,4,FALSE),VLOOKUP(B695,M!$B$6:$I$733,7,FALSE)))</f>
        <v>14-80</v>
      </c>
      <c r="N695" s="106"/>
    </row>
    <row r="696" spans="1:14" ht="39.950000000000003" customHeight="1" x14ac:dyDescent="0.25">
      <c r="A696" s="16" t="s">
        <v>716</v>
      </c>
      <c r="B696" s="2" t="s">
        <v>162</v>
      </c>
      <c r="C696" s="2" t="s">
        <v>672</v>
      </c>
      <c r="D696" s="2">
        <f>2.67*0.3</f>
        <v>0.80099999999999993</v>
      </c>
      <c r="E696" s="14">
        <f>D696*E693/1000</f>
        <v>0.80099999999999993</v>
      </c>
      <c r="F696" s="13"/>
      <c r="G696" s="13"/>
      <c r="H696" s="13"/>
      <c r="I696" s="14"/>
      <c r="J696" s="35">
        <f>ROUND(IF(ISNUMBER(MATCH(B696,E!$B$6:$B$197,0)),VLOOKUP(B696,E!$B$6:$E$197,2,FALSE),IF(#REF!="დიახ",IF(VLOOKUP(B696,M!$B$6:$I$733,8,FALSE)="ლ",VLOOKUP(B696,M!$B$6:$I$733,3,FALSE)*0.001*#REF!*#REF!,IF(VLOOKUP(B696,M!$B$6:$I$733,8,FALSE)="მბ",VLOOKUP(B696,M!$B$6:$I$733,3,FALSE)*0.001*#REF!*#REF!,IF(VLOOKUP(B696,M!$B$6:$I$733,8,FALSE)="აბ",VLOOKUP(B696,M!$B$6:$I$733,3,FALSE)*0.001*#REF!*#REF!,IF(VLOOKUP(B696,M!$B$6:$I$733,8,FALSE)="ინ",VLOOKUP(B696,M!$B$6:$I$733,3,FALSE)*0.001*#REF!*#REF!,IF(VLOOKUP(B696,M!$B$6:$I$733,8,FALSE)="ას",VLOOKUP(B696,M!$B$6:$I$733,3,FALSE)*0.001*#REF!*#REF!,IF(VLOOKUP(B696,M!$B$6:$I$733,8,FALSE)="სხ",VLOOKUP(B696,M!$B$6:$I$733,3,FALSE)*0.001*#REF!*#REF!,IF(VLOOKUP(B696,M!$B$6:$I$733,8,FALSE)="ხმ",VLOOKUP(B696,M!$B$6:$I$733,3,FALSE)*0.001*#REF!*#REF!))))))))),2)</f>
        <v>34.74</v>
      </c>
      <c r="K696" s="14">
        <f>ROUND(E696*J696,2)</f>
        <v>27.83</v>
      </c>
      <c r="L696" s="14">
        <f>G696+I696+K696</f>
        <v>27.83</v>
      </c>
      <c r="M696" s="23" t="str">
        <f>(IF(ISNUMBER(MATCH(B696,E!$B$6:$B$197,0)),VLOOKUP(B696,E!$B$6:$E$197,4,FALSE),VLOOKUP(B696,M!$B$6:$I$733,7,FALSE)))</f>
        <v>14-7</v>
      </c>
      <c r="N696" s="106"/>
    </row>
    <row r="697" spans="1:14" ht="39.75" customHeight="1" x14ac:dyDescent="0.25">
      <c r="A697" s="16" t="s">
        <v>717</v>
      </c>
      <c r="B697" s="17" t="s">
        <v>654</v>
      </c>
      <c r="C697" s="2" t="s">
        <v>393</v>
      </c>
      <c r="D697" s="2">
        <f>2.3*0.3</f>
        <v>0.69</v>
      </c>
      <c r="E697" s="14">
        <f>D697*E693/1000</f>
        <v>0.69</v>
      </c>
      <c r="F697" s="13"/>
      <c r="G697" s="13"/>
      <c r="H697" s="13"/>
      <c r="I697" s="13"/>
      <c r="J697" s="35">
        <f>ROUND(IF(ISNUMBER(MATCH(B697,E!$B$6:$B$197,0)),VLOOKUP(B697,E!$B$6:$E$197,2,FALSE),IF(#REF!="დიახ",IF(VLOOKUP(B697,M!$B$6:$I$733,8,FALSE)="ლ",VLOOKUP(B697,M!$B$6:$I$733,3,FALSE)*0.001*#REF!*#REF!,IF(VLOOKUP(B697,M!$B$6:$I$733,8,FALSE)="მბ",VLOOKUP(B697,M!$B$6:$I$733,3,FALSE)*0.001*#REF!*#REF!,IF(VLOOKUP(B697,M!$B$6:$I$733,8,FALSE)="აბ",VLOOKUP(B697,M!$B$6:$I$733,3,FALSE)*0.001*#REF!*#REF!,IF(VLOOKUP(B697,M!$B$6:$I$733,8,FALSE)="ინ",VLOOKUP(B697,M!$B$6:$I$733,3,FALSE)*0.001*#REF!*#REF!,IF(VLOOKUP(B697,M!$B$6:$I$733,8,FALSE)="ას",VLOOKUP(B697,M!$B$6:$I$733,3,FALSE)*0.001*#REF!*#REF!,IF(VLOOKUP(B697,M!$B$6:$I$733,8,FALSE)="სხ",VLOOKUP(B697,M!$B$6:$I$733,3,FALSE)*0.001*#REF!*#REF!,IF(VLOOKUP(B697,M!$B$6:$I$733,8,FALSE)="ხმ",VLOOKUP(B697,M!$B$6:$I$733,3,FALSE)*0.001*#REF!*#REF!))))))))),2)</f>
        <v>3.2</v>
      </c>
      <c r="K697" s="14">
        <f>ROUND(E697*J697,2)</f>
        <v>2.21</v>
      </c>
      <c r="L697" s="14">
        <f>G697+I697+K697</f>
        <v>2.21</v>
      </c>
      <c r="M697" s="23" t="str">
        <f>(IF(ISNUMBER(MATCH(B697,E!$B$6:$B$197,0)),VLOOKUP(B697,E!$B$6:$E$197,4,FALSE),VLOOKUP(B697,M!$B$6:$I$733,7,FALSE)))</f>
        <v>ს.რ.ფ</v>
      </c>
      <c r="N697" s="106"/>
    </row>
    <row r="698" spans="1:14" s="45" customFormat="1" ht="39.950000000000003" customHeight="1" x14ac:dyDescent="0.25">
      <c r="A698" s="70">
        <v>1.1000000000000001</v>
      </c>
      <c r="B698" s="40" t="s">
        <v>1193</v>
      </c>
      <c r="C698" s="41" t="s">
        <v>847</v>
      </c>
      <c r="D698" s="41"/>
      <c r="E698" s="51">
        <v>1000</v>
      </c>
      <c r="F698" s="42"/>
      <c r="G698" s="42"/>
      <c r="H698" s="42"/>
      <c r="I698" s="42"/>
      <c r="J698" s="42"/>
      <c r="K698" s="42"/>
      <c r="L698" s="43" t="e">
        <f>SUM(L699:L703)</f>
        <v>#REF!</v>
      </c>
      <c r="M698" s="57" t="s">
        <v>1194</v>
      </c>
      <c r="N698" s="107"/>
    </row>
    <row r="699" spans="1:14" ht="39.950000000000003" customHeight="1" x14ac:dyDescent="0.25">
      <c r="A699" s="16" t="s">
        <v>668</v>
      </c>
      <c r="B699" s="17" t="s">
        <v>669</v>
      </c>
      <c r="C699" s="2" t="s">
        <v>670</v>
      </c>
      <c r="D699" s="2">
        <v>24.7</v>
      </c>
      <c r="E699" s="14">
        <f>D699*E698/1000</f>
        <v>24.7</v>
      </c>
      <c r="F699" s="13"/>
      <c r="G699" s="13"/>
      <c r="H699" s="13">
        <v>6</v>
      </c>
      <c r="I699" s="14">
        <f>ROUND(E699*H699,2)</f>
        <v>148.19999999999999</v>
      </c>
      <c r="J699" s="13"/>
      <c r="K699" s="13"/>
      <c r="L699" s="14">
        <f>G699+I699+K699</f>
        <v>148.19999999999999</v>
      </c>
      <c r="M699" s="23" t="str">
        <f>(IF(ISNUMBER(MATCH(B699,E!$B$6:$B$197,0)),VLOOKUP(B699,E!$B$6:$E$197,4,FALSE),VLOOKUP(B699,M!$B$6:$I$733,7,FALSE)))</f>
        <v>მ.ც</v>
      </c>
      <c r="N699" s="106"/>
    </row>
    <row r="700" spans="1:14" ht="39.950000000000003" customHeight="1" x14ac:dyDescent="0.25">
      <c r="A700" s="16" t="s">
        <v>671</v>
      </c>
      <c r="B700" s="2" t="s">
        <v>1195</v>
      </c>
      <c r="C700" s="2" t="s">
        <v>672</v>
      </c>
      <c r="D700" s="2">
        <v>3.64</v>
      </c>
      <c r="E700" s="14">
        <f>D700*E698/1000</f>
        <v>3.64</v>
      </c>
      <c r="F700" s="13"/>
      <c r="G700" s="13"/>
      <c r="H700" s="13"/>
      <c r="I700" s="14"/>
      <c r="J700" s="35">
        <f>ROUND(IF(ISNUMBER(MATCH(B700,E!$B$6:$B$197,0)),VLOOKUP(B700,E!$B$6:$E$197,2,FALSE),IF(#REF!="დიახ",IF(VLOOKUP(B700,M!$B$6:$I$733,8,FALSE)="ლ",VLOOKUP(B700,M!$B$6:$I$733,3,FALSE)*0.001*#REF!*#REF!,IF(VLOOKUP(B700,M!$B$6:$I$733,8,FALSE)="მბ",VLOOKUP(B700,M!$B$6:$I$733,3,FALSE)*0.001*#REF!*#REF!,IF(VLOOKUP(B700,M!$B$6:$I$733,8,FALSE)="აბ",VLOOKUP(B700,M!$B$6:$I$733,3,FALSE)*0.001*#REF!*#REF!,IF(VLOOKUP(B700,M!$B$6:$I$733,8,FALSE)="ინ",VLOOKUP(B700,M!$B$6:$I$733,3,FALSE)*0.001*#REF!*#REF!,IF(VLOOKUP(B700,M!$B$6:$I$733,8,FALSE)="ას",VLOOKUP(B700,M!$B$6:$I$733,3,FALSE)*0.001*#REF!*#REF!,IF(VLOOKUP(B700,M!$B$6:$I$733,8,FALSE)="სხ",VLOOKUP(B700,M!$B$6:$I$733,3,FALSE)*0.001*#REF!*#REF!,IF(VLOOKUP(B700,M!$B$6:$I$733,8,FALSE)="ხმ",VLOOKUP(B700,M!$B$6:$I$733,3,FALSE)*0.001*#REF!*#REF!))))))))),2)</f>
        <v>28.69</v>
      </c>
      <c r="K700" s="14">
        <f>ROUND(E700*J700,2)</f>
        <v>104.43</v>
      </c>
      <c r="L700" s="14">
        <f>G700+I700+K700</f>
        <v>104.43</v>
      </c>
      <c r="M700" s="23" t="str">
        <f>(IF(ISNUMBER(MATCH(B700,E!$B$6:$B$197,0)),VLOOKUP(B700,E!$B$6:$E$197,4,FALSE),VLOOKUP(B700,M!$B$6:$I$733,7,FALSE)))</f>
        <v>14-80</v>
      </c>
      <c r="N700" s="106"/>
    </row>
    <row r="701" spans="1:14" ht="39.950000000000003" customHeight="1" x14ac:dyDescent="0.25">
      <c r="A701" s="16" t="s">
        <v>673</v>
      </c>
      <c r="B701" s="2" t="s">
        <v>162</v>
      </c>
      <c r="C701" s="2" t="s">
        <v>672</v>
      </c>
      <c r="D701" s="2">
        <v>2.67</v>
      </c>
      <c r="E701" s="14">
        <f>D701*E698/1000</f>
        <v>2.67</v>
      </c>
      <c r="F701" s="13"/>
      <c r="G701" s="13"/>
      <c r="H701" s="13"/>
      <c r="I701" s="14"/>
      <c r="J701" s="35">
        <f>ROUND(IF(ISNUMBER(MATCH(B701,E!$B$6:$B$197,0)),VLOOKUP(B701,E!$B$6:$E$197,2,FALSE),IF(#REF!="დიახ",IF(VLOOKUP(B701,M!$B$6:$I$733,8,FALSE)="ლ",VLOOKUP(B701,M!$B$6:$I$733,3,FALSE)*0.001*#REF!*#REF!,IF(VLOOKUP(B701,M!$B$6:$I$733,8,FALSE)="მბ",VLOOKUP(B701,M!$B$6:$I$733,3,FALSE)*0.001*#REF!*#REF!,IF(VLOOKUP(B701,M!$B$6:$I$733,8,FALSE)="აბ",VLOOKUP(B701,M!$B$6:$I$733,3,FALSE)*0.001*#REF!*#REF!,IF(VLOOKUP(B701,M!$B$6:$I$733,8,FALSE)="ინ",VLOOKUP(B701,M!$B$6:$I$733,3,FALSE)*0.001*#REF!*#REF!,IF(VLOOKUP(B701,M!$B$6:$I$733,8,FALSE)="ას",VLOOKUP(B701,M!$B$6:$I$733,3,FALSE)*0.001*#REF!*#REF!,IF(VLOOKUP(B701,M!$B$6:$I$733,8,FALSE)="სხ",VLOOKUP(B701,M!$B$6:$I$733,3,FALSE)*0.001*#REF!*#REF!,IF(VLOOKUP(B701,M!$B$6:$I$733,8,FALSE)="ხმ",VLOOKUP(B701,M!$B$6:$I$733,3,FALSE)*0.001*#REF!*#REF!))))))))),2)</f>
        <v>34.74</v>
      </c>
      <c r="K701" s="14">
        <f>ROUND(E701*J701,2)</f>
        <v>92.76</v>
      </c>
      <c r="L701" s="14">
        <f>G701+I701+K701</f>
        <v>92.76</v>
      </c>
      <c r="M701" s="23" t="str">
        <f>(IF(ISNUMBER(MATCH(B701,E!$B$6:$B$197,0)),VLOOKUP(B701,E!$B$6:$E$197,4,FALSE),VLOOKUP(B701,M!$B$6:$I$733,7,FALSE)))</f>
        <v>14-7</v>
      </c>
      <c r="N701" s="106"/>
    </row>
    <row r="702" spans="1:14" ht="39.75" customHeight="1" x14ac:dyDescent="0.25">
      <c r="A702" s="16" t="s">
        <v>675</v>
      </c>
      <c r="B702" s="17" t="s">
        <v>654</v>
      </c>
      <c r="C702" s="2" t="s">
        <v>393</v>
      </c>
      <c r="D702" s="2">
        <v>2.2999999999999998</v>
      </c>
      <c r="E702" s="14">
        <f>D702*E698/1000</f>
        <v>2.2999999999999998</v>
      </c>
      <c r="F702" s="13"/>
      <c r="G702" s="13"/>
      <c r="H702" s="13"/>
      <c r="I702" s="13"/>
      <c r="J702" s="35">
        <f>ROUND(IF(ISNUMBER(MATCH(B702,E!$B$6:$B$197,0)),VLOOKUP(B702,E!$B$6:$E$197,2,FALSE),IF(#REF!="დიახ",IF(VLOOKUP(B702,M!$B$6:$I$733,8,FALSE)="ლ",VLOOKUP(B702,M!$B$6:$I$733,3,FALSE)*0.001*#REF!*#REF!,IF(VLOOKUP(B702,M!$B$6:$I$733,8,FALSE)="მბ",VLOOKUP(B702,M!$B$6:$I$733,3,FALSE)*0.001*#REF!*#REF!,IF(VLOOKUP(B702,M!$B$6:$I$733,8,FALSE)="აბ",VLOOKUP(B702,M!$B$6:$I$733,3,FALSE)*0.001*#REF!*#REF!,IF(VLOOKUP(B702,M!$B$6:$I$733,8,FALSE)="ინ",VLOOKUP(B702,M!$B$6:$I$733,3,FALSE)*0.001*#REF!*#REF!,IF(VLOOKUP(B702,M!$B$6:$I$733,8,FALSE)="ას",VLOOKUP(B702,M!$B$6:$I$733,3,FALSE)*0.001*#REF!*#REF!,IF(VLOOKUP(B702,M!$B$6:$I$733,8,FALSE)="სხ",VLOOKUP(B702,M!$B$6:$I$733,3,FALSE)*0.001*#REF!*#REF!,IF(VLOOKUP(B702,M!$B$6:$I$733,8,FALSE)="ხმ",VLOOKUP(B702,M!$B$6:$I$733,3,FALSE)*0.001*#REF!*#REF!))))))))),2)</f>
        <v>3.2</v>
      </c>
      <c r="K702" s="14">
        <f>ROUND(E702*J702,2)</f>
        <v>7.36</v>
      </c>
      <c r="L702" s="14">
        <f>G702+I702+K702</f>
        <v>7.36</v>
      </c>
      <c r="M702" s="23" t="str">
        <f>(IF(ISNUMBER(MATCH(B702,E!$B$6:$B$197,0)),VLOOKUP(B702,E!$B$6:$E$197,4,FALSE),VLOOKUP(B702,M!$B$6:$I$733,7,FALSE)))</f>
        <v>ს.რ.ფ</v>
      </c>
      <c r="N702" s="106"/>
    </row>
    <row r="703" spans="1:14" ht="39.950000000000003" customHeight="1" x14ac:dyDescent="0.25">
      <c r="A703" s="16" t="s">
        <v>695</v>
      </c>
      <c r="B703" s="17" t="s">
        <v>677</v>
      </c>
      <c r="C703" s="2" t="s">
        <v>393</v>
      </c>
      <c r="D703" s="2">
        <v>3.32</v>
      </c>
      <c r="E703" s="14">
        <f>D703*E698/1000</f>
        <v>3.32</v>
      </c>
      <c r="F703" s="31" t="e">
        <f>ROUND(VLOOKUP(B703,M!$B$6:$H$733,IF(#REF!="დაბალი",4,IF(#REF!="საშუალო",6,IF(#REF!="მაღალი",5))),FALSE),2)</f>
        <v>#REF!</v>
      </c>
      <c r="G703" s="14" t="e">
        <f>ROUND(E703*F703,2)</f>
        <v>#REF!</v>
      </c>
      <c r="H703" s="13"/>
      <c r="I703" s="13"/>
      <c r="J703" s="13"/>
      <c r="K703" s="13"/>
      <c r="L703" s="14" t="e">
        <f>G703+I703+K703</f>
        <v>#REF!</v>
      </c>
      <c r="M703" s="23" t="str">
        <f>(IF(ISNUMBER(MATCH(B703,E!$B$6:$B$197,0)),VLOOKUP(B703,E!$B$6:$E$197,4,FALSE),VLOOKUP(B703,M!$B$6:$I$733,7,FALSE)))</f>
        <v>ს.რ.ფ</v>
      </c>
      <c r="N703" s="106"/>
    </row>
    <row r="704" spans="1:14" s="45" customFormat="1" ht="39.950000000000003" customHeight="1" x14ac:dyDescent="0.25">
      <c r="A704" s="70"/>
      <c r="B704" s="40"/>
      <c r="C704" s="41"/>
      <c r="D704" s="41"/>
      <c r="E704" s="52"/>
      <c r="F704" s="41"/>
      <c r="G704" s="41"/>
      <c r="H704" s="42"/>
      <c r="I704" s="42"/>
      <c r="J704" s="41"/>
      <c r="K704" s="41"/>
      <c r="L704" s="43"/>
      <c r="M704" s="72"/>
      <c r="N704" s="107"/>
    </row>
    <row r="705" spans="1:14" ht="39.950000000000003" customHeight="1" x14ac:dyDescent="0.25">
      <c r="A705" s="16"/>
      <c r="B705" s="17"/>
      <c r="C705" s="2"/>
      <c r="D705" s="69"/>
      <c r="E705" s="14"/>
      <c r="F705" s="13"/>
      <c r="G705" s="13"/>
      <c r="H705" s="27"/>
      <c r="I705" s="14"/>
      <c r="J705" s="2"/>
      <c r="K705" s="2"/>
      <c r="L705" s="14"/>
      <c r="M705" s="23"/>
      <c r="N705" s="106"/>
    </row>
    <row r="706" spans="1:14" ht="39.950000000000003" customHeight="1" x14ac:dyDescent="0.25">
      <c r="A706" s="16"/>
      <c r="B706" s="2"/>
      <c r="C706" s="2"/>
      <c r="D706" s="2"/>
      <c r="E706" s="14"/>
      <c r="F706" s="13"/>
      <c r="G706" s="13"/>
      <c r="H706" s="2"/>
      <c r="I706" s="2"/>
      <c r="J706" s="35"/>
      <c r="K706" s="14"/>
      <c r="L706" s="14"/>
      <c r="M706" s="23"/>
      <c r="N706" s="106"/>
    </row>
    <row r="707" spans="1:14" ht="39.950000000000003" customHeight="1" x14ac:dyDescent="0.25">
      <c r="A707" s="16"/>
      <c r="B707" s="17"/>
      <c r="C707" s="2"/>
      <c r="D707" s="14"/>
      <c r="E707" s="14"/>
      <c r="F707" s="13"/>
      <c r="G707" s="14"/>
      <c r="H707" s="2"/>
      <c r="I707" s="2"/>
      <c r="J707" s="35"/>
      <c r="K707" s="14"/>
      <c r="L707" s="14"/>
      <c r="M707" s="23"/>
      <c r="N707" s="106"/>
    </row>
    <row r="708" spans="1:14" ht="39.950000000000003" customHeight="1" x14ac:dyDescent="0.25">
      <c r="A708" s="16"/>
      <c r="B708" s="2"/>
      <c r="C708" s="2"/>
      <c r="D708" s="2"/>
      <c r="E708" s="14"/>
      <c r="F708" s="31"/>
      <c r="G708" s="14"/>
      <c r="H708" s="2"/>
      <c r="I708" s="2"/>
      <c r="J708" s="35"/>
      <c r="K708" s="14"/>
      <c r="L708" s="14"/>
      <c r="M708" s="23"/>
      <c r="N708" s="106"/>
    </row>
    <row r="709" spans="1:14" ht="39.950000000000003" customHeight="1" x14ac:dyDescent="0.25">
      <c r="A709" s="16"/>
      <c r="B709" s="17"/>
      <c r="C709" s="2"/>
      <c r="D709" s="2"/>
      <c r="E709" s="14"/>
      <c r="F709" s="31"/>
      <c r="G709" s="14"/>
      <c r="H709" s="13"/>
      <c r="I709" s="13"/>
      <c r="J709" s="35"/>
      <c r="K709" s="14"/>
      <c r="L709" s="14"/>
      <c r="M709" s="23"/>
      <c r="N709" s="106"/>
    </row>
    <row r="710" spans="1:14" ht="39.950000000000003" customHeight="1" x14ac:dyDescent="0.25">
      <c r="A710" s="16"/>
      <c r="B710" s="2"/>
      <c r="C710" s="2"/>
      <c r="D710" s="2"/>
      <c r="E710" s="14"/>
      <c r="F710" s="31"/>
      <c r="G710" s="14"/>
      <c r="H710" s="13"/>
      <c r="I710" s="13"/>
      <c r="J710" s="35"/>
      <c r="K710" s="14"/>
      <c r="L710" s="14"/>
      <c r="M710" s="23"/>
      <c r="N710" s="106"/>
    </row>
    <row r="711" spans="1:14" ht="80.099999999999994" customHeight="1" x14ac:dyDescent="0.25">
      <c r="A711" s="36"/>
      <c r="B711" s="37" t="s">
        <v>639</v>
      </c>
      <c r="C711" s="10"/>
      <c r="D711" s="10"/>
      <c r="E711" s="10"/>
      <c r="F711" s="30"/>
      <c r="G711" s="10"/>
      <c r="H711" s="26"/>
      <c r="I711" s="10"/>
      <c r="J711" s="30"/>
      <c r="K711" s="30"/>
      <c r="L711" s="11"/>
      <c r="M711" s="22"/>
    </row>
    <row r="712" spans="1:14" s="45" customFormat="1" ht="39.950000000000003" customHeight="1" x14ac:dyDescent="0.25">
      <c r="A712" s="70">
        <v>1.1000000000000001</v>
      </c>
      <c r="B712" s="40" t="s">
        <v>1104</v>
      </c>
      <c r="C712" s="41" t="s">
        <v>712</v>
      </c>
      <c r="D712" s="41"/>
      <c r="E712" s="52">
        <v>100</v>
      </c>
      <c r="F712" s="41"/>
      <c r="G712" s="41"/>
      <c r="H712" s="42"/>
      <c r="I712" s="42"/>
      <c r="J712" s="41"/>
      <c r="K712" s="41"/>
      <c r="L712" s="43" t="e">
        <f>SUM(L713:L722)</f>
        <v>#REF!</v>
      </c>
      <c r="M712" s="72" t="s">
        <v>1105</v>
      </c>
      <c r="N712" s="107"/>
    </row>
    <row r="713" spans="1:14" ht="39.950000000000003" customHeight="1" x14ac:dyDescent="0.25">
      <c r="A713" s="16" t="s">
        <v>668</v>
      </c>
      <c r="B713" s="17" t="s">
        <v>669</v>
      </c>
      <c r="C713" s="2" t="s">
        <v>670</v>
      </c>
      <c r="D713" s="69">
        <v>518</v>
      </c>
      <c r="E713" s="14">
        <f>D713*E712/100</f>
        <v>518</v>
      </c>
      <c r="F713" s="13"/>
      <c r="G713" s="13"/>
      <c r="H713" s="27">
        <f>IF((ISNUMBER(--LEFT(M712,2))),VLOOKUP(--LEFT(M712,2),N!$A$5:$C$54,3,FALSE),VLOOKUP(--LEFT(M712,1),N!$A$5:$C$54,3,FALSE))</f>
        <v>6</v>
      </c>
      <c r="I713" s="14">
        <f>ROUND(E713*H713,2)</f>
        <v>3108</v>
      </c>
      <c r="J713" s="2"/>
      <c r="K713" s="2"/>
      <c r="L713" s="14">
        <f t="shared" ref="L713:L722" si="215">G713+I713+K713</f>
        <v>3108</v>
      </c>
      <c r="M713" s="23" t="str">
        <f>(IF(ISNUMBER(MATCH(B713,E!$B$6:$B$197,0)),VLOOKUP(B713,E!$B$6:$E$197,4,FALSE),VLOOKUP(B713,M!$B$6:$I$733,7,FALSE)))</f>
        <v>მ.ც</v>
      </c>
      <c r="N713" s="106"/>
    </row>
    <row r="714" spans="1:14" ht="39.950000000000003" customHeight="1" x14ac:dyDescent="0.25">
      <c r="A714" s="16" t="s">
        <v>671</v>
      </c>
      <c r="B714" s="2" t="s">
        <v>182</v>
      </c>
      <c r="C714" s="2" t="s">
        <v>672</v>
      </c>
      <c r="D714" s="2">
        <v>9.6</v>
      </c>
      <c r="E714" s="14">
        <f>D714*E712/100</f>
        <v>9.6</v>
      </c>
      <c r="F714" s="13"/>
      <c r="G714" s="13"/>
      <c r="H714" s="2"/>
      <c r="I714" s="2"/>
      <c r="J714" s="35">
        <f>ROUND(IF(ISNUMBER(MATCH(B714,E!$B$6:$B$197,0)),VLOOKUP(B714,E!$B$6:$E$197,2,FALSE),IF(#REF!="დიახ",IF(VLOOKUP(B714,M!$B$6:$I$733,8,FALSE)="ლ",VLOOKUP(B714,M!$B$6:$I$733,3,FALSE)*0.001*#REF!*#REF!,IF(VLOOKUP(B714,M!$B$6:$I$733,8,FALSE)="მბ",VLOOKUP(B714,M!$B$6:$I$733,3,FALSE)*0.001*#REF!*#REF!,IF(VLOOKUP(B714,M!$B$6:$I$733,8,FALSE)="აბ",VLOOKUP(B714,M!$B$6:$I$733,3,FALSE)*0.001*#REF!*#REF!,IF(VLOOKUP(B714,M!$B$6:$I$733,8,FALSE)="ინ",VLOOKUP(B714,M!$B$6:$I$733,3,FALSE)*0.001*#REF!*#REF!,IF(VLOOKUP(B714,M!$B$6:$I$733,8,FALSE)="ას",VLOOKUP(B714,M!$B$6:$I$733,3,FALSE)*0.001*#REF!*#REF!,IF(VLOOKUP(B714,M!$B$6:$I$733,8,FALSE)="სხ",VLOOKUP(B714,M!$B$6:$I$733,3,FALSE)*0.001*#REF!*#REF!,IF(VLOOKUP(B714,M!$B$6:$I$733,8,FALSE)="ხმ",VLOOKUP(B714,M!$B$6:$I$733,3,FALSE)*0.001*#REF!*#REF!))))))))),2)</f>
        <v>35.03</v>
      </c>
      <c r="K714" s="14">
        <f t="shared" ref="K714:K720" si="216">ROUND(E714*J714,2)</f>
        <v>336.29</v>
      </c>
      <c r="L714" s="14">
        <f t="shared" si="215"/>
        <v>336.29</v>
      </c>
      <c r="M714" s="23" t="str">
        <f>(IF(ISNUMBER(MATCH(B714,E!$B$6:$B$197,0)),VLOOKUP(B714,E!$B$6:$E$197,4,FALSE),VLOOKUP(B714,M!$B$6:$I$733,7,FALSE)))</f>
        <v>14-56</v>
      </c>
      <c r="N714" s="106"/>
    </row>
    <row r="715" spans="1:14" ht="39.950000000000003" customHeight="1" x14ac:dyDescent="0.25">
      <c r="A715" s="16" t="s">
        <v>1022</v>
      </c>
      <c r="B715" s="17" t="s">
        <v>654</v>
      </c>
      <c r="C715" s="2" t="s">
        <v>393</v>
      </c>
      <c r="D715" s="14">
        <v>23.1</v>
      </c>
      <c r="E715" s="14">
        <f>D715*E712/100</f>
        <v>23.1</v>
      </c>
      <c r="F715" s="13"/>
      <c r="G715" s="14"/>
      <c r="H715" s="2"/>
      <c r="I715" s="2"/>
      <c r="J715" s="35">
        <f>ROUND(IF(ISNUMBER(MATCH(B715,E!$B$6:$B$197,0)),VLOOKUP(B715,E!$B$6:$E$197,2,FALSE),IF(#REF!="დიახ",IF(VLOOKUP(B715,M!$B$6:$I$733,8,FALSE)="ლ",VLOOKUP(B715,M!$B$6:$I$733,3,FALSE)*0.001*#REF!*#REF!,IF(VLOOKUP(B715,M!$B$6:$I$733,8,FALSE)="მბ",VLOOKUP(B715,M!$B$6:$I$733,3,FALSE)*0.001*#REF!*#REF!,IF(VLOOKUP(B715,M!$B$6:$I$733,8,FALSE)="აბ",VLOOKUP(B715,M!$B$6:$I$733,3,FALSE)*0.001*#REF!*#REF!,IF(VLOOKUP(B715,M!$B$6:$I$733,8,FALSE)="ინ",VLOOKUP(B715,M!$B$6:$I$733,3,FALSE)*0.001*#REF!*#REF!,IF(VLOOKUP(B715,M!$B$6:$I$733,8,FALSE)="ას",VLOOKUP(B715,M!$B$6:$I$733,3,FALSE)*0.001*#REF!*#REF!,IF(VLOOKUP(B715,M!$B$6:$I$733,8,FALSE)="სხ",VLOOKUP(B715,M!$B$6:$I$733,3,FALSE)*0.001*#REF!*#REF!,IF(VLOOKUP(B715,M!$B$6:$I$733,8,FALSE)="ხმ",VLOOKUP(B715,M!$B$6:$I$733,3,FALSE)*0.001*#REF!*#REF!))))))))),2)</f>
        <v>3.2</v>
      </c>
      <c r="K715" s="14">
        <f t="shared" si="216"/>
        <v>73.92</v>
      </c>
      <c r="L715" s="14">
        <f t="shared" si="215"/>
        <v>73.92</v>
      </c>
      <c r="M715" s="23" t="str">
        <f>(IF(ISNUMBER(MATCH(B715,E!$B$6:$B$197,0)),VLOOKUP(B715,E!$B$6:$E$197,4,FALSE),VLOOKUP(B715,M!$B$6:$I$733,7,FALSE)))</f>
        <v>ს.რ.ფ</v>
      </c>
      <c r="N715" s="106"/>
    </row>
    <row r="716" spans="1:14" ht="39.950000000000003" customHeight="1" x14ac:dyDescent="0.25">
      <c r="A716" s="16" t="s">
        <v>1023</v>
      </c>
      <c r="B716" s="2" t="s">
        <v>799</v>
      </c>
      <c r="C716" s="2" t="s">
        <v>674</v>
      </c>
      <c r="D716" s="2">
        <v>101.5</v>
      </c>
      <c r="E716" s="14">
        <f>D716*E712/100</f>
        <v>101.5</v>
      </c>
      <c r="F716" s="31" t="e">
        <f>ROUND(VLOOKUP(B716,M!$B$6:$H$733,IF(#REF!="დაბალი",4,IF(#REF!="საშუალო",6,IF(#REF!="მაღალი",5))),FALSE),2)</f>
        <v>#REF!</v>
      </c>
      <c r="G716" s="14" t="e">
        <f t="shared" ref="G716:G722" si="217">ROUND(E716*F716,2)</f>
        <v>#REF!</v>
      </c>
      <c r="H716" s="2"/>
      <c r="I716" s="2"/>
      <c r="J716" s="35" t="e">
        <f>ROUND(IF(ISNUMBER(MATCH(B716,E!$B$6:$B$197,0)),VLOOKUP(B716,E!$B$6:$E$197,2,FALSE),IF(#REF!="დიახ",IF(VLOOKUP(B716,M!$B$6:$I$733,8,FALSE)="ლ",VLOOKUP(B716,M!$B$6:$I$733,3,FALSE)*0.001*#REF!*#REF!,IF(VLOOKUP(B716,M!$B$6:$I$733,8,FALSE)="მბ",VLOOKUP(B716,M!$B$6:$I$733,3,FALSE)*0.001*#REF!*#REF!,IF(VLOOKUP(B716,M!$B$6:$I$733,8,FALSE)="აბ",VLOOKUP(B716,M!$B$6:$I$733,3,FALSE)*0.001*#REF!*#REF!,IF(VLOOKUP(B716,M!$B$6:$I$733,8,FALSE)="ინ",VLOOKUP(B716,M!$B$6:$I$733,3,FALSE)*0.001*#REF!*#REF!,IF(VLOOKUP(B716,M!$B$6:$I$733,8,FALSE)="ას",VLOOKUP(B716,M!$B$6:$I$733,3,FALSE)*0.001*#REF!*#REF!,IF(VLOOKUP(B716,M!$B$6:$I$733,8,FALSE)="სხ",VLOOKUP(B716,M!$B$6:$I$733,3,FALSE)*0.001*#REF!*#REF!,IF(VLOOKUP(B716,M!$B$6:$I$733,8,FALSE)="ხმ",VLOOKUP(B716,M!$B$6:$I$733,3,FALSE)*0.001*#REF!*#REF!))))))))),2)</f>
        <v>#REF!</v>
      </c>
      <c r="K716" s="14" t="e">
        <f t="shared" si="216"/>
        <v>#REF!</v>
      </c>
      <c r="L716" s="14" t="e">
        <f t="shared" si="215"/>
        <v>#REF!</v>
      </c>
      <c r="M716" s="23" t="str">
        <f>(IF(ISNUMBER(MATCH(B716,E!$B$6:$B$197,0)),VLOOKUP(B716,E!$B$6:$E$197,4,FALSE),VLOOKUP(B716,M!$B$6:$I$733,7,FALSE)))</f>
        <v>4.1-343</v>
      </c>
      <c r="N716" s="106"/>
    </row>
    <row r="717" spans="1:14" ht="39.950000000000003" customHeight="1" x14ac:dyDescent="0.25">
      <c r="A717" s="16" t="s">
        <v>1024</v>
      </c>
      <c r="B717" s="17" t="s">
        <v>400</v>
      </c>
      <c r="C717" s="2" t="s">
        <v>674</v>
      </c>
      <c r="D717" s="2">
        <v>2.66</v>
      </c>
      <c r="E717" s="14">
        <f>D717*E712/100</f>
        <v>2.66</v>
      </c>
      <c r="F717" s="31" t="e">
        <f>ROUND(VLOOKUP(B717,M!$B$6:$H$733,IF(#REF!="დაბალი",4,IF(#REF!="საშუალო",6,IF(#REF!="მაღალი",5))),FALSE),2)</f>
        <v>#REF!</v>
      </c>
      <c r="G717" s="14" t="e">
        <f t="shared" si="217"/>
        <v>#REF!</v>
      </c>
      <c r="H717" s="13"/>
      <c r="I717" s="13"/>
      <c r="J717" s="35" t="e">
        <f>ROUND(IF(ISNUMBER(MATCH(B717,E!$B$6:$B$197,0)),VLOOKUP(B717,E!$B$6:$E$197,2,FALSE),IF(#REF!="დიახ",IF(VLOOKUP(B717,M!$B$6:$I$733,8,FALSE)="ლ",VLOOKUP(B717,M!$B$6:$I$733,3,FALSE)*0.001*#REF!*#REF!,IF(VLOOKUP(B717,M!$B$6:$I$733,8,FALSE)="მბ",VLOOKUP(B717,M!$B$6:$I$733,3,FALSE)*0.001*#REF!*#REF!,IF(VLOOKUP(B717,M!$B$6:$I$733,8,FALSE)="აბ",VLOOKUP(B717,M!$B$6:$I$733,3,FALSE)*0.001*#REF!*#REF!,IF(VLOOKUP(B717,M!$B$6:$I$733,8,FALSE)="ინ",VLOOKUP(B717,M!$B$6:$I$733,3,FALSE)*0.001*#REF!*#REF!,IF(VLOOKUP(B717,M!$B$6:$I$733,8,FALSE)="ას",VLOOKUP(B717,M!$B$6:$I$733,3,FALSE)*0.001*#REF!*#REF!,IF(VLOOKUP(B717,M!$B$6:$I$733,8,FALSE)="სხ",VLOOKUP(B717,M!$B$6:$I$733,3,FALSE)*0.001*#REF!*#REF!,IF(VLOOKUP(B717,M!$B$6:$I$733,8,FALSE)="ხმ",VLOOKUP(B717,M!$B$6:$I$733,3,FALSE)*0.001*#REF!*#REF!))))))))),2)</f>
        <v>#REF!</v>
      </c>
      <c r="K717" s="14" t="e">
        <f t="shared" si="216"/>
        <v>#REF!</v>
      </c>
      <c r="L717" s="14" t="e">
        <f t="shared" si="215"/>
        <v>#REF!</v>
      </c>
      <c r="M717" s="23" t="str">
        <f>(IF(ISNUMBER(MATCH(B717,E!$B$6:$B$197,0)),VLOOKUP(B717,E!$B$6:$E$197,4,FALSE),VLOOKUP(B717,M!$B$6:$I$733,7,FALSE)))</f>
        <v>4.1-371</v>
      </c>
      <c r="N717" s="106"/>
    </row>
    <row r="718" spans="1:14" ht="39.950000000000003" customHeight="1" x14ac:dyDescent="0.25">
      <c r="A718" s="16" t="s">
        <v>1025</v>
      </c>
      <c r="B718" s="2" t="s">
        <v>582</v>
      </c>
      <c r="C718" s="2" t="s">
        <v>814</v>
      </c>
      <c r="D718" s="2">
        <v>82</v>
      </c>
      <c r="E718" s="14">
        <f>D718*E712/100</f>
        <v>82</v>
      </c>
      <c r="F718" s="31" t="e">
        <f>ROUND(VLOOKUP(B718,M!$B$6:$H$733,IF(#REF!="დაბალი",4,IF(#REF!="საშუალო",6,IF(#REF!="მაღალი",5))),FALSE),2)</f>
        <v>#REF!</v>
      </c>
      <c r="G718" s="14" t="e">
        <f t="shared" si="217"/>
        <v>#REF!</v>
      </c>
      <c r="H718" s="13"/>
      <c r="I718" s="13"/>
      <c r="J718" s="35" t="e">
        <f>ROUND(IF(ISNUMBER(MATCH(B718,E!$B$6:$B$197,0)),VLOOKUP(B718,E!$B$6:$E$197,2,FALSE),IF(#REF!="დიახ",IF(VLOOKUP(B718,M!$B$6:$I$733,8,FALSE)="ლ",VLOOKUP(B718,M!$B$6:$I$733,3,FALSE)*0.001*#REF!*#REF!,IF(VLOOKUP(B718,M!$B$6:$I$733,8,FALSE)="მბ",VLOOKUP(B718,M!$B$6:$I$733,3,FALSE)*0.001*#REF!*#REF!,IF(VLOOKUP(B718,M!$B$6:$I$733,8,FALSE)="აბ",VLOOKUP(B718,M!$B$6:$I$733,3,FALSE)*0.001*#REF!*#REF!,IF(VLOOKUP(B718,M!$B$6:$I$733,8,FALSE)="ინ",VLOOKUP(B718,M!$B$6:$I$733,3,FALSE)*0.001*#REF!*#REF!,IF(VLOOKUP(B718,M!$B$6:$I$733,8,FALSE)="ას",VLOOKUP(B718,M!$B$6:$I$733,3,FALSE)*0.001*#REF!*#REF!,IF(VLOOKUP(B718,M!$B$6:$I$733,8,FALSE)="სხ",VLOOKUP(B718,M!$B$6:$I$733,3,FALSE)*0.001*#REF!*#REF!,IF(VLOOKUP(B718,M!$B$6:$I$733,8,FALSE)="ხმ",VLOOKUP(B718,M!$B$6:$I$733,3,FALSE)*0.001*#REF!*#REF!))))))))),2)</f>
        <v>#REF!</v>
      </c>
      <c r="K718" s="14" t="e">
        <f t="shared" si="216"/>
        <v>#REF!</v>
      </c>
      <c r="L718" s="14" t="e">
        <f t="shared" si="215"/>
        <v>#REF!</v>
      </c>
      <c r="M718" s="23" t="str">
        <f>(IF(ISNUMBER(MATCH(B718,E!$B$6:$B$197,0)),VLOOKUP(B718,E!$B$6:$E$197,4,FALSE),VLOOKUP(B718,M!$B$6:$I$733,7,FALSE)))</f>
        <v>5.1-138</v>
      </c>
      <c r="N718" s="106"/>
    </row>
    <row r="719" spans="1:14" ht="39.950000000000003" customHeight="1" x14ac:dyDescent="0.25">
      <c r="A719" s="16" t="s">
        <v>1026</v>
      </c>
      <c r="B719" s="2" t="s">
        <v>551</v>
      </c>
      <c r="C719" s="2" t="s">
        <v>674</v>
      </c>
      <c r="D719" s="2">
        <f>7.4+0.53</f>
        <v>7.9300000000000006</v>
      </c>
      <c r="E719" s="14">
        <f>D719*E712/100</f>
        <v>7.9300000000000015</v>
      </c>
      <c r="F719" s="31" t="e">
        <f>ROUND(VLOOKUP(B719,M!$B$6:$H$733,IF(#REF!="დაბალი",4,IF(#REF!="საშუალო",6,IF(#REF!="მაღალი",5))),FALSE),2)</f>
        <v>#REF!</v>
      </c>
      <c r="G719" s="14" t="e">
        <f t="shared" si="217"/>
        <v>#REF!</v>
      </c>
      <c r="H719" s="2"/>
      <c r="I719" s="2"/>
      <c r="J719" s="35" t="e">
        <f>ROUND(IF(ISNUMBER(MATCH(B719,E!$B$6:$B$197,0)),VLOOKUP(B719,E!$B$6:$E$197,2,FALSE),IF(#REF!="დიახ",IF(VLOOKUP(B719,M!$B$6:$I$733,8,FALSE)="ლ",VLOOKUP(B719,M!$B$6:$I$733,3,FALSE)*0.001*#REF!*#REF!,IF(VLOOKUP(B719,M!$B$6:$I$733,8,FALSE)="მბ",VLOOKUP(B719,M!$B$6:$I$733,3,FALSE)*0.001*#REF!*#REF!,IF(VLOOKUP(B719,M!$B$6:$I$733,8,FALSE)="აბ",VLOOKUP(B719,M!$B$6:$I$733,3,FALSE)*0.001*#REF!*#REF!,IF(VLOOKUP(B719,M!$B$6:$I$733,8,FALSE)="ინ",VLOOKUP(B719,M!$B$6:$I$733,3,FALSE)*0.001*#REF!*#REF!,IF(VLOOKUP(B719,M!$B$6:$I$733,8,FALSE)="ას",VLOOKUP(B719,M!$B$6:$I$733,3,FALSE)*0.001*#REF!*#REF!,IF(VLOOKUP(B719,M!$B$6:$I$733,8,FALSE)="სხ",VLOOKUP(B719,M!$B$6:$I$733,3,FALSE)*0.001*#REF!*#REF!,IF(VLOOKUP(B719,M!$B$6:$I$733,8,FALSE)="ხმ",VLOOKUP(B719,M!$B$6:$I$733,3,FALSE)*0.001*#REF!*#REF!))))))))),2)</f>
        <v>#REF!</v>
      </c>
      <c r="K719" s="14" t="e">
        <f t="shared" si="216"/>
        <v>#REF!</v>
      </c>
      <c r="L719" s="14" t="e">
        <f>G719+I719+K719</f>
        <v>#REF!</v>
      </c>
      <c r="M719" s="23" t="str">
        <f>(IF(ISNUMBER(MATCH(B719,E!$B$6:$B$197,0)),VLOOKUP(B719,E!$B$6:$E$197,4,FALSE),VLOOKUP(B719,M!$B$6:$I$733,7,FALSE)))</f>
        <v>5.1-22</v>
      </c>
      <c r="N719" s="106"/>
    </row>
    <row r="720" spans="1:14" ht="39.950000000000003" customHeight="1" x14ac:dyDescent="0.25">
      <c r="A720" s="16" t="s">
        <v>1106</v>
      </c>
      <c r="B720" s="2" t="s">
        <v>566</v>
      </c>
      <c r="C720" s="2" t="s">
        <v>852</v>
      </c>
      <c r="D720" s="2">
        <v>1.97</v>
      </c>
      <c r="E720" s="14">
        <f>D720*E712/100</f>
        <v>1.97</v>
      </c>
      <c r="F720" s="31" t="e">
        <f>ROUND(VLOOKUP(B720,M!$B$6:$H$733,IF(#REF!="დაბალი",4,IF(#REF!="საშუალო",6,IF(#REF!="მაღალი",5))),FALSE),2)</f>
        <v>#REF!</v>
      </c>
      <c r="G720" s="14" t="e">
        <f t="shared" si="217"/>
        <v>#REF!</v>
      </c>
      <c r="H720" s="13"/>
      <c r="I720" s="13"/>
      <c r="J720" s="35" t="e">
        <f>ROUND(IF(ISNUMBER(MATCH(B720,E!$B$6:$B$197,0)),VLOOKUP(B720,E!$B$6:$E$197,2,FALSE),IF(#REF!="დიახ",IF(VLOOKUP(B720,M!$B$6:$I$733,8,FALSE)="ლ",VLOOKUP(B720,M!$B$6:$I$733,3,FALSE)*0.001*#REF!*#REF!,IF(VLOOKUP(B720,M!$B$6:$I$733,8,FALSE)="მბ",VLOOKUP(B720,M!$B$6:$I$733,3,FALSE)*0.001*#REF!*#REF!,IF(VLOOKUP(B720,M!$B$6:$I$733,8,FALSE)="აბ",VLOOKUP(B720,M!$B$6:$I$733,3,FALSE)*0.001*#REF!*#REF!,IF(VLOOKUP(B720,M!$B$6:$I$733,8,FALSE)="ინ",VLOOKUP(B720,M!$B$6:$I$733,3,FALSE)*0.001*#REF!*#REF!,IF(VLOOKUP(B720,M!$B$6:$I$733,8,FALSE)="ას",VLOOKUP(B720,M!$B$6:$I$733,3,FALSE)*0.001*#REF!*#REF!,IF(VLOOKUP(B720,M!$B$6:$I$733,8,FALSE)="სხ",VLOOKUP(B720,M!$B$6:$I$733,3,FALSE)*0.001*#REF!*#REF!,IF(VLOOKUP(B720,M!$B$6:$I$733,8,FALSE)="ხმ",VLOOKUP(B720,M!$B$6:$I$733,3,FALSE)*0.001*#REF!*#REF!))))))))),2)</f>
        <v>#REF!</v>
      </c>
      <c r="K720" s="14" t="e">
        <f t="shared" si="216"/>
        <v>#REF!</v>
      </c>
      <c r="L720" s="14" t="e">
        <f t="shared" si="215"/>
        <v>#REF!</v>
      </c>
      <c r="M720" s="23" t="str">
        <f>(IF(ISNUMBER(MATCH(B720,E!$B$6:$B$197,0)),VLOOKUP(B720,E!$B$6:$E$197,4,FALSE),VLOOKUP(B720,M!$B$6:$I$733,7,FALSE)))</f>
        <v>5.1-37</v>
      </c>
      <c r="N720" s="106"/>
    </row>
    <row r="721" spans="1:14" ht="38.25" customHeight="1" x14ac:dyDescent="0.25">
      <c r="A721" s="16" t="s">
        <v>1107</v>
      </c>
      <c r="B721" s="17" t="s">
        <v>140</v>
      </c>
      <c r="C721" s="2" t="s">
        <v>28</v>
      </c>
      <c r="D721" s="2">
        <v>49</v>
      </c>
      <c r="E721" s="14">
        <f>D721*E712/100</f>
        <v>49</v>
      </c>
      <c r="F721" s="31" t="e">
        <f>ROUND(VLOOKUP(B721,M!$B$6:$H$733,IF(#REF!="დაბალი",4,IF(#REF!="საშუალო",6,IF(#REF!="მაღალი",5))),FALSE),2)</f>
        <v>#REF!</v>
      </c>
      <c r="G721" s="14" t="e">
        <f t="shared" si="217"/>
        <v>#REF!</v>
      </c>
      <c r="H721" s="2"/>
      <c r="I721" s="2"/>
      <c r="J721" s="35" t="e">
        <f>ROUND(IF(ISNUMBER(MATCH(B721,E!$B$6:$B$197,0)),VLOOKUP(B721,E!$B$6:$E$197,2,FALSE),IF(#REF!="დიახ",IF(VLOOKUP(B721,M!$B$6:$I$733,8,FALSE)="ლ",VLOOKUP(B721,M!$B$6:$I$733,3,FALSE)*0.001*#REF!*#REF!,IF(VLOOKUP(B721,M!$B$6:$I$733,8,FALSE)="მბ",VLOOKUP(B721,M!$B$6:$I$733,3,FALSE)*0.001*#REF!*#REF!,IF(VLOOKUP(B721,M!$B$6:$I$733,8,FALSE)="აბ",VLOOKUP(B721,M!$B$6:$I$733,3,FALSE)*0.001*#REF!*#REF!,IF(VLOOKUP(B721,M!$B$6:$I$733,8,FALSE)="ინ",VLOOKUP(B721,M!$B$6:$I$733,3,FALSE)*0.001*#REF!*#REF!,IF(VLOOKUP(B721,M!$B$6:$I$733,8,FALSE)="ას",VLOOKUP(B721,M!$B$6:$I$733,3,FALSE)*0.001*#REF!*#REF!,IF(VLOOKUP(B721,M!$B$6:$I$733,8,FALSE)="სხ",VLOOKUP(B721,M!$B$6:$I$733,3,FALSE)*0.001*#REF!*#REF!,IF(VLOOKUP(B721,M!$B$6:$I$733,8,FALSE)="ხმ",VLOOKUP(B721,M!$B$6:$I$733,3,FALSE)*0.001*#REF!*#REF!))))))))),2)</f>
        <v>#REF!</v>
      </c>
      <c r="K721" s="14" t="e">
        <f t="shared" ref="K721" si="218">ROUND(E721*J721,2)</f>
        <v>#REF!</v>
      </c>
      <c r="L721" s="14" t="e">
        <f>G721+I721+K721</f>
        <v>#REF!</v>
      </c>
      <c r="M721" s="23" t="str">
        <f>(IF(ISNUMBER(MATCH(B721,E!$B$6:$B$197,0)),VLOOKUP(B721,E!$B$6:$E$197,4,FALSE),VLOOKUP(B721,M!$B$6:$I$733,7,FALSE)))</f>
        <v>1.10-17</v>
      </c>
      <c r="N721" s="106"/>
    </row>
    <row r="722" spans="1:14" ht="39.950000000000003" customHeight="1" x14ac:dyDescent="0.25">
      <c r="A722" s="16" t="s">
        <v>1108</v>
      </c>
      <c r="B722" s="17" t="s">
        <v>677</v>
      </c>
      <c r="C722" s="2" t="s">
        <v>393</v>
      </c>
      <c r="D722" s="2">
        <v>61.2</v>
      </c>
      <c r="E722" s="14">
        <f>D722*E712/100</f>
        <v>61.2</v>
      </c>
      <c r="F722" s="31" t="e">
        <f>ROUND(VLOOKUP(B722,M!$B$6:$H$733,IF(#REF!="დაბალი",4,IF(#REF!="საშუალო",6,IF(#REF!="მაღალი",5))),FALSE),2)</f>
        <v>#REF!</v>
      </c>
      <c r="G722" s="14" t="e">
        <f t="shared" si="217"/>
        <v>#REF!</v>
      </c>
      <c r="H722" s="2"/>
      <c r="I722" s="2"/>
      <c r="J722" s="2"/>
      <c r="K722" s="14"/>
      <c r="L722" s="14" t="e">
        <f t="shared" si="215"/>
        <v>#REF!</v>
      </c>
      <c r="M722" s="23" t="str">
        <f>(IF(ISNUMBER(MATCH(B722,E!$B$6:$B$197,0)),VLOOKUP(B722,E!$B$6:$E$197,4,FALSE),VLOOKUP(B722,M!$B$6:$I$733,7,FALSE)))</f>
        <v>ს.რ.ფ</v>
      </c>
      <c r="N722" s="106"/>
    </row>
    <row r="723" spans="1:14" s="45" customFormat="1" ht="39.950000000000003" customHeight="1" x14ac:dyDescent="0.25">
      <c r="A723" s="70">
        <v>1.1000000000000001</v>
      </c>
      <c r="B723" s="40" t="s">
        <v>850</v>
      </c>
      <c r="C723" s="41" t="s">
        <v>712</v>
      </c>
      <c r="D723" s="41"/>
      <c r="E723" s="52">
        <v>100</v>
      </c>
      <c r="F723" s="41"/>
      <c r="G723" s="41"/>
      <c r="H723" s="42"/>
      <c r="I723" s="42"/>
      <c r="J723" s="46"/>
      <c r="K723" s="46"/>
      <c r="L723" s="43" t="e">
        <f>SUM(L724:L734)</f>
        <v>#REF!</v>
      </c>
      <c r="M723" s="72" t="s">
        <v>851</v>
      </c>
    </row>
    <row r="724" spans="1:14" ht="39.950000000000003" customHeight="1" x14ac:dyDescent="0.25">
      <c r="A724" s="16" t="s">
        <v>668</v>
      </c>
      <c r="B724" s="17" t="s">
        <v>669</v>
      </c>
      <c r="C724" s="2" t="s">
        <v>670</v>
      </c>
      <c r="D724" s="69">
        <v>660</v>
      </c>
      <c r="E724" s="14">
        <f>D724*E723/100</f>
        <v>660</v>
      </c>
      <c r="F724" s="13"/>
      <c r="G724" s="13"/>
      <c r="H724" s="27">
        <f>IF((ISNUMBER(--LEFT(M723,2))),VLOOKUP(--LEFT(M723,2),N!$A$5:$C$54,3,FALSE),VLOOKUP(--LEFT(M723,1),N!$A$5:$C$54,3,FALSE))</f>
        <v>6</v>
      </c>
      <c r="I724" s="14">
        <f>ROUND(E724*H724,2)</f>
        <v>3960</v>
      </c>
      <c r="J724" s="31"/>
      <c r="K724" s="31"/>
      <c r="L724" s="14">
        <f t="shared" ref="L724:L734" si="219">G724+I724+K724</f>
        <v>3960</v>
      </c>
      <c r="M724" s="23" t="str">
        <f>(IF(ISNUMBER(MATCH(B724,E!$B$6:$B$197,0)),VLOOKUP(B724,E!$B$6:$E$197,4,FALSE),VLOOKUP(B724,M!$B$6:$I$733,7,FALSE)))</f>
        <v>მ.ც</v>
      </c>
    </row>
    <row r="725" spans="1:14" ht="39.950000000000003" customHeight="1" x14ac:dyDescent="0.25">
      <c r="A725" s="16" t="s">
        <v>671</v>
      </c>
      <c r="B725" s="2" t="s">
        <v>183</v>
      </c>
      <c r="C725" s="2" t="s">
        <v>672</v>
      </c>
      <c r="D725" s="2">
        <v>9.6</v>
      </c>
      <c r="E725" s="14">
        <f>D725*E723/100</f>
        <v>9.6</v>
      </c>
      <c r="F725" s="13"/>
      <c r="G725" s="13"/>
      <c r="H725" s="2"/>
      <c r="I725" s="2"/>
      <c r="J725" s="35">
        <f>ROUND(IF(ISNUMBER(MATCH(B725,E!$B$6:$B$197,0)),VLOOKUP(B725,E!$B$6:$E$197,2,FALSE),IF(#REF!="დიახ",IF(VLOOKUP(B725,M!$B$6:$I$733,8,FALSE)="ლ",VLOOKUP(B725,M!$B$6:$I$733,3,FALSE)*0.001*#REF!*#REF!,IF(VLOOKUP(B725,M!$B$6:$I$733,8,FALSE)="მბ",VLOOKUP(B725,M!$B$6:$I$733,3,FALSE)*0.001*#REF!*#REF!,IF(VLOOKUP(B725,M!$B$6:$I$733,8,FALSE)="აბ",VLOOKUP(B725,M!$B$6:$I$733,3,FALSE)*0.001*#REF!*#REF!,IF(VLOOKUP(B725,M!$B$6:$I$733,8,FALSE)="ინ",VLOOKUP(B725,M!$B$6:$I$733,3,FALSE)*0.001*#REF!*#REF!,IF(VLOOKUP(B725,M!$B$6:$I$733,8,FALSE)="ას",VLOOKUP(B725,M!$B$6:$I$733,3,FALSE)*0.001*#REF!*#REF!,IF(VLOOKUP(B725,M!$B$6:$I$733,8,FALSE)="სხ",VLOOKUP(B725,M!$B$6:$I$733,3,FALSE)*0.001*#REF!*#REF!,IF(VLOOKUP(B725,M!$B$6:$I$733,8,FALSE)="ხმ",VLOOKUP(B725,M!$B$6:$I$733,3,FALSE)*0.001*#REF!*#REF!))))))))),2)</f>
        <v>37.72</v>
      </c>
      <c r="K725" s="31">
        <f t="shared" ref="K725:K734" si="220">ROUND(E725*J725,2)</f>
        <v>362.11</v>
      </c>
      <c r="L725" s="14">
        <f t="shared" si="219"/>
        <v>362.11</v>
      </c>
      <c r="M725" s="23" t="str">
        <f>(IF(ISNUMBER(MATCH(B725,E!$B$6:$B$197,0)),VLOOKUP(B725,E!$B$6:$E$197,4,FALSE),VLOOKUP(B725,M!$B$6:$I$733,7,FALSE)))</f>
        <v>14-57</v>
      </c>
    </row>
    <row r="726" spans="1:14" ht="39.950000000000003" customHeight="1" x14ac:dyDescent="0.25">
      <c r="A726" s="16" t="s">
        <v>673</v>
      </c>
      <c r="B726" s="17" t="s">
        <v>654</v>
      </c>
      <c r="C726" s="2" t="s">
        <v>393</v>
      </c>
      <c r="D726" s="14">
        <v>39.9</v>
      </c>
      <c r="E726" s="14">
        <f>D726*E723/100</f>
        <v>39.9</v>
      </c>
      <c r="F726" s="13"/>
      <c r="G726" s="14"/>
      <c r="H726" s="2"/>
      <c r="I726" s="2"/>
      <c r="J726" s="35">
        <f>ROUND(IF(ISNUMBER(MATCH(B726,E!$B$6:$B$197,0)),VLOOKUP(B726,E!$B$6:$E$197,2,FALSE),IF(#REF!="დიახ",IF(VLOOKUP(B726,M!$B$6:$I$733,8,FALSE)="ლ",VLOOKUP(B726,M!$B$6:$I$733,3,FALSE)*0.001*#REF!*#REF!,IF(VLOOKUP(B726,M!$B$6:$I$733,8,FALSE)="მბ",VLOOKUP(B726,M!$B$6:$I$733,3,FALSE)*0.001*#REF!*#REF!,IF(VLOOKUP(B726,M!$B$6:$I$733,8,FALSE)="აბ",VLOOKUP(B726,M!$B$6:$I$733,3,FALSE)*0.001*#REF!*#REF!,IF(VLOOKUP(B726,M!$B$6:$I$733,8,FALSE)="ინ",VLOOKUP(B726,M!$B$6:$I$733,3,FALSE)*0.001*#REF!*#REF!,IF(VLOOKUP(B726,M!$B$6:$I$733,8,FALSE)="ას",VLOOKUP(B726,M!$B$6:$I$733,3,FALSE)*0.001*#REF!*#REF!,IF(VLOOKUP(B726,M!$B$6:$I$733,8,FALSE)="სხ",VLOOKUP(B726,M!$B$6:$I$733,3,FALSE)*0.001*#REF!*#REF!,IF(VLOOKUP(B726,M!$B$6:$I$733,8,FALSE)="ხმ",VLOOKUP(B726,M!$B$6:$I$733,3,FALSE)*0.001*#REF!*#REF!))))))))),2)</f>
        <v>3.2</v>
      </c>
      <c r="K726" s="31">
        <f t="shared" si="220"/>
        <v>127.68</v>
      </c>
      <c r="L726" s="14">
        <f t="shared" si="219"/>
        <v>127.68</v>
      </c>
      <c r="M726" s="23" t="str">
        <f>(IF(ISNUMBER(MATCH(B726,E!$B$6:$B$197,0)),VLOOKUP(B726,E!$B$6:$E$197,4,FALSE),VLOOKUP(B726,M!$B$6:$I$733,7,FALSE)))</f>
        <v>ს.რ.ფ</v>
      </c>
    </row>
    <row r="727" spans="1:14" ht="39.950000000000003" customHeight="1" x14ac:dyDescent="0.25">
      <c r="A727" s="16" t="s">
        <v>675</v>
      </c>
      <c r="B727" s="2" t="s">
        <v>801</v>
      </c>
      <c r="C727" s="2" t="s">
        <v>674</v>
      </c>
      <c r="D727" s="2">
        <v>101.5</v>
      </c>
      <c r="E727" s="14">
        <f>D727*E723/100</f>
        <v>101.5</v>
      </c>
      <c r="F727" s="31" t="e">
        <f>ROUND(VLOOKUP(B727,M!$B$6:$H$733,IF(#REF!="დაბალი",4,IF(#REF!="საშუალო",6,IF(#REF!="მაღალი",5))),FALSE),2)</f>
        <v>#REF!</v>
      </c>
      <c r="G727" s="14" t="e">
        <f t="shared" ref="G727:G734" si="221">ROUND(E727*F727,2)</f>
        <v>#REF!</v>
      </c>
      <c r="H727" s="2"/>
      <c r="I727" s="2"/>
      <c r="J727" s="35" t="e">
        <f>ROUND(IF(ISNUMBER(MATCH(B727,E!$B$6:$B$197,0)),VLOOKUP(B727,E!$B$6:$E$197,2,FALSE),IF(#REF!="დიახ",IF(VLOOKUP(B727,M!$B$6:$I$733,8,FALSE)="ლ",VLOOKUP(B727,M!$B$6:$I$733,3,FALSE)*0.001*#REF!*#REF!,IF(VLOOKUP(B727,M!$B$6:$I$733,8,FALSE)="მბ",VLOOKUP(B727,M!$B$6:$I$733,3,FALSE)*0.001*#REF!*#REF!,IF(VLOOKUP(B727,M!$B$6:$I$733,8,FALSE)="აბ",VLOOKUP(B727,M!$B$6:$I$733,3,FALSE)*0.001*#REF!*#REF!,IF(VLOOKUP(B727,M!$B$6:$I$733,8,FALSE)="ინ",VLOOKUP(B727,M!$B$6:$I$733,3,FALSE)*0.001*#REF!*#REF!,IF(VLOOKUP(B727,M!$B$6:$I$733,8,FALSE)="ას",VLOOKUP(B727,M!$B$6:$I$733,3,FALSE)*0.001*#REF!*#REF!,IF(VLOOKUP(B727,M!$B$6:$I$733,8,FALSE)="სხ",VLOOKUP(B727,M!$B$6:$I$733,3,FALSE)*0.001*#REF!*#REF!,IF(VLOOKUP(B727,M!$B$6:$I$733,8,FALSE)="ხმ",VLOOKUP(B727,M!$B$6:$I$733,3,FALSE)*0.001*#REF!*#REF!))))))))),2)</f>
        <v>#REF!</v>
      </c>
      <c r="K727" s="31" t="e">
        <f t="shared" si="220"/>
        <v>#REF!</v>
      </c>
      <c r="L727" s="14" t="e">
        <f t="shared" si="219"/>
        <v>#REF!</v>
      </c>
      <c r="M727" s="23" t="str">
        <f>(IF(ISNUMBER(MATCH(B727,E!$B$6:$B$197,0)),VLOOKUP(B727,E!$B$6:$E$197,4,FALSE),VLOOKUP(B727,M!$B$6:$I$733,7,FALSE)))</f>
        <v>4.1-345</v>
      </c>
    </row>
    <row r="728" spans="1:14" ht="39.950000000000003" customHeight="1" x14ac:dyDescent="0.25">
      <c r="A728" s="16" t="s">
        <v>695</v>
      </c>
      <c r="B728" s="17" t="s">
        <v>400</v>
      </c>
      <c r="C728" s="2" t="s">
        <v>674</v>
      </c>
      <c r="D728" s="2">
        <v>2.4700000000000002</v>
      </c>
      <c r="E728" s="14">
        <f>D728*E723/100</f>
        <v>2.4700000000000002</v>
      </c>
      <c r="F728" s="31" t="e">
        <f>ROUND(VLOOKUP(B728,M!$B$6:$H$733,IF(#REF!="დაბალი",4,IF(#REF!="საშუალო",6,IF(#REF!="მაღალი",5))),FALSE),2)</f>
        <v>#REF!</v>
      </c>
      <c r="G728" s="14" t="e">
        <f t="shared" si="221"/>
        <v>#REF!</v>
      </c>
      <c r="H728" s="13"/>
      <c r="I728" s="13"/>
      <c r="J728" s="35" t="e">
        <f>ROUND(IF(ISNUMBER(MATCH(B728,E!$B$6:$B$197,0)),VLOOKUP(B728,E!$B$6:$E$197,2,FALSE),IF(#REF!="დიახ",IF(VLOOKUP(B728,M!$B$6:$I$733,8,FALSE)="ლ",VLOOKUP(B728,M!$B$6:$I$733,3,FALSE)*0.001*#REF!*#REF!,IF(VLOOKUP(B728,M!$B$6:$I$733,8,FALSE)="მბ",VLOOKUP(B728,M!$B$6:$I$733,3,FALSE)*0.001*#REF!*#REF!,IF(VLOOKUP(B728,M!$B$6:$I$733,8,FALSE)="აბ",VLOOKUP(B728,M!$B$6:$I$733,3,FALSE)*0.001*#REF!*#REF!,IF(VLOOKUP(B728,M!$B$6:$I$733,8,FALSE)="ინ",VLOOKUP(B728,M!$B$6:$I$733,3,FALSE)*0.001*#REF!*#REF!,IF(VLOOKUP(B728,M!$B$6:$I$733,8,FALSE)="ას",VLOOKUP(B728,M!$B$6:$I$733,3,FALSE)*0.001*#REF!*#REF!,IF(VLOOKUP(B728,M!$B$6:$I$733,8,FALSE)="სხ",VLOOKUP(B728,M!$B$6:$I$733,3,FALSE)*0.001*#REF!*#REF!,IF(VLOOKUP(B728,M!$B$6:$I$733,8,FALSE)="ხმ",VLOOKUP(B728,M!$B$6:$I$733,3,FALSE)*0.001*#REF!*#REF!))))))))),2)</f>
        <v>#REF!</v>
      </c>
      <c r="K728" s="31" t="e">
        <f t="shared" si="220"/>
        <v>#REF!</v>
      </c>
      <c r="L728" s="14" t="e">
        <f t="shared" si="219"/>
        <v>#REF!</v>
      </c>
      <c r="M728" s="23" t="str">
        <f>(IF(ISNUMBER(MATCH(B728,E!$B$6:$B$197,0)),VLOOKUP(B728,E!$B$6:$E$197,4,FALSE),VLOOKUP(B728,M!$B$6:$I$733,7,FALSE)))</f>
        <v>4.1-371</v>
      </c>
    </row>
    <row r="729" spans="1:14" ht="39.950000000000003" customHeight="1" x14ac:dyDescent="0.25">
      <c r="A729" s="16" t="s">
        <v>696</v>
      </c>
      <c r="B729" s="2" t="s">
        <v>582</v>
      </c>
      <c r="C729" s="2" t="s">
        <v>814</v>
      </c>
      <c r="D729" s="2">
        <v>39</v>
      </c>
      <c r="E729" s="14">
        <f>D729*E723/100</f>
        <v>39</v>
      </c>
      <c r="F729" s="31" t="e">
        <f>ROUND(VLOOKUP(B729,M!$B$6:$H$733,IF(#REF!="დაბალი",4,IF(#REF!="საშუალო",6,IF(#REF!="მაღალი",5))),FALSE),2)</f>
        <v>#REF!</v>
      </c>
      <c r="G729" s="14" t="e">
        <f t="shared" si="221"/>
        <v>#REF!</v>
      </c>
      <c r="H729" s="13"/>
      <c r="I729" s="13"/>
      <c r="J729" s="35" t="e">
        <f>ROUND(IF(ISNUMBER(MATCH(B729,E!$B$6:$B$197,0)),VLOOKUP(B729,E!$B$6:$E$197,2,FALSE),IF(#REF!="დიახ",IF(VLOOKUP(B729,M!$B$6:$I$733,8,FALSE)="ლ",VLOOKUP(B729,M!$B$6:$I$733,3,FALSE)*0.001*#REF!*#REF!,IF(VLOOKUP(B729,M!$B$6:$I$733,8,FALSE)="მბ",VLOOKUP(B729,M!$B$6:$I$733,3,FALSE)*0.001*#REF!*#REF!,IF(VLOOKUP(B729,M!$B$6:$I$733,8,FALSE)="აბ",VLOOKUP(B729,M!$B$6:$I$733,3,FALSE)*0.001*#REF!*#REF!,IF(VLOOKUP(B729,M!$B$6:$I$733,8,FALSE)="ინ",VLOOKUP(B729,M!$B$6:$I$733,3,FALSE)*0.001*#REF!*#REF!,IF(VLOOKUP(B729,M!$B$6:$I$733,8,FALSE)="ას",VLOOKUP(B729,M!$B$6:$I$733,3,FALSE)*0.001*#REF!*#REF!,IF(VLOOKUP(B729,M!$B$6:$I$733,8,FALSE)="სხ",VLOOKUP(B729,M!$B$6:$I$733,3,FALSE)*0.001*#REF!*#REF!,IF(VLOOKUP(B729,M!$B$6:$I$733,8,FALSE)="ხმ",VLOOKUP(B729,M!$B$6:$I$733,3,FALSE)*0.001*#REF!*#REF!))))))))),2)</f>
        <v>#REF!</v>
      </c>
      <c r="K729" s="31" t="e">
        <f t="shared" si="220"/>
        <v>#REF!</v>
      </c>
      <c r="L729" s="14" t="e">
        <f t="shared" si="219"/>
        <v>#REF!</v>
      </c>
      <c r="M729" s="23" t="str">
        <f>(IF(ISNUMBER(MATCH(B729,E!$B$6:$B$197,0)),VLOOKUP(B729,E!$B$6:$E$197,4,FALSE),VLOOKUP(B729,M!$B$6:$I$733,7,FALSE)))</f>
        <v>5.1-138</v>
      </c>
    </row>
    <row r="730" spans="1:14" ht="39.950000000000003" customHeight="1" x14ac:dyDescent="0.25">
      <c r="A730" s="16" t="s">
        <v>733</v>
      </c>
      <c r="B730" s="2" t="s">
        <v>551</v>
      </c>
      <c r="C730" s="2" t="s">
        <v>674</v>
      </c>
      <c r="D730" s="2">
        <f>7.4+0.53</f>
        <v>7.9300000000000006</v>
      </c>
      <c r="E730" s="14">
        <f>D730*E723/100</f>
        <v>7.9300000000000015</v>
      </c>
      <c r="F730" s="31" t="e">
        <f>ROUND(VLOOKUP(B730,M!$B$6:$H$733,IF(#REF!="დაბალი",4,IF(#REF!="საშუალო",6,IF(#REF!="მაღალი",5))),FALSE),2)</f>
        <v>#REF!</v>
      </c>
      <c r="G730" s="14" t="e">
        <f t="shared" si="221"/>
        <v>#REF!</v>
      </c>
      <c r="H730" s="2"/>
      <c r="I730" s="2"/>
      <c r="J730" s="35" t="e">
        <f>ROUND(IF(ISNUMBER(MATCH(B730,E!$B$6:$B$197,0)),VLOOKUP(B730,E!$B$6:$E$197,2,FALSE),IF(#REF!="დიახ",IF(VLOOKUP(B730,M!$B$6:$I$733,8,FALSE)="ლ",VLOOKUP(B730,M!$B$6:$I$733,3,FALSE)*0.001*#REF!*#REF!,IF(VLOOKUP(B730,M!$B$6:$I$733,8,FALSE)="მბ",VLOOKUP(B730,M!$B$6:$I$733,3,FALSE)*0.001*#REF!*#REF!,IF(VLOOKUP(B730,M!$B$6:$I$733,8,FALSE)="აბ",VLOOKUP(B730,M!$B$6:$I$733,3,FALSE)*0.001*#REF!*#REF!,IF(VLOOKUP(B730,M!$B$6:$I$733,8,FALSE)="ინ",VLOOKUP(B730,M!$B$6:$I$733,3,FALSE)*0.001*#REF!*#REF!,IF(VLOOKUP(B730,M!$B$6:$I$733,8,FALSE)="ას",VLOOKUP(B730,M!$B$6:$I$733,3,FALSE)*0.001*#REF!*#REF!,IF(VLOOKUP(B730,M!$B$6:$I$733,8,FALSE)="სხ",VLOOKUP(B730,M!$B$6:$I$733,3,FALSE)*0.001*#REF!*#REF!,IF(VLOOKUP(B730,M!$B$6:$I$733,8,FALSE)="ხმ",VLOOKUP(B730,M!$B$6:$I$733,3,FALSE)*0.001*#REF!*#REF!))))))))),2)</f>
        <v>#REF!</v>
      </c>
      <c r="K730" s="31" t="e">
        <f t="shared" si="220"/>
        <v>#REF!</v>
      </c>
      <c r="L730" s="14" t="e">
        <f>G730+I730+K730</f>
        <v>#REF!</v>
      </c>
      <c r="M730" s="23" t="str">
        <f>(IF(ISNUMBER(MATCH(B730,E!$B$6:$B$197,0)),VLOOKUP(B730,E!$B$6:$E$197,4,FALSE),VLOOKUP(B730,M!$B$6:$I$733,7,FALSE)))</f>
        <v>5.1-22</v>
      </c>
    </row>
    <row r="731" spans="1:14" ht="39.950000000000003" customHeight="1" x14ac:dyDescent="0.25">
      <c r="A731" s="16" t="s">
        <v>734</v>
      </c>
      <c r="B731" s="2" t="s">
        <v>566</v>
      </c>
      <c r="C731" s="2" t="s">
        <v>852</v>
      </c>
      <c r="D731" s="2">
        <v>0.23</v>
      </c>
      <c r="E731" s="14">
        <f>D731*E723/100</f>
        <v>0.23</v>
      </c>
      <c r="F731" s="31" t="e">
        <f>ROUND(VLOOKUP(B731,M!$B$6:$H$733,IF(#REF!="დაბალი",4,IF(#REF!="საშუალო",6,IF(#REF!="მაღალი",5))),FALSE),2)</f>
        <v>#REF!</v>
      </c>
      <c r="G731" s="14" t="e">
        <f t="shared" si="221"/>
        <v>#REF!</v>
      </c>
      <c r="H731" s="13"/>
      <c r="I731" s="13"/>
      <c r="J731" s="35" t="e">
        <f>ROUND(IF(ISNUMBER(MATCH(B731,E!$B$6:$B$197,0)),VLOOKUP(B731,E!$B$6:$E$197,2,FALSE),IF(#REF!="დიახ",IF(VLOOKUP(B731,M!$B$6:$I$733,8,FALSE)="ლ",VLOOKUP(B731,M!$B$6:$I$733,3,FALSE)*0.001*#REF!*#REF!,IF(VLOOKUP(B731,M!$B$6:$I$733,8,FALSE)="მბ",VLOOKUP(B731,M!$B$6:$I$733,3,FALSE)*0.001*#REF!*#REF!,IF(VLOOKUP(B731,M!$B$6:$I$733,8,FALSE)="აბ",VLOOKUP(B731,M!$B$6:$I$733,3,FALSE)*0.001*#REF!*#REF!,IF(VLOOKUP(B731,M!$B$6:$I$733,8,FALSE)="ინ",VLOOKUP(B731,M!$B$6:$I$733,3,FALSE)*0.001*#REF!*#REF!,IF(VLOOKUP(B731,M!$B$6:$I$733,8,FALSE)="ას",VLOOKUP(B731,M!$B$6:$I$733,3,FALSE)*0.001*#REF!*#REF!,IF(VLOOKUP(B731,M!$B$6:$I$733,8,FALSE)="სხ",VLOOKUP(B731,M!$B$6:$I$733,3,FALSE)*0.001*#REF!*#REF!,IF(VLOOKUP(B731,M!$B$6:$I$733,8,FALSE)="ხმ",VLOOKUP(B731,M!$B$6:$I$733,3,FALSE)*0.001*#REF!*#REF!))))))))),2)</f>
        <v>#REF!</v>
      </c>
      <c r="K731" s="31" t="e">
        <f t="shared" si="220"/>
        <v>#REF!</v>
      </c>
      <c r="L731" s="14" t="e">
        <f t="shared" ref="L731" si="222">G731+I731+K731</f>
        <v>#REF!</v>
      </c>
      <c r="M731" s="23" t="str">
        <f>(IF(ISNUMBER(MATCH(B731,E!$B$6:$B$197,0)),VLOOKUP(B731,E!$B$6:$E$197,4,FALSE),VLOOKUP(B731,M!$B$6:$I$733,7,FALSE)))</f>
        <v>5.1-37</v>
      </c>
    </row>
    <row r="732" spans="1:14" ht="38.25" customHeight="1" x14ac:dyDescent="0.25">
      <c r="A732" s="16" t="s">
        <v>735</v>
      </c>
      <c r="B732" s="17" t="s">
        <v>140</v>
      </c>
      <c r="C732" s="2" t="s">
        <v>28</v>
      </c>
      <c r="D732" s="2">
        <v>193</v>
      </c>
      <c r="E732" s="14">
        <f>D732*E723/100</f>
        <v>193</v>
      </c>
      <c r="F732" s="31" t="e">
        <f>ROUND(VLOOKUP(B732,M!$B$6:$H$733,IF(#REF!="დაბალი",4,IF(#REF!="საშუალო",6,IF(#REF!="მაღალი",5))),FALSE),2)</f>
        <v>#REF!</v>
      </c>
      <c r="G732" s="14" t="e">
        <f t="shared" si="221"/>
        <v>#REF!</v>
      </c>
      <c r="H732" s="2"/>
      <c r="I732" s="2"/>
      <c r="J732" s="35" t="e">
        <f>ROUND(IF(ISNUMBER(MATCH(B732,E!$B$6:$B$197,0)),VLOOKUP(B732,E!$B$6:$E$197,2,FALSE),IF(#REF!="დიახ",IF(VLOOKUP(B732,M!$B$6:$I$733,8,FALSE)="ლ",VLOOKUP(B732,M!$B$6:$I$733,3,FALSE)*0.001*#REF!*#REF!,IF(VLOOKUP(B732,M!$B$6:$I$733,8,FALSE)="მბ",VLOOKUP(B732,M!$B$6:$I$733,3,FALSE)*0.001*#REF!*#REF!,IF(VLOOKUP(B732,M!$B$6:$I$733,8,FALSE)="აბ",VLOOKUP(B732,M!$B$6:$I$733,3,FALSE)*0.001*#REF!*#REF!,IF(VLOOKUP(B732,M!$B$6:$I$733,8,FALSE)="ინ",VLOOKUP(B732,M!$B$6:$I$733,3,FALSE)*0.001*#REF!*#REF!,IF(VLOOKUP(B732,M!$B$6:$I$733,8,FALSE)="ას",VLOOKUP(B732,M!$B$6:$I$733,3,FALSE)*0.001*#REF!*#REF!,IF(VLOOKUP(B732,M!$B$6:$I$733,8,FALSE)="სხ",VLOOKUP(B732,M!$B$6:$I$733,3,FALSE)*0.001*#REF!*#REF!,IF(VLOOKUP(B732,M!$B$6:$I$733,8,FALSE)="ხმ",VLOOKUP(B732,M!$B$6:$I$733,3,FALSE)*0.001*#REF!*#REF!))))))))),2)</f>
        <v>#REF!</v>
      </c>
      <c r="K732" s="31" t="e">
        <f t="shared" si="220"/>
        <v>#REF!</v>
      </c>
      <c r="L732" s="14" t="e">
        <f>G732+I732+K732</f>
        <v>#REF!</v>
      </c>
      <c r="M732" s="23" t="str">
        <f>(IF(ISNUMBER(MATCH(B732,E!$B$6:$B$197,0)),VLOOKUP(B732,E!$B$6:$E$197,4,FALSE),VLOOKUP(B732,M!$B$6:$I$733,7,FALSE)))</f>
        <v>1.10-17</v>
      </c>
    </row>
    <row r="733" spans="1:14" ht="38.25" customHeight="1" x14ac:dyDescent="0.25">
      <c r="A733" s="16" t="s">
        <v>736</v>
      </c>
      <c r="B733" s="17" t="s">
        <v>853</v>
      </c>
      <c r="C733" s="2" t="s">
        <v>28</v>
      </c>
      <c r="D733" s="2">
        <v>1160</v>
      </c>
      <c r="E733" s="14">
        <f>D733*E723/100</f>
        <v>1160</v>
      </c>
      <c r="F733" s="31" t="e">
        <f>ROUND(VLOOKUP(B733,M!$B$6:$H$733,IF(#REF!="დაბალი",4,IF(#REF!="საშუალო",6,IF(#REF!="მაღალი",5))),FALSE),2)</f>
        <v>#REF!</v>
      </c>
      <c r="G733" s="14" t="e">
        <f t="shared" si="221"/>
        <v>#REF!</v>
      </c>
      <c r="H733" s="2"/>
      <c r="I733" s="2"/>
      <c r="J733" s="35" t="e">
        <f>ROUND(IF(ISNUMBER(MATCH(B733,E!$B$6:$B$197,0)),VLOOKUP(B733,E!$B$6:$E$197,2,FALSE),IF(#REF!="დიახ",IF(VLOOKUP(B733,M!$B$6:$I$733,8,FALSE)="ლ",VLOOKUP(B733,M!$B$6:$I$733,3,FALSE)*0.001*#REF!*#REF!,IF(VLOOKUP(B733,M!$B$6:$I$733,8,FALSE)="მბ",VLOOKUP(B733,M!$B$6:$I$733,3,FALSE)*0.001*#REF!*#REF!,IF(VLOOKUP(B733,M!$B$6:$I$733,8,FALSE)="აბ",VLOOKUP(B733,M!$B$6:$I$733,3,FALSE)*0.001*#REF!*#REF!,IF(VLOOKUP(B733,M!$B$6:$I$733,8,FALSE)="ინ",VLOOKUP(B733,M!$B$6:$I$733,3,FALSE)*0.001*#REF!*#REF!,IF(VLOOKUP(B733,M!$B$6:$I$733,8,FALSE)="ას",VLOOKUP(B733,M!$B$6:$I$733,3,FALSE)*0.001*#REF!*#REF!,IF(VLOOKUP(B733,M!$B$6:$I$733,8,FALSE)="სხ",VLOOKUP(B733,M!$B$6:$I$733,3,FALSE)*0.001*#REF!*#REF!,IF(VLOOKUP(B733,M!$B$6:$I$733,8,FALSE)="ხმ",VLOOKUP(B733,M!$B$6:$I$733,3,FALSE)*0.001*#REF!*#REF!))))))))),2)</f>
        <v>#REF!</v>
      </c>
      <c r="K733" s="31" t="e">
        <f t="shared" si="220"/>
        <v>#REF!</v>
      </c>
      <c r="L733" s="14" t="e">
        <f>G733+I733+K733</f>
        <v>#REF!</v>
      </c>
      <c r="M733" s="23" t="str">
        <f>(IF(ISNUMBER(MATCH(B733,E!$B$6:$B$197,0)),VLOOKUP(B733,E!$B$6:$E$197,4,FALSE),VLOOKUP(B733,M!$B$6:$I$733,7,FALSE)))</f>
        <v>საბ.</v>
      </c>
    </row>
    <row r="734" spans="1:14" ht="39.950000000000003" customHeight="1" x14ac:dyDescent="0.25">
      <c r="A734" s="16" t="s">
        <v>737</v>
      </c>
      <c r="B734" s="17" t="s">
        <v>677</v>
      </c>
      <c r="C734" s="2" t="s">
        <v>393</v>
      </c>
      <c r="D734" s="2">
        <v>156</v>
      </c>
      <c r="E734" s="14">
        <f>D734*E723/100</f>
        <v>156</v>
      </c>
      <c r="F734" s="31" t="e">
        <f>ROUND(VLOOKUP(B734,M!$B$6:$H$733,IF(#REF!="დაბალი",4,IF(#REF!="საშუალო",6,IF(#REF!="მაღალი",5))),FALSE),2)</f>
        <v>#REF!</v>
      </c>
      <c r="G734" s="14" t="e">
        <f t="shared" si="221"/>
        <v>#REF!</v>
      </c>
      <c r="H734" s="2"/>
      <c r="I734" s="2"/>
      <c r="J734" s="35" t="e">
        <f>ROUND(IF(ISNUMBER(MATCH(B734,E!$B$6:$B$197,0)),VLOOKUP(B734,E!$B$6:$E$197,2,FALSE),IF(#REF!="დიახ",IF(VLOOKUP(B734,M!$B$6:$I$733,8,FALSE)="ლ",VLOOKUP(B734,M!$B$6:$I$733,3,FALSE)*0.001*#REF!*#REF!,IF(VLOOKUP(B734,M!$B$6:$I$733,8,FALSE)="მბ",VLOOKUP(B734,M!$B$6:$I$733,3,FALSE)*0.001*#REF!*#REF!,IF(VLOOKUP(B734,M!$B$6:$I$733,8,FALSE)="აბ",VLOOKUP(B734,M!$B$6:$I$733,3,FALSE)*0.001*#REF!*#REF!,IF(VLOOKUP(B734,M!$B$6:$I$733,8,FALSE)="ინ",VLOOKUP(B734,M!$B$6:$I$733,3,FALSE)*0.001*#REF!*#REF!,IF(VLOOKUP(B734,M!$B$6:$I$733,8,FALSE)="ას",VLOOKUP(B734,M!$B$6:$I$733,3,FALSE)*0.001*#REF!*#REF!,IF(VLOOKUP(B734,M!$B$6:$I$733,8,FALSE)="სხ",VLOOKUP(B734,M!$B$6:$I$733,3,FALSE)*0.001*#REF!*#REF!,IF(VLOOKUP(B734,M!$B$6:$I$733,8,FALSE)="ხმ",VLOOKUP(B734,M!$B$6:$I$733,3,FALSE)*0.001*#REF!*#REF!))))))))),2)</f>
        <v>#REF!</v>
      </c>
      <c r="K734" s="31" t="e">
        <f t="shared" si="220"/>
        <v>#REF!</v>
      </c>
      <c r="L734" s="14" t="e">
        <f t="shared" si="219"/>
        <v>#REF!</v>
      </c>
      <c r="M734" s="23" t="str">
        <f>(IF(ISNUMBER(MATCH(B734,E!$B$6:$B$197,0)),VLOOKUP(B734,E!$B$6:$E$197,4,FALSE),VLOOKUP(B734,M!$B$6:$I$733,7,FALSE)))</f>
        <v>ს.რ.ფ</v>
      </c>
    </row>
    <row r="735" spans="1:14" s="45" customFormat="1" ht="39.950000000000003" customHeight="1" x14ac:dyDescent="0.25">
      <c r="A735" s="39">
        <v>1.1000000000000001</v>
      </c>
      <c r="B735" s="40" t="s">
        <v>1088</v>
      </c>
      <c r="C735" s="41" t="s">
        <v>712</v>
      </c>
      <c r="D735" s="41"/>
      <c r="E735" s="52">
        <v>100</v>
      </c>
      <c r="F735" s="41"/>
      <c r="G735" s="41"/>
      <c r="H735" s="42"/>
      <c r="I735" s="42"/>
      <c r="J735" s="41"/>
      <c r="K735" s="41"/>
      <c r="L735" s="43" t="e">
        <f>SUM(L736:L745)</f>
        <v>#REF!</v>
      </c>
      <c r="M735" s="72" t="s">
        <v>1084</v>
      </c>
      <c r="N735" s="107"/>
    </row>
    <row r="736" spans="1:14" ht="39.950000000000003" customHeight="1" x14ac:dyDescent="0.25">
      <c r="A736" s="16" t="s">
        <v>668</v>
      </c>
      <c r="B736" s="17" t="s">
        <v>669</v>
      </c>
      <c r="C736" s="2" t="s">
        <v>670</v>
      </c>
      <c r="D736" s="69">
        <v>484</v>
      </c>
      <c r="E736" s="14">
        <f>D736*E735/100</f>
        <v>484</v>
      </c>
      <c r="F736" s="13"/>
      <c r="G736" s="13"/>
      <c r="H736" s="27">
        <f>IF((ISNUMBER(--LEFT(M735,2))),VLOOKUP(--LEFT(M735,2),N!$A$5:$C$54,3,FALSE),VLOOKUP(--LEFT(M735,1),N!$A$5:$C$54,3,FALSE))</f>
        <v>6</v>
      </c>
      <c r="I736" s="14">
        <f>ROUND(E736*H736,2)</f>
        <v>2904</v>
      </c>
      <c r="J736" s="2"/>
      <c r="K736" s="2"/>
      <c r="L736" s="14">
        <f t="shared" ref="L736:L745" si="223">G736+I736+K736</f>
        <v>2904</v>
      </c>
      <c r="M736" s="23" t="str">
        <f>(IF(ISNUMBER(MATCH(B736,E!$B$6:$B$197,0)),VLOOKUP(B736,E!$B$6:$E$197,4,FALSE),VLOOKUP(B736,M!$B$6:$I$733,7,FALSE)))</f>
        <v>მ.ც</v>
      </c>
      <c r="N736" s="106"/>
    </row>
    <row r="737" spans="1:14" ht="39.950000000000003" customHeight="1" x14ac:dyDescent="0.25">
      <c r="A737" s="16" t="s">
        <v>671</v>
      </c>
      <c r="B737" s="2" t="s">
        <v>182</v>
      </c>
      <c r="C737" s="2" t="s">
        <v>672</v>
      </c>
      <c r="D737" s="2">
        <v>9.6</v>
      </c>
      <c r="E737" s="14">
        <f>D737*E735/100</f>
        <v>9.6</v>
      </c>
      <c r="F737" s="13"/>
      <c r="G737" s="13"/>
      <c r="H737" s="2"/>
      <c r="I737" s="2"/>
      <c r="J737" s="35">
        <f>ROUND(IF(ISNUMBER(MATCH(B737,E!$B$6:$B$197,0)),VLOOKUP(B737,E!$B$6:$E$197,2,FALSE),IF(#REF!="დიახ",IF(VLOOKUP(B737,M!$B$6:$I$733,8,FALSE)="ლ",VLOOKUP(B737,M!$B$6:$I$733,3,FALSE)*0.001*#REF!*#REF!,IF(VLOOKUP(B737,M!$B$6:$I$733,8,FALSE)="მბ",VLOOKUP(B737,M!$B$6:$I$733,3,FALSE)*0.001*#REF!*#REF!,IF(VLOOKUP(B737,M!$B$6:$I$733,8,FALSE)="აბ",VLOOKUP(B737,M!$B$6:$I$733,3,FALSE)*0.001*#REF!*#REF!,IF(VLOOKUP(B737,M!$B$6:$I$733,8,FALSE)="ინ",VLOOKUP(B737,M!$B$6:$I$733,3,FALSE)*0.001*#REF!*#REF!,IF(VLOOKUP(B737,M!$B$6:$I$733,8,FALSE)="ას",VLOOKUP(B737,M!$B$6:$I$733,3,FALSE)*0.001*#REF!*#REF!,IF(VLOOKUP(B737,M!$B$6:$I$733,8,FALSE)="სხ",VLOOKUP(B737,M!$B$6:$I$733,3,FALSE)*0.001*#REF!*#REF!,IF(VLOOKUP(B737,M!$B$6:$I$733,8,FALSE)="ხმ",VLOOKUP(B737,M!$B$6:$I$733,3,FALSE)*0.001*#REF!*#REF!))))))))),2)</f>
        <v>35.03</v>
      </c>
      <c r="K737" s="14">
        <f t="shared" ref="K737:K739" si="224">ROUND(E737*J737,2)</f>
        <v>336.29</v>
      </c>
      <c r="L737" s="14">
        <f t="shared" si="223"/>
        <v>336.29</v>
      </c>
      <c r="M737" s="23" t="str">
        <f>(IF(ISNUMBER(MATCH(B737,E!$B$6:$B$197,0)),VLOOKUP(B737,E!$B$6:$E$197,4,FALSE),VLOOKUP(B737,M!$B$6:$I$733,7,FALSE)))</f>
        <v>14-56</v>
      </c>
      <c r="N737" s="106"/>
    </row>
    <row r="738" spans="1:14" ht="39.950000000000003" customHeight="1" x14ac:dyDescent="0.25">
      <c r="A738" s="16" t="s">
        <v>673</v>
      </c>
      <c r="B738" s="17" t="s">
        <v>654</v>
      </c>
      <c r="C738" s="2" t="s">
        <v>393</v>
      </c>
      <c r="D738" s="14">
        <v>42</v>
      </c>
      <c r="E738" s="14">
        <f>D738*E735/100</f>
        <v>42</v>
      </c>
      <c r="F738" s="13"/>
      <c r="G738" s="14"/>
      <c r="H738" s="2"/>
      <c r="I738" s="2"/>
      <c r="J738" s="35">
        <f>ROUND(IF(ISNUMBER(MATCH(B738,E!$B$6:$B$197,0)),VLOOKUP(B738,E!$B$6:$E$197,2,FALSE),IF(#REF!="დიახ",IF(VLOOKUP(B738,M!$B$6:$I$733,8,FALSE)="ლ",VLOOKUP(B738,M!$B$6:$I$733,3,FALSE)*0.001*#REF!*#REF!,IF(VLOOKUP(B738,M!$B$6:$I$733,8,FALSE)="მბ",VLOOKUP(B738,M!$B$6:$I$733,3,FALSE)*0.001*#REF!*#REF!,IF(VLOOKUP(B738,M!$B$6:$I$733,8,FALSE)="აბ",VLOOKUP(B738,M!$B$6:$I$733,3,FALSE)*0.001*#REF!*#REF!,IF(VLOOKUP(B738,M!$B$6:$I$733,8,FALSE)="ინ",VLOOKUP(B738,M!$B$6:$I$733,3,FALSE)*0.001*#REF!*#REF!,IF(VLOOKUP(B738,M!$B$6:$I$733,8,FALSE)="ას",VLOOKUP(B738,M!$B$6:$I$733,3,FALSE)*0.001*#REF!*#REF!,IF(VLOOKUP(B738,M!$B$6:$I$733,8,FALSE)="სხ",VLOOKUP(B738,M!$B$6:$I$733,3,FALSE)*0.001*#REF!*#REF!,IF(VLOOKUP(B738,M!$B$6:$I$733,8,FALSE)="ხმ",VLOOKUP(B738,M!$B$6:$I$733,3,FALSE)*0.001*#REF!*#REF!))))))))),2)</f>
        <v>3.2</v>
      </c>
      <c r="K738" s="14">
        <f t="shared" si="224"/>
        <v>134.4</v>
      </c>
      <c r="L738" s="14">
        <f t="shared" si="223"/>
        <v>134.4</v>
      </c>
      <c r="M738" s="23" t="str">
        <f>(IF(ISNUMBER(MATCH(B738,E!$B$6:$B$197,0)),VLOOKUP(B738,E!$B$6:$E$197,4,FALSE),VLOOKUP(B738,M!$B$6:$I$733,7,FALSE)))</f>
        <v>ს.რ.ფ</v>
      </c>
      <c r="N738" s="106"/>
    </row>
    <row r="739" spans="1:14" ht="39.950000000000003" customHeight="1" x14ac:dyDescent="0.25">
      <c r="A739" s="16" t="s">
        <v>675</v>
      </c>
      <c r="B739" s="2" t="s">
        <v>801</v>
      </c>
      <c r="C739" s="2" t="s">
        <v>674</v>
      </c>
      <c r="D739" s="2">
        <v>101.5</v>
      </c>
      <c r="E739" s="14">
        <f>D739*E735/100</f>
        <v>101.5</v>
      </c>
      <c r="F739" s="31" t="e">
        <f>ROUND(VLOOKUP(B739,M!$B$6:$H$733,IF(#REF!="დაბალი",4,IF(#REF!="საშუალო",6,IF(#REF!="მაღალი",5))),FALSE),2)</f>
        <v>#REF!</v>
      </c>
      <c r="G739" s="14" t="e">
        <f t="shared" ref="G739:G745" si="225">ROUND(E739*F739,2)</f>
        <v>#REF!</v>
      </c>
      <c r="H739" s="2"/>
      <c r="I739" s="2"/>
      <c r="J739" s="35" t="e">
        <f>ROUND(IF(ISNUMBER(MATCH(B739,E!$B$6:$B$197,0)),VLOOKUP(B739,E!$B$6:$E$197,2,FALSE),IF(#REF!="დიახ",IF(VLOOKUP(B739,M!$B$6:$I$733,8,FALSE)="ლ",VLOOKUP(B739,M!$B$6:$I$733,3,FALSE)*0.001*#REF!*#REF!,IF(VLOOKUP(B739,M!$B$6:$I$733,8,FALSE)="მბ",VLOOKUP(B739,M!$B$6:$I$733,3,FALSE)*0.001*#REF!*#REF!,IF(VLOOKUP(B739,M!$B$6:$I$733,8,FALSE)="აბ",VLOOKUP(B739,M!$B$6:$I$733,3,FALSE)*0.001*#REF!*#REF!,IF(VLOOKUP(B739,M!$B$6:$I$733,8,FALSE)="ინ",VLOOKUP(B739,M!$B$6:$I$733,3,FALSE)*0.001*#REF!*#REF!,IF(VLOOKUP(B739,M!$B$6:$I$733,8,FALSE)="ას",VLOOKUP(B739,M!$B$6:$I$733,3,FALSE)*0.001*#REF!*#REF!,IF(VLOOKUP(B739,M!$B$6:$I$733,8,FALSE)="სხ",VLOOKUP(B739,M!$B$6:$I$733,3,FALSE)*0.001*#REF!*#REF!,IF(VLOOKUP(B739,M!$B$6:$I$733,8,FALSE)="ხმ",VLOOKUP(B739,M!$B$6:$I$733,3,FALSE)*0.001*#REF!*#REF!))))))))),2)</f>
        <v>#REF!</v>
      </c>
      <c r="K739" s="31" t="e">
        <f t="shared" si="224"/>
        <v>#REF!</v>
      </c>
      <c r="L739" s="14" t="e">
        <f t="shared" si="223"/>
        <v>#REF!</v>
      </c>
      <c r="M739" s="23" t="str">
        <f>(IF(ISNUMBER(MATCH(B739,E!$B$6:$B$197,0)),VLOOKUP(B739,E!$B$6:$E$197,4,FALSE),VLOOKUP(B739,M!$B$6:$I$733,7,FALSE)))</f>
        <v>4.1-345</v>
      </c>
      <c r="N739" s="106"/>
    </row>
    <row r="740" spans="1:14" ht="39.950000000000003" customHeight="1" x14ac:dyDescent="0.25">
      <c r="A740" s="16" t="s">
        <v>695</v>
      </c>
      <c r="B740" s="17" t="s">
        <v>400</v>
      </c>
      <c r="C740" s="2" t="s">
        <v>674</v>
      </c>
      <c r="D740" s="2">
        <v>2.14</v>
      </c>
      <c r="E740" s="14">
        <f>D740*E735/100</f>
        <v>2.14</v>
      </c>
      <c r="F740" s="31" t="e">
        <f>ROUND(VLOOKUP(B740,M!$B$6:$H$733,IF(#REF!="დაბალი",4,IF(#REF!="საშუალო",6,IF(#REF!="მაღალი",5))),FALSE),2)</f>
        <v>#REF!</v>
      </c>
      <c r="G740" s="14" t="e">
        <f t="shared" si="225"/>
        <v>#REF!</v>
      </c>
      <c r="H740" s="13"/>
      <c r="I740" s="13"/>
      <c r="J740" s="35" t="e">
        <f>ROUND(IF(ISNUMBER(MATCH(B740,E!$B$6:$B$197,0)),VLOOKUP(B740,E!$B$6:$E$197,2,FALSE),IF(#REF!="დიახ",IF(VLOOKUP(B740,M!$B$6:$I$733,8,FALSE)="ლ",VLOOKUP(B740,M!$B$6:$I$733,3,FALSE)*0.001*#REF!*#REF!,IF(VLOOKUP(B740,M!$B$6:$I$733,8,FALSE)="მბ",VLOOKUP(B740,M!$B$6:$I$733,3,FALSE)*0.001*#REF!*#REF!,IF(VLOOKUP(B740,M!$B$6:$I$733,8,FALSE)="აბ",VLOOKUP(B740,M!$B$6:$I$733,3,FALSE)*0.001*#REF!*#REF!,IF(VLOOKUP(B740,M!$B$6:$I$733,8,FALSE)="ინ",VLOOKUP(B740,M!$B$6:$I$733,3,FALSE)*0.001*#REF!*#REF!,IF(VLOOKUP(B740,M!$B$6:$I$733,8,FALSE)="ას",VLOOKUP(B740,M!$B$6:$I$733,3,FALSE)*0.001*#REF!*#REF!,IF(VLOOKUP(B740,M!$B$6:$I$733,8,FALSE)="სხ",VLOOKUP(B740,M!$B$6:$I$733,3,FALSE)*0.001*#REF!*#REF!,IF(VLOOKUP(B740,M!$B$6:$I$733,8,FALSE)="ხმ",VLOOKUP(B740,M!$B$6:$I$733,3,FALSE)*0.001*#REF!*#REF!))))))))),2)</f>
        <v>#REF!</v>
      </c>
      <c r="K740" s="31" t="e">
        <f t="shared" ref="K740:K744" si="226">ROUND(E740*J740,2)</f>
        <v>#REF!</v>
      </c>
      <c r="L740" s="14" t="e">
        <f t="shared" si="223"/>
        <v>#REF!</v>
      </c>
      <c r="M740" s="23" t="str">
        <f>(IF(ISNUMBER(MATCH(B740,E!$B$6:$B$197,0)),VLOOKUP(B740,E!$B$6:$E$197,4,FALSE),VLOOKUP(B740,M!$B$6:$I$733,7,FALSE)))</f>
        <v>4.1-371</v>
      </c>
      <c r="N740" s="106"/>
    </row>
    <row r="741" spans="1:14" ht="39.950000000000003" customHeight="1" x14ac:dyDescent="0.25">
      <c r="A741" s="16" t="s">
        <v>696</v>
      </c>
      <c r="B741" s="2" t="s">
        <v>582</v>
      </c>
      <c r="C741" s="2" t="s">
        <v>814</v>
      </c>
      <c r="D741" s="2">
        <v>32</v>
      </c>
      <c r="E741" s="14">
        <f>D741*E735/100</f>
        <v>32</v>
      </c>
      <c r="F741" s="31" t="e">
        <f>ROUND(VLOOKUP(B741,M!$B$6:$H$733,IF(#REF!="დაბალი",4,IF(#REF!="საშუალო",6,IF(#REF!="მაღალი",5))),FALSE),2)</f>
        <v>#REF!</v>
      </c>
      <c r="G741" s="14" t="e">
        <f t="shared" si="225"/>
        <v>#REF!</v>
      </c>
      <c r="H741" s="13"/>
      <c r="I741" s="13"/>
      <c r="J741" s="35" t="e">
        <f>ROUND(IF(ISNUMBER(MATCH(B741,E!$B$6:$B$197,0)),VLOOKUP(B741,E!$B$6:$E$197,2,FALSE),IF(#REF!="დიახ",IF(VLOOKUP(B741,M!$B$6:$I$733,8,FALSE)="ლ",VLOOKUP(B741,M!$B$6:$I$733,3,FALSE)*0.001*#REF!*#REF!,IF(VLOOKUP(B741,M!$B$6:$I$733,8,FALSE)="მბ",VLOOKUP(B741,M!$B$6:$I$733,3,FALSE)*0.001*#REF!*#REF!,IF(VLOOKUP(B741,M!$B$6:$I$733,8,FALSE)="აბ",VLOOKUP(B741,M!$B$6:$I$733,3,FALSE)*0.001*#REF!*#REF!,IF(VLOOKUP(B741,M!$B$6:$I$733,8,FALSE)="ინ",VLOOKUP(B741,M!$B$6:$I$733,3,FALSE)*0.001*#REF!*#REF!,IF(VLOOKUP(B741,M!$B$6:$I$733,8,FALSE)="ას",VLOOKUP(B741,M!$B$6:$I$733,3,FALSE)*0.001*#REF!*#REF!,IF(VLOOKUP(B741,M!$B$6:$I$733,8,FALSE)="სხ",VLOOKUP(B741,M!$B$6:$I$733,3,FALSE)*0.001*#REF!*#REF!,IF(VLOOKUP(B741,M!$B$6:$I$733,8,FALSE)="ხმ",VLOOKUP(B741,M!$B$6:$I$733,3,FALSE)*0.001*#REF!*#REF!))))))))),2)</f>
        <v>#REF!</v>
      </c>
      <c r="K741" s="31" t="e">
        <f t="shared" si="226"/>
        <v>#REF!</v>
      </c>
      <c r="L741" s="14" t="e">
        <f t="shared" si="223"/>
        <v>#REF!</v>
      </c>
      <c r="M741" s="23" t="str">
        <f>(IF(ISNUMBER(MATCH(B741,E!$B$6:$B$197,0)),VLOOKUP(B741,E!$B$6:$E$197,4,FALSE),VLOOKUP(B741,M!$B$6:$I$733,7,FALSE)))</f>
        <v>5.1-138</v>
      </c>
      <c r="N741" s="106"/>
    </row>
    <row r="742" spans="1:14" ht="39.950000000000003" customHeight="1" x14ac:dyDescent="0.25">
      <c r="A742" s="16" t="s">
        <v>733</v>
      </c>
      <c r="B742" s="2" t="s">
        <v>551</v>
      </c>
      <c r="C742" s="2" t="s">
        <v>674</v>
      </c>
      <c r="D742" s="2">
        <v>21.2</v>
      </c>
      <c r="E742" s="14">
        <f>D742*E735/100</f>
        <v>21.2</v>
      </c>
      <c r="F742" s="31" t="e">
        <f>ROUND(VLOOKUP(B742,M!$B$6:$H$733,IF(#REF!="დაბალი",4,IF(#REF!="საშუალო",6,IF(#REF!="მაღალი",5))),FALSE),2)</f>
        <v>#REF!</v>
      </c>
      <c r="G742" s="14" t="e">
        <f t="shared" si="225"/>
        <v>#REF!</v>
      </c>
      <c r="H742" s="2"/>
      <c r="I742" s="2"/>
      <c r="J742" s="35" t="e">
        <f>ROUND(IF(ISNUMBER(MATCH(B742,E!$B$6:$B$197,0)),VLOOKUP(B742,E!$B$6:$E$197,2,FALSE),IF(#REF!="დიახ",IF(VLOOKUP(B742,M!$B$6:$I$733,8,FALSE)="ლ",VLOOKUP(B742,M!$B$6:$I$733,3,FALSE)*0.001*#REF!*#REF!,IF(VLOOKUP(B742,M!$B$6:$I$733,8,FALSE)="მბ",VLOOKUP(B742,M!$B$6:$I$733,3,FALSE)*0.001*#REF!*#REF!,IF(VLOOKUP(B742,M!$B$6:$I$733,8,FALSE)="აბ",VLOOKUP(B742,M!$B$6:$I$733,3,FALSE)*0.001*#REF!*#REF!,IF(VLOOKUP(B742,M!$B$6:$I$733,8,FALSE)="ინ",VLOOKUP(B742,M!$B$6:$I$733,3,FALSE)*0.001*#REF!*#REF!,IF(VLOOKUP(B742,M!$B$6:$I$733,8,FALSE)="ას",VLOOKUP(B742,M!$B$6:$I$733,3,FALSE)*0.001*#REF!*#REF!,IF(VLOOKUP(B742,M!$B$6:$I$733,8,FALSE)="სხ",VLOOKUP(B742,M!$B$6:$I$733,3,FALSE)*0.001*#REF!*#REF!,IF(VLOOKUP(B742,M!$B$6:$I$733,8,FALSE)="ხმ",VLOOKUP(B742,M!$B$6:$I$733,3,FALSE)*0.001*#REF!*#REF!))))))))),2)</f>
        <v>#REF!</v>
      </c>
      <c r="K742" s="31" t="e">
        <f t="shared" si="226"/>
        <v>#REF!</v>
      </c>
      <c r="L742" s="14" t="e">
        <f>G742+I742+K742</f>
        <v>#REF!</v>
      </c>
      <c r="M742" s="23" t="str">
        <f>(IF(ISNUMBER(MATCH(B742,E!$B$6:$B$197,0)),VLOOKUP(B742,E!$B$6:$E$197,4,FALSE),VLOOKUP(B742,M!$B$6:$I$733,7,FALSE)))</f>
        <v>5.1-22</v>
      </c>
      <c r="N742" s="106"/>
    </row>
    <row r="743" spans="1:14" ht="39.950000000000003" customHeight="1" x14ac:dyDescent="0.25">
      <c r="A743" s="16" t="s">
        <v>734</v>
      </c>
      <c r="B743" s="2" t="s">
        <v>566</v>
      </c>
      <c r="C743" s="2" t="s">
        <v>852</v>
      </c>
      <c r="D743" s="2">
        <v>1.67</v>
      </c>
      <c r="E743" s="14">
        <f>D743*E735/100</f>
        <v>1.67</v>
      </c>
      <c r="F743" s="31" t="e">
        <f>ROUND(VLOOKUP(B743,M!$B$6:$H$733,IF(#REF!="დაბალი",4,IF(#REF!="საშუალო",6,IF(#REF!="მაღალი",5))),FALSE),2)</f>
        <v>#REF!</v>
      </c>
      <c r="G743" s="14" t="e">
        <f t="shared" si="225"/>
        <v>#REF!</v>
      </c>
      <c r="H743" s="13"/>
      <c r="I743" s="13"/>
      <c r="J743" s="35" t="e">
        <f>ROUND(IF(ISNUMBER(MATCH(B743,E!$B$6:$B$197,0)),VLOOKUP(B743,E!$B$6:$E$197,2,FALSE),IF(#REF!="დიახ",IF(VLOOKUP(B743,M!$B$6:$I$733,8,FALSE)="ლ",VLOOKUP(B743,M!$B$6:$I$733,3,FALSE)*0.001*#REF!*#REF!,IF(VLOOKUP(B743,M!$B$6:$I$733,8,FALSE)="მბ",VLOOKUP(B743,M!$B$6:$I$733,3,FALSE)*0.001*#REF!*#REF!,IF(VLOOKUP(B743,M!$B$6:$I$733,8,FALSE)="აბ",VLOOKUP(B743,M!$B$6:$I$733,3,FALSE)*0.001*#REF!*#REF!,IF(VLOOKUP(B743,M!$B$6:$I$733,8,FALSE)="ინ",VLOOKUP(B743,M!$B$6:$I$733,3,FALSE)*0.001*#REF!*#REF!,IF(VLOOKUP(B743,M!$B$6:$I$733,8,FALSE)="ას",VLOOKUP(B743,M!$B$6:$I$733,3,FALSE)*0.001*#REF!*#REF!,IF(VLOOKUP(B743,M!$B$6:$I$733,8,FALSE)="სხ",VLOOKUP(B743,M!$B$6:$I$733,3,FALSE)*0.001*#REF!*#REF!,IF(VLOOKUP(B743,M!$B$6:$I$733,8,FALSE)="ხმ",VLOOKUP(B743,M!$B$6:$I$733,3,FALSE)*0.001*#REF!*#REF!))))))))),2)</f>
        <v>#REF!</v>
      </c>
      <c r="K743" s="31" t="e">
        <f t="shared" si="226"/>
        <v>#REF!</v>
      </c>
      <c r="L743" s="14" t="e">
        <f t="shared" ref="L743" si="227">G743+I743+K743</f>
        <v>#REF!</v>
      </c>
      <c r="M743" s="23" t="str">
        <f>(IF(ISNUMBER(MATCH(B743,E!$B$6:$B$197,0)),VLOOKUP(B743,E!$B$6:$E$197,4,FALSE),VLOOKUP(B743,M!$B$6:$I$733,7,FALSE)))</f>
        <v>5.1-37</v>
      </c>
      <c r="N743" s="106"/>
    </row>
    <row r="744" spans="1:14" ht="38.25" customHeight="1" x14ac:dyDescent="0.25">
      <c r="A744" s="16" t="s">
        <v>735</v>
      </c>
      <c r="B744" s="17" t="s">
        <v>140</v>
      </c>
      <c r="C744" s="2" t="s">
        <v>28</v>
      </c>
      <c r="D744" s="2">
        <v>223</v>
      </c>
      <c r="E744" s="14">
        <f>D744*E735/100</f>
        <v>223</v>
      </c>
      <c r="F744" s="31" t="e">
        <f>ROUND(VLOOKUP(B744,M!$B$6:$H$733,IF(#REF!="დაბალი",4,IF(#REF!="საშუალო",6,IF(#REF!="მაღალი",5))),FALSE),2)</f>
        <v>#REF!</v>
      </c>
      <c r="G744" s="14" t="e">
        <f t="shared" si="225"/>
        <v>#REF!</v>
      </c>
      <c r="H744" s="2"/>
      <c r="I744" s="2"/>
      <c r="J744" s="35" t="e">
        <f>ROUND(IF(ISNUMBER(MATCH(B744,E!$B$6:$B$197,0)),VLOOKUP(B744,E!$B$6:$E$197,2,FALSE),IF(#REF!="დიახ",IF(VLOOKUP(B744,M!$B$6:$I$733,8,FALSE)="ლ",VLOOKUP(B744,M!$B$6:$I$733,3,FALSE)*0.001*#REF!*#REF!,IF(VLOOKUP(B744,M!$B$6:$I$733,8,FALSE)="მბ",VLOOKUP(B744,M!$B$6:$I$733,3,FALSE)*0.001*#REF!*#REF!,IF(VLOOKUP(B744,M!$B$6:$I$733,8,FALSE)="აბ",VLOOKUP(B744,M!$B$6:$I$733,3,FALSE)*0.001*#REF!*#REF!,IF(VLOOKUP(B744,M!$B$6:$I$733,8,FALSE)="ინ",VLOOKUP(B744,M!$B$6:$I$733,3,FALSE)*0.001*#REF!*#REF!,IF(VLOOKUP(B744,M!$B$6:$I$733,8,FALSE)="ას",VLOOKUP(B744,M!$B$6:$I$733,3,FALSE)*0.001*#REF!*#REF!,IF(VLOOKUP(B744,M!$B$6:$I$733,8,FALSE)="სხ",VLOOKUP(B744,M!$B$6:$I$733,3,FALSE)*0.001*#REF!*#REF!,IF(VLOOKUP(B744,M!$B$6:$I$733,8,FALSE)="ხმ",VLOOKUP(B744,M!$B$6:$I$733,3,FALSE)*0.001*#REF!*#REF!))))))))),2)</f>
        <v>#REF!</v>
      </c>
      <c r="K744" s="31" t="e">
        <f t="shared" si="226"/>
        <v>#REF!</v>
      </c>
      <c r="L744" s="14" t="e">
        <f>G744+I744+K744</f>
        <v>#REF!</v>
      </c>
      <c r="M744" s="23" t="str">
        <f>(IF(ISNUMBER(MATCH(B744,E!$B$6:$B$197,0)),VLOOKUP(B744,E!$B$6:$E$197,4,FALSE),VLOOKUP(B744,M!$B$6:$I$733,7,FALSE)))</f>
        <v>1.10-17</v>
      </c>
      <c r="N744" s="106"/>
    </row>
    <row r="745" spans="1:14" ht="39.950000000000003" customHeight="1" x14ac:dyDescent="0.25">
      <c r="A745" s="16" t="s">
        <v>736</v>
      </c>
      <c r="B745" s="17" t="s">
        <v>677</v>
      </c>
      <c r="C745" s="2" t="s">
        <v>393</v>
      </c>
      <c r="D745" s="2">
        <v>191</v>
      </c>
      <c r="E745" s="14">
        <f>D745*E735/100</f>
        <v>191</v>
      </c>
      <c r="F745" s="31" t="e">
        <f>ROUND(VLOOKUP(B745,M!$B$6:$H$733,IF(#REF!="დაბალი",4,IF(#REF!="საშუალო",6,IF(#REF!="მაღალი",5))),FALSE),2)</f>
        <v>#REF!</v>
      </c>
      <c r="G745" s="14" t="e">
        <f t="shared" si="225"/>
        <v>#REF!</v>
      </c>
      <c r="H745" s="2"/>
      <c r="I745" s="2"/>
      <c r="J745" s="2"/>
      <c r="K745" s="14"/>
      <c r="L745" s="14" t="e">
        <f t="shared" si="223"/>
        <v>#REF!</v>
      </c>
      <c r="M745" s="23" t="str">
        <f>(IF(ISNUMBER(MATCH(B745,E!$B$6:$B$197,0)),VLOOKUP(B745,E!$B$6:$E$197,4,FALSE),VLOOKUP(B745,M!$B$6:$I$733,7,FALSE)))</f>
        <v>ს.რ.ფ</v>
      </c>
      <c r="N745" s="106"/>
    </row>
    <row r="746" spans="1:14" s="45" customFormat="1" ht="39.950000000000003" customHeight="1" x14ac:dyDescent="0.25">
      <c r="A746" s="39">
        <v>1.1000000000000001</v>
      </c>
      <c r="B746" s="40" t="s">
        <v>1086</v>
      </c>
      <c r="C746" s="41" t="s">
        <v>9</v>
      </c>
      <c r="D746" s="41"/>
      <c r="E746" s="43">
        <v>1</v>
      </c>
      <c r="F746" s="41"/>
      <c r="G746" s="41"/>
      <c r="H746" s="42"/>
      <c r="I746" s="42"/>
      <c r="J746" s="41"/>
      <c r="K746" s="41"/>
      <c r="L746" s="43" t="e">
        <f>SUM(L747:L752)</f>
        <v>#REF!</v>
      </c>
      <c r="M746" s="72" t="s">
        <v>1087</v>
      </c>
      <c r="N746" s="107"/>
    </row>
    <row r="747" spans="1:14" ht="39.950000000000003" customHeight="1" x14ac:dyDescent="0.25">
      <c r="A747" s="16" t="s">
        <v>668</v>
      </c>
      <c r="B747" s="17" t="s">
        <v>669</v>
      </c>
      <c r="C747" s="2" t="s">
        <v>670</v>
      </c>
      <c r="D747" s="14">
        <v>27.6</v>
      </c>
      <c r="E747" s="14">
        <f>D747*E746</f>
        <v>27.6</v>
      </c>
      <c r="F747" s="13"/>
      <c r="G747" s="13"/>
      <c r="H747" s="27">
        <f>IF((ISNUMBER(--LEFT(M746,2))),VLOOKUP(--LEFT(M746,2),N!$A$5:$C$54,3,FALSE),VLOOKUP(--LEFT(M746,1),N!$A$5:$C$54,3,FALSE))</f>
        <v>6</v>
      </c>
      <c r="I747" s="14">
        <f>ROUND(E747*H747,2)</f>
        <v>165.6</v>
      </c>
      <c r="J747" s="2"/>
      <c r="K747" s="2"/>
      <c r="L747" s="14">
        <f t="shared" ref="L747:L752" si="228">G747+I747+K747</f>
        <v>165.6</v>
      </c>
      <c r="M747" s="23" t="str">
        <f>(IF(ISNUMBER(MATCH(B747,E!$B$6:$B$197,0)),VLOOKUP(B747,E!$B$6:$E$197,4,FALSE),VLOOKUP(B747,M!$B$6:$I$733,7,FALSE)))</f>
        <v>მ.ც</v>
      </c>
      <c r="N747" s="106"/>
    </row>
    <row r="748" spans="1:14" ht="39.950000000000003" customHeight="1" x14ac:dyDescent="0.25">
      <c r="A748" s="16" t="s">
        <v>671</v>
      </c>
      <c r="B748" s="2" t="s">
        <v>184</v>
      </c>
      <c r="C748" s="2" t="s">
        <v>672</v>
      </c>
      <c r="D748" s="2">
        <v>4.74</v>
      </c>
      <c r="E748" s="14">
        <f>D748*E746</f>
        <v>4.74</v>
      </c>
      <c r="F748" s="13"/>
      <c r="G748" s="13"/>
      <c r="H748" s="2"/>
      <c r="I748" s="2"/>
      <c r="J748" s="35">
        <f>ROUND(IF(ISNUMBER(MATCH(B748,E!$B$6:$B$197,0)),VLOOKUP(B748,E!$B$6:$E$197,2,FALSE),IF(#REF!="დიახ",IF(VLOOKUP(B748,M!$B$6:$I$733,8,FALSE)="ლ",VLOOKUP(B748,M!$B$6:$I$733,3,FALSE)*0.001*#REF!*#REF!,IF(VLOOKUP(B748,M!$B$6:$I$733,8,FALSE)="მბ",VLOOKUP(B748,M!$B$6:$I$733,3,FALSE)*0.001*#REF!*#REF!,IF(VLOOKUP(B748,M!$B$6:$I$733,8,FALSE)="აბ",VLOOKUP(B748,M!$B$6:$I$733,3,FALSE)*0.001*#REF!*#REF!,IF(VLOOKUP(B748,M!$B$6:$I$733,8,FALSE)="ინ",VLOOKUP(B748,M!$B$6:$I$733,3,FALSE)*0.001*#REF!*#REF!,IF(VLOOKUP(B748,M!$B$6:$I$733,8,FALSE)="ას",VLOOKUP(B748,M!$B$6:$I$733,3,FALSE)*0.001*#REF!*#REF!,IF(VLOOKUP(B748,M!$B$6:$I$733,8,FALSE)="სხ",VLOOKUP(B748,M!$B$6:$I$733,3,FALSE)*0.001*#REF!*#REF!,IF(VLOOKUP(B748,M!$B$6:$I$733,8,FALSE)="ხმ",VLOOKUP(B748,M!$B$6:$I$733,3,FALSE)*0.001*#REF!*#REF!))))))))),2)</f>
        <v>45.63</v>
      </c>
      <c r="K748" s="14">
        <f t="shared" ref="K748:K750" si="229">ROUND(E748*J748,2)</f>
        <v>216.29</v>
      </c>
      <c r="L748" s="14">
        <f t="shared" si="228"/>
        <v>216.29</v>
      </c>
      <c r="M748" s="23" t="str">
        <f>(IF(ISNUMBER(MATCH(B748,E!$B$6:$B$197,0)),VLOOKUP(B748,E!$B$6:$E$197,4,FALSE),VLOOKUP(B748,M!$B$6:$I$733,7,FALSE)))</f>
        <v>14-58</v>
      </c>
      <c r="N748" s="106"/>
    </row>
    <row r="749" spans="1:14" ht="39.950000000000003" customHeight="1" x14ac:dyDescent="0.25">
      <c r="A749" s="16" t="s">
        <v>673</v>
      </c>
      <c r="B749" s="17" t="s">
        <v>654</v>
      </c>
      <c r="C749" s="2" t="s">
        <v>393</v>
      </c>
      <c r="D749" s="14">
        <v>6.8</v>
      </c>
      <c r="E749" s="14">
        <f>D749*E746</f>
        <v>6.8</v>
      </c>
      <c r="F749" s="13"/>
      <c r="G749" s="14"/>
      <c r="H749" s="2"/>
      <c r="I749" s="2"/>
      <c r="J749" s="35">
        <f>ROUND(IF(ISNUMBER(MATCH(B749,E!$B$6:$B$197,0)),VLOOKUP(B749,E!$B$6:$E$197,2,FALSE),IF(#REF!="დიახ",IF(VLOOKUP(B749,M!$B$6:$I$733,8,FALSE)="ლ",VLOOKUP(B749,M!$B$6:$I$733,3,FALSE)*0.001*#REF!*#REF!,IF(VLOOKUP(B749,M!$B$6:$I$733,8,FALSE)="მბ",VLOOKUP(B749,M!$B$6:$I$733,3,FALSE)*0.001*#REF!*#REF!,IF(VLOOKUP(B749,M!$B$6:$I$733,8,FALSE)="აბ",VLOOKUP(B749,M!$B$6:$I$733,3,FALSE)*0.001*#REF!*#REF!,IF(VLOOKUP(B749,M!$B$6:$I$733,8,FALSE)="ინ",VLOOKUP(B749,M!$B$6:$I$733,3,FALSE)*0.001*#REF!*#REF!,IF(VLOOKUP(B749,M!$B$6:$I$733,8,FALSE)="ას",VLOOKUP(B749,M!$B$6:$I$733,3,FALSE)*0.001*#REF!*#REF!,IF(VLOOKUP(B749,M!$B$6:$I$733,8,FALSE)="სხ",VLOOKUP(B749,M!$B$6:$I$733,3,FALSE)*0.001*#REF!*#REF!,IF(VLOOKUP(B749,M!$B$6:$I$733,8,FALSE)="ხმ",VLOOKUP(B749,M!$B$6:$I$733,3,FALSE)*0.001*#REF!*#REF!))))))))),2)</f>
        <v>3.2</v>
      </c>
      <c r="K749" s="14">
        <f t="shared" si="229"/>
        <v>21.76</v>
      </c>
      <c r="L749" s="14">
        <f t="shared" si="228"/>
        <v>21.76</v>
      </c>
      <c r="M749" s="23" t="str">
        <f>(IF(ISNUMBER(MATCH(B749,E!$B$6:$B$197,0)),VLOOKUP(B749,E!$B$6:$E$197,4,FALSE),VLOOKUP(B749,M!$B$6:$I$733,7,FALSE)))</f>
        <v>ს.რ.ფ</v>
      </c>
      <c r="N749" s="106"/>
    </row>
    <row r="750" spans="1:14" ht="39.75" customHeight="1" x14ac:dyDescent="0.25">
      <c r="A750" s="16" t="s">
        <v>675</v>
      </c>
      <c r="B750" s="2" t="s">
        <v>21</v>
      </c>
      <c r="C750" s="2" t="s">
        <v>9</v>
      </c>
      <c r="D750" s="2">
        <v>1</v>
      </c>
      <c r="E750" s="14">
        <f>D750*E746</f>
        <v>1</v>
      </c>
      <c r="F750" s="31" t="e">
        <f>ROUND(VLOOKUP(B750,M!$B$6:$H$733,IF(#REF!="დაბალი",4,IF(#REF!="საშუალო",6,IF(#REF!="მაღალი",5))),FALSE),2)</f>
        <v>#REF!</v>
      </c>
      <c r="G750" s="14" t="e">
        <f>ROUND(E750*F750,2)</f>
        <v>#REF!</v>
      </c>
      <c r="H750" s="2"/>
      <c r="I750" s="2"/>
      <c r="J750" s="35" t="e">
        <f>ROUND(IF(ISNUMBER(MATCH(B750,E!$B$6:$B$197,0)),VLOOKUP(B750,E!$B$6:$E$197,2,FALSE),IF(#REF!="დიახ",IF(VLOOKUP(B750,M!$B$6:$I$733,8,FALSE)="ლ",VLOOKUP(B750,M!$B$6:$I$733,3,FALSE)*0.001*#REF!*#REF!,IF(VLOOKUP(B750,M!$B$6:$I$733,8,FALSE)="მბ",VLOOKUP(B750,M!$B$6:$I$733,3,FALSE)*0.001*#REF!*#REF!,IF(VLOOKUP(B750,M!$B$6:$I$733,8,FALSE)="აბ",VLOOKUP(B750,M!$B$6:$I$733,3,FALSE)*0.001*#REF!*#REF!,IF(VLOOKUP(B750,M!$B$6:$I$733,8,FALSE)="ინ",VLOOKUP(B750,M!$B$6:$I$733,3,FALSE)*0.001*#REF!*#REF!,IF(VLOOKUP(B750,M!$B$6:$I$733,8,FALSE)="ას",VLOOKUP(B750,M!$B$6:$I$733,3,FALSE)*0.001*#REF!*#REF!,IF(VLOOKUP(B750,M!$B$6:$I$733,8,FALSE)="სხ",VLOOKUP(B750,M!$B$6:$I$733,3,FALSE)*0.001*#REF!*#REF!,IF(VLOOKUP(B750,M!$B$6:$I$733,8,FALSE)="ხმ",VLOOKUP(B750,M!$B$6:$I$733,3,FALSE)*0.001*#REF!*#REF!))))))))),2)</f>
        <v>#REF!</v>
      </c>
      <c r="K750" s="31" t="e">
        <f t="shared" si="229"/>
        <v>#REF!</v>
      </c>
      <c r="L750" s="14" t="e">
        <f>G750+I750+K750</f>
        <v>#REF!</v>
      </c>
      <c r="M750" s="23" t="str">
        <f>(IF(ISNUMBER(MATCH(B750,E!$B$6:$B$197,0)),VLOOKUP(B750,E!$B$6:$E$197,4,FALSE),VLOOKUP(B750,M!$B$6:$I$733,7,FALSE)))</f>
        <v>1.1-12</v>
      </c>
      <c r="N750" s="106"/>
    </row>
    <row r="751" spans="1:14" ht="39.75" customHeight="1" x14ac:dyDescent="0.25">
      <c r="A751" s="16" t="s">
        <v>695</v>
      </c>
      <c r="B751" s="2" t="s">
        <v>27</v>
      </c>
      <c r="C751" s="2" t="s">
        <v>28</v>
      </c>
      <c r="D751" s="2" t="s">
        <v>827</v>
      </c>
      <c r="E751" s="14">
        <v>290</v>
      </c>
      <c r="F751" s="31" t="e">
        <f>ROUND(VLOOKUP(B751,M!$B$6:$H$733,IF(#REF!="დაბალი",4,IF(#REF!="საშუალო",6,IF(#REF!="მაღალი",5))),FALSE),2)</f>
        <v>#REF!</v>
      </c>
      <c r="G751" s="14" t="e">
        <f>ROUND(E751*F751,2)</f>
        <v>#REF!</v>
      </c>
      <c r="H751" s="2"/>
      <c r="I751" s="2"/>
      <c r="J751" s="35" t="e">
        <f>ROUND(IF(ISNUMBER(MATCH(B751,E!$B$6:$B$197,0)),VLOOKUP(B751,E!$B$6:$E$197,2,FALSE),IF(#REF!="დიახ",IF(VLOOKUP(B751,M!$B$6:$I$733,8,FALSE)="ლ",VLOOKUP(B751,M!$B$6:$I$733,3,FALSE)*0.001*#REF!*#REF!,IF(VLOOKUP(B751,M!$B$6:$I$733,8,FALSE)="მბ",VLOOKUP(B751,M!$B$6:$I$733,3,FALSE)*0.001*#REF!*#REF!,IF(VLOOKUP(B751,M!$B$6:$I$733,8,FALSE)="აბ",VLOOKUP(B751,M!$B$6:$I$733,3,FALSE)*0.001*#REF!*#REF!,IF(VLOOKUP(B751,M!$B$6:$I$733,8,FALSE)="ინ",VLOOKUP(B751,M!$B$6:$I$733,3,FALSE)*0.001*#REF!*#REF!,IF(VLOOKUP(B751,M!$B$6:$I$733,8,FALSE)="ას",VLOOKUP(B751,M!$B$6:$I$733,3,FALSE)*0.001*#REF!*#REF!,IF(VLOOKUP(B751,M!$B$6:$I$733,8,FALSE)="სხ",VLOOKUP(B751,M!$B$6:$I$733,3,FALSE)*0.001*#REF!*#REF!,IF(VLOOKUP(B751,M!$B$6:$I$733,8,FALSE)="ხმ",VLOOKUP(B751,M!$B$6:$I$733,3,FALSE)*0.001*#REF!*#REF!))))))))),2)</f>
        <v>#REF!</v>
      </c>
      <c r="K751" s="31" t="e">
        <f t="shared" ref="K751" si="230">ROUND(E751*J751,2)</f>
        <v>#REF!</v>
      </c>
      <c r="L751" s="14" t="e">
        <f>G751+I751+K751</f>
        <v>#REF!</v>
      </c>
      <c r="M751" s="23" t="str">
        <f>(IF(ISNUMBER(MATCH(B751,E!$B$6:$B$197,0)),VLOOKUP(B751,E!$B$6:$E$197,4,FALSE),VLOOKUP(B751,M!$B$6:$I$733,7,FALSE)))</f>
        <v>1.1-35</v>
      </c>
      <c r="N751" s="106"/>
    </row>
    <row r="752" spans="1:14" ht="39.950000000000003" customHeight="1" x14ac:dyDescent="0.25">
      <c r="A752" s="16" t="s">
        <v>696</v>
      </c>
      <c r="B752" s="17" t="s">
        <v>677</v>
      </c>
      <c r="C752" s="2" t="s">
        <v>393</v>
      </c>
      <c r="D752" s="2">
        <v>12.2</v>
      </c>
      <c r="E752" s="14">
        <f>D752*E746</f>
        <v>12.2</v>
      </c>
      <c r="F752" s="31" t="e">
        <f>ROUND(VLOOKUP(B752,M!$B$6:$H$733,IF(#REF!="დაბალი",4,IF(#REF!="საშუალო",6,IF(#REF!="მაღალი",5))),FALSE),2)</f>
        <v>#REF!</v>
      </c>
      <c r="G752" s="14" t="e">
        <f t="shared" ref="G752" si="231">ROUND(E752*F752,2)</f>
        <v>#REF!</v>
      </c>
      <c r="H752" s="2"/>
      <c r="I752" s="2"/>
      <c r="J752" s="2"/>
      <c r="K752" s="14"/>
      <c r="L752" s="14" t="e">
        <f t="shared" si="228"/>
        <v>#REF!</v>
      </c>
      <c r="M752" s="23" t="str">
        <f>(IF(ISNUMBER(MATCH(B752,E!$B$6:$B$197,0)),VLOOKUP(B752,E!$B$6:$E$197,4,FALSE),VLOOKUP(B752,M!$B$6:$I$733,7,FALSE)))</f>
        <v>ს.რ.ფ</v>
      </c>
      <c r="N752" s="106"/>
    </row>
    <row r="753" spans="1:13" ht="80.099999999999994" customHeight="1" x14ac:dyDescent="0.25">
      <c r="A753" s="98"/>
      <c r="B753" s="99" t="s">
        <v>648</v>
      </c>
      <c r="C753" s="10"/>
      <c r="D753" s="10"/>
      <c r="E753" s="10"/>
      <c r="F753" s="30"/>
      <c r="G753" s="10"/>
      <c r="H753" s="26"/>
      <c r="I753" s="10"/>
      <c r="J753" s="30"/>
      <c r="K753" s="30"/>
      <c r="L753" s="11"/>
      <c r="M753" s="22"/>
    </row>
    <row r="754" spans="1:13" s="45" customFormat="1" ht="39.950000000000003" customHeight="1" x14ac:dyDescent="0.25">
      <c r="A754" s="39">
        <v>1.1000000000000001</v>
      </c>
      <c r="B754" s="40" t="s">
        <v>1032</v>
      </c>
      <c r="C754" s="41" t="s">
        <v>808</v>
      </c>
      <c r="D754" s="41"/>
      <c r="E754" s="52">
        <v>100</v>
      </c>
      <c r="F754" s="42"/>
      <c r="G754" s="42"/>
      <c r="H754" s="41"/>
      <c r="I754" s="41"/>
      <c r="J754" s="41"/>
      <c r="K754" s="41"/>
      <c r="L754" s="43">
        <f>SUM(L755:L756)</f>
        <v>645.32000000000005</v>
      </c>
      <c r="M754" s="44" t="s">
        <v>1033</v>
      </c>
    </row>
    <row r="755" spans="1:13" ht="39.950000000000003" customHeight="1" x14ac:dyDescent="0.25">
      <c r="A755" s="16" t="s">
        <v>668</v>
      </c>
      <c r="B755" s="17" t="s">
        <v>669</v>
      </c>
      <c r="C755" s="2" t="s">
        <v>670</v>
      </c>
      <c r="D755" s="2">
        <v>111</v>
      </c>
      <c r="E755" s="14">
        <f>D755*E754/100</f>
        <v>111</v>
      </c>
      <c r="F755" s="13"/>
      <c r="G755" s="13"/>
      <c r="H755" s="27">
        <f>IF((ISNUMBER(--LEFT(M754,2))),VLOOKUP(--LEFT(M754,2),N!$A$5:$C$54,3,FALSE),VLOOKUP(--LEFT(M754,1),N!$A$5:$C$54,3,FALSE))</f>
        <v>4.5999999999999996</v>
      </c>
      <c r="I755" s="14">
        <f>ROUND(E755*H755,2)</f>
        <v>510.6</v>
      </c>
      <c r="J755" s="2"/>
      <c r="K755" s="2"/>
      <c r="L755" s="14">
        <f>G755+I755+K755</f>
        <v>510.6</v>
      </c>
      <c r="M755" s="23" t="str">
        <f>(IF(ISNUMBER(MATCH(B755,E!$B$6:$B$197,0)),VLOOKUP(B755,E!$B$6:$E$197,4,FALSE),VLOOKUP(B755,M!$B$6:$I$733,7,FALSE)))</f>
        <v>მ.ც</v>
      </c>
    </row>
    <row r="756" spans="1:13" ht="39.950000000000003" customHeight="1" x14ac:dyDescent="0.25">
      <c r="A756" s="16" t="s">
        <v>671</v>
      </c>
      <c r="B756" s="17" t="s">
        <v>654</v>
      </c>
      <c r="C756" s="2" t="s">
        <v>393</v>
      </c>
      <c r="D756" s="2">
        <v>42.1</v>
      </c>
      <c r="E756" s="14">
        <f>D756*E754/100</f>
        <v>42.1</v>
      </c>
      <c r="F756" s="13"/>
      <c r="G756" s="13"/>
      <c r="H756" s="2"/>
      <c r="I756" s="2"/>
      <c r="J756" s="35">
        <f>ROUND(IF(ISNUMBER(MATCH(B756,E!$B$6:$B$197,0)),VLOOKUP(B756,E!$B$6:$E$197,2,FALSE),IF(#REF!="დიახ",IF(VLOOKUP(B756,M!$B$6:$I$733,8,FALSE)="ლ",VLOOKUP(B756,M!$B$6:$I$733,3,FALSE)*0.001*#REF!*#REF!,IF(VLOOKUP(B756,M!$B$6:$I$733,8,FALSE)="მბ",VLOOKUP(B756,M!$B$6:$I$733,3,FALSE)*0.001*#REF!*#REF!,IF(VLOOKUP(B756,M!$B$6:$I$733,8,FALSE)="აბ",VLOOKUP(B756,M!$B$6:$I$733,3,FALSE)*0.001*#REF!*#REF!,IF(VLOOKUP(B756,M!$B$6:$I$733,8,FALSE)="ინ",VLOOKUP(B756,M!$B$6:$I$733,3,FALSE)*0.001*#REF!*#REF!,IF(VLOOKUP(B756,M!$B$6:$I$733,8,FALSE)="ას",VLOOKUP(B756,M!$B$6:$I$733,3,FALSE)*0.001*#REF!*#REF!,IF(VLOOKUP(B756,M!$B$6:$I$733,8,FALSE)="სხ",VLOOKUP(B756,M!$B$6:$I$733,3,FALSE)*0.001*#REF!*#REF!,IF(VLOOKUP(B756,M!$B$6:$I$733,8,FALSE)="ხმ",VLOOKUP(B756,M!$B$6:$I$733,3,FALSE)*0.001*#REF!*#REF!))))))))),2)</f>
        <v>3.2</v>
      </c>
      <c r="K756" s="14">
        <f>ROUND(E756*J756,2)</f>
        <v>134.72</v>
      </c>
      <c r="L756" s="14">
        <f>G756+I756+K756</f>
        <v>134.72</v>
      </c>
      <c r="M756" s="23" t="str">
        <f>(IF(ISNUMBER(MATCH(B756,E!$B$6:$B$197,0)),VLOOKUP(B756,E!$B$6:$E$197,4,FALSE),VLOOKUP(B756,M!$B$6:$I$733,7,FALSE)))</f>
        <v>ს.რ.ფ</v>
      </c>
    </row>
    <row r="757" spans="1:13" ht="80.099999999999994" customHeight="1" x14ac:dyDescent="0.25">
      <c r="A757" s="34"/>
      <c r="B757" s="33" t="s">
        <v>1004</v>
      </c>
      <c r="C757" s="10"/>
      <c r="D757" s="10"/>
      <c r="E757" s="10"/>
      <c r="F757" s="30"/>
      <c r="G757" s="10"/>
      <c r="H757" s="26"/>
      <c r="I757" s="10"/>
      <c r="J757" s="30"/>
      <c r="K757" s="30"/>
      <c r="L757" s="11"/>
      <c r="M757" s="22"/>
    </row>
    <row r="758" spans="1:13" s="45" customFormat="1" ht="39.950000000000003" customHeight="1" x14ac:dyDescent="0.25">
      <c r="A758" s="39">
        <v>1.1000000000000001</v>
      </c>
      <c r="B758" s="40" t="s">
        <v>742</v>
      </c>
      <c r="C758" s="41" t="s">
        <v>9</v>
      </c>
      <c r="D758" s="41"/>
      <c r="E758" s="41">
        <v>1</v>
      </c>
      <c r="F758" s="42"/>
      <c r="G758" s="42"/>
      <c r="H758" s="42"/>
      <c r="I758" s="42"/>
      <c r="J758" s="46"/>
      <c r="K758" s="46"/>
      <c r="L758" s="43"/>
      <c r="M758" s="44" t="s">
        <v>746</v>
      </c>
    </row>
    <row r="759" spans="1:13" ht="39.950000000000003" customHeight="1" x14ac:dyDescent="0.25">
      <c r="A759" s="16" t="s">
        <v>668</v>
      </c>
      <c r="B759" s="17" t="s">
        <v>669</v>
      </c>
      <c r="C759" s="2" t="s">
        <v>670</v>
      </c>
      <c r="D759" s="2">
        <v>0.53</v>
      </c>
      <c r="E759" s="14">
        <f>D759*E758</f>
        <v>0.53</v>
      </c>
      <c r="F759" s="13"/>
      <c r="G759" s="13"/>
      <c r="H759" s="27">
        <f>IF((ISNUMBER(--LEFT(M758,2))),VLOOKUP(--LEFT(M758,2),N!$A$5:$C$54,3,FALSE),VLOOKUP(--LEFT(M758,1),N!$A$5:$C$54,3,FALSE))</f>
        <v>6</v>
      </c>
      <c r="I759" s="14">
        <f>ROUND(E759*H759,2)</f>
        <v>3.18</v>
      </c>
      <c r="J759" s="31"/>
      <c r="K759" s="31"/>
      <c r="L759" s="14">
        <f t="shared" ref="L759:L763" si="232">G759+I759+K759</f>
        <v>3.18</v>
      </c>
      <c r="M759" s="15"/>
    </row>
    <row r="760" spans="1:13" s="45" customFormat="1" ht="39.950000000000003" customHeight="1" x14ac:dyDescent="0.25">
      <c r="A760" s="39">
        <v>1.1000000000000001</v>
      </c>
      <c r="B760" s="40" t="s">
        <v>743</v>
      </c>
      <c r="C760" s="41" t="s">
        <v>9</v>
      </c>
      <c r="D760" s="41"/>
      <c r="E760" s="41">
        <v>1</v>
      </c>
      <c r="F760" s="42"/>
      <c r="G760" s="42"/>
      <c r="H760" s="42"/>
      <c r="I760" s="42"/>
      <c r="J760" s="46"/>
      <c r="K760" s="46"/>
      <c r="L760" s="43"/>
      <c r="M760" s="44" t="s">
        <v>747</v>
      </c>
    </row>
    <row r="761" spans="1:13" ht="39.950000000000003" customHeight="1" x14ac:dyDescent="0.25">
      <c r="A761" s="16" t="s">
        <v>668</v>
      </c>
      <c r="B761" s="17" t="s">
        <v>669</v>
      </c>
      <c r="C761" s="2" t="s">
        <v>670</v>
      </c>
      <c r="D761" s="2">
        <v>0.67</v>
      </c>
      <c r="E761" s="14">
        <f>D761*E760</f>
        <v>0.67</v>
      </c>
      <c r="F761" s="13"/>
      <c r="G761" s="13"/>
      <c r="H761" s="27">
        <f>IF((ISNUMBER(--LEFT(M760,2))),VLOOKUP(--LEFT(M760,2),N!$A$5:$C$54,3,FALSE),VLOOKUP(--LEFT(M760,1),N!$A$5:$C$54,3,FALSE))</f>
        <v>6</v>
      </c>
      <c r="I761" s="14">
        <f>ROUND(E761*H761,2)</f>
        <v>4.0199999999999996</v>
      </c>
      <c r="J761" s="31"/>
      <c r="K761" s="31"/>
      <c r="L761" s="14">
        <f t="shared" si="232"/>
        <v>4.0199999999999996</v>
      </c>
      <c r="M761" s="15"/>
    </row>
    <row r="762" spans="1:13" s="45" customFormat="1" ht="39.950000000000003" customHeight="1" x14ac:dyDescent="0.25">
      <c r="A762" s="39">
        <v>1.1000000000000001</v>
      </c>
      <c r="B762" s="40" t="s">
        <v>744</v>
      </c>
      <c r="C762" s="41" t="s">
        <v>9</v>
      </c>
      <c r="D762" s="41"/>
      <c r="E762" s="41">
        <v>1</v>
      </c>
      <c r="F762" s="42"/>
      <c r="G762" s="42"/>
      <c r="H762" s="42"/>
      <c r="I762" s="42"/>
      <c r="J762" s="46"/>
      <c r="K762" s="46"/>
      <c r="L762" s="43"/>
      <c r="M762" s="44" t="s">
        <v>748</v>
      </c>
    </row>
    <row r="763" spans="1:13" ht="39.950000000000003" customHeight="1" x14ac:dyDescent="0.25">
      <c r="A763" s="16" t="s">
        <v>668</v>
      </c>
      <c r="B763" s="17" t="s">
        <v>669</v>
      </c>
      <c r="C763" s="2" t="s">
        <v>670</v>
      </c>
      <c r="D763" s="2">
        <v>0.45</v>
      </c>
      <c r="E763" s="14">
        <f>D763*E762</f>
        <v>0.45</v>
      </c>
      <c r="F763" s="13"/>
      <c r="G763" s="13"/>
      <c r="H763" s="27">
        <f>IF((ISNUMBER(--LEFT(M762,2))),VLOOKUP(--LEFT(M762,2),N!$A$5:$C$54,3,FALSE),VLOOKUP(--LEFT(M762,1),N!$A$5:$C$54,3,FALSE))</f>
        <v>6</v>
      </c>
      <c r="I763" s="14">
        <f>ROUND(E763*H763,2)</f>
        <v>2.7</v>
      </c>
      <c r="J763" s="31"/>
      <c r="K763" s="31"/>
      <c r="L763" s="14">
        <f t="shared" si="232"/>
        <v>2.7</v>
      </c>
      <c r="M763" s="15"/>
    </row>
    <row r="764" spans="1:13" s="45" customFormat="1" ht="39.950000000000003" customHeight="1" x14ac:dyDescent="0.25">
      <c r="A764" s="39">
        <v>1.1000000000000001</v>
      </c>
      <c r="B764" s="40" t="s">
        <v>763</v>
      </c>
      <c r="C764" s="41" t="s">
        <v>764</v>
      </c>
      <c r="D764" s="41"/>
      <c r="E764" s="41">
        <v>1</v>
      </c>
      <c r="F764" s="42"/>
      <c r="G764" s="42"/>
      <c r="H764" s="42"/>
      <c r="I764" s="42"/>
      <c r="J764" s="46"/>
      <c r="K764" s="46"/>
      <c r="L764" s="43">
        <f>L765</f>
        <v>979.2</v>
      </c>
      <c r="M764" s="56" t="s">
        <v>765</v>
      </c>
    </row>
    <row r="765" spans="1:13" ht="39.950000000000003" customHeight="1" x14ac:dyDescent="0.25">
      <c r="A765" s="16" t="s">
        <v>668</v>
      </c>
      <c r="B765" s="17" t="s">
        <v>669</v>
      </c>
      <c r="C765" s="2" t="s">
        <v>670</v>
      </c>
      <c r="D765" s="2">
        <f>360*0.85</f>
        <v>306</v>
      </c>
      <c r="E765" s="14">
        <f>D765*E764</f>
        <v>306</v>
      </c>
      <c r="F765" s="13"/>
      <c r="G765" s="13"/>
      <c r="H765" s="13">
        <v>3.2</v>
      </c>
      <c r="I765" s="14">
        <f>ROUND(E765*H765,2)</f>
        <v>979.2</v>
      </c>
      <c r="J765" s="31"/>
      <c r="K765" s="31"/>
      <c r="L765" s="14">
        <f>G765+I765+K765</f>
        <v>979.2</v>
      </c>
      <c r="M765" s="56"/>
    </row>
    <row r="766" spans="1:13" s="45" customFormat="1" ht="39.950000000000003" customHeight="1" x14ac:dyDescent="0.25">
      <c r="A766" s="39">
        <v>1.1000000000000001</v>
      </c>
      <c r="B766" s="40" t="s">
        <v>1005</v>
      </c>
      <c r="C766" s="41" t="s">
        <v>792</v>
      </c>
      <c r="D766" s="41"/>
      <c r="E766" s="41">
        <v>1</v>
      </c>
      <c r="F766" s="42"/>
      <c r="G766" s="42"/>
      <c r="H766" s="42"/>
      <c r="I766" s="42"/>
      <c r="J766" s="46"/>
      <c r="K766" s="46"/>
      <c r="L766" s="43" t="e">
        <f>SUM(L767:L771)</f>
        <v>#REF!</v>
      </c>
      <c r="M766" s="57" t="s">
        <v>1006</v>
      </c>
    </row>
    <row r="767" spans="1:13" ht="39.950000000000003" customHeight="1" x14ac:dyDescent="0.25">
      <c r="A767" s="16" t="s">
        <v>668</v>
      </c>
      <c r="B767" s="17" t="s">
        <v>669</v>
      </c>
      <c r="C767" s="2" t="s">
        <v>670</v>
      </c>
      <c r="D767" s="2">
        <v>2.6</v>
      </c>
      <c r="E767" s="14">
        <f>D767*E766</f>
        <v>2.6</v>
      </c>
      <c r="F767" s="13"/>
      <c r="G767" s="13"/>
      <c r="H767" s="13">
        <v>6</v>
      </c>
      <c r="I767" s="14">
        <f>ROUND(E767*H767,2)</f>
        <v>15.6</v>
      </c>
      <c r="J767" s="31"/>
      <c r="K767" s="31"/>
      <c r="L767" s="14">
        <f>G767+I767+K767</f>
        <v>15.6</v>
      </c>
      <c r="M767" s="23" t="str">
        <f>(IF(ISNUMBER(MATCH(B767,E!$B$6:$B$197,0)),VLOOKUP(B767,E!$B$6:$E$197,4,FALSE),VLOOKUP(B767,M!$B$6:$I$733,7,FALSE)))</f>
        <v>მ.ც</v>
      </c>
    </row>
    <row r="768" spans="1:13" ht="39.950000000000003" customHeight="1" x14ac:dyDescent="0.25">
      <c r="A768" s="16" t="s">
        <v>671</v>
      </c>
      <c r="B768" s="2" t="s">
        <v>71</v>
      </c>
      <c r="C768" s="2" t="s">
        <v>66</v>
      </c>
      <c r="D768" s="2" t="s">
        <v>827</v>
      </c>
      <c r="E768" s="14">
        <v>1</v>
      </c>
      <c r="F768" s="31" t="e">
        <f>ROUND(VLOOKUP(B768,M!$B$6:$H$733,IF(#REF!="დაბალი",4,IF(#REF!="საშუალო",6,IF(#REF!="მაღალი",5))),FALSE),2)</f>
        <v>#REF!</v>
      </c>
      <c r="G768" s="13" t="e">
        <f>ROUND(E768*F768,1)</f>
        <v>#REF!</v>
      </c>
      <c r="H768" s="2"/>
      <c r="I768" s="2"/>
      <c r="J768" s="35" t="e">
        <f>ROUND(IF(ISNUMBER(MATCH(B768,E!$B$6:$B$197,0)),VLOOKUP(B768,E!$B$6:$E$197,2,FALSE),IF(#REF!="დიახ",IF(VLOOKUP(B768,M!$B$6:$I$733,8,FALSE)="ლ",VLOOKUP(B768,M!$B$6:$I$733,3,FALSE)*0.001*#REF!*#REF!,IF(VLOOKUP(B768,M!$B$6:$I$733,8,FALSE)="მბ",VLOOKUP(B768,M!$B$6:$I$733,3,FALSE)*0.001*#REF!*#REF!,IF(VLOOKUP(B768,M!$B$6:$I$733,8,FALSE)="აბ",VLOOKUP(B768,M!$B$6:$I$733,3,FALSE)*0.001*#REF!*#REF!,IF(VLOOKUP(B768,M!$B$6:$I$733,8,FALSE)="ინ",VLOOKUP(B768,M!$B$6:$I$733,3,FALSE)*0.001*#REF!*#REF!,IF(VLOOKUP(B768,M!$B$6:$I$733,8,FALSE)="ას",VLOOKUP(B768,M!$B$6:$I$733,3,FALSE)*0.001*#REF!*#REF!,IF(VLOOKUP(B768,M!$B$6:$I$733,8,FALSE)="სხ",VLOOKUP(B768,M!$B$6:$I$733,3,FALSE)*0.001*#REF!*#REF!,IF(VLOOKUP(B768,M!$B$6:$I$733,8,FALSE)="ხმ",VLOOKUP(B768,M!$B$6:$I$733,3,FALSE)*0.001*#REF!*#REF!))))))))),2)</f>
        <v>#REF!</v>
      </c>
      <c r="K768" s="31" t="e">
        <f t="shared" ref="K768:K771" si="233">ROUND(E768*J768,2)</f>
        <v>#REF!</v>
      </c>
      <c r="L768" s="14" t="e">
        <f>G768+I768+K768</f>
        <v>#REF!</v>
      </c>
      <c r="M768" s="23" t="str">
        <f>(IF(ISNUMBER(MATCH(B768,E!$B$6:$B$197,0)),VLOOKUP(B768,E!$B$6:$E$197,4,FALSE),VLOOKUP(B768,M!$B$6:$I$733,7,FALSE)))</f>
        <v>1.8-2</v>
      </c>
    </row>
    <row r="769" spans="1:14" ht="39.950000000000003" customHeight="1" x14ac:dyDescent="0.25">
      <c r="A769" s="16" t="s">
        <v>673</v>
      </c>
      <c r="B769" s="2" t="s">
        <v>68</v>
      </c>
      <c r="C769" s="2" t="s">
        <v>66</v>
      </c>
      <c r="D769" s="2" t="s">
        <v>827</v>
      </c>
      <c r="E769" s="14">
        <v>1</v>
      </c>
      <c r="F769" s="31" t="e">
        <f>ROUND(VLOOKUP(B769,M!$B$6:$H$733,IF(#REF!="დაბალი",4,IF(#REF!="საშუალო",6,IF(#REF!="მაღალი",5))),FALSE),2)</f>
        <v>#REF!</v>
      </c>
      <c r="G769" s="13" t="e">
        <f>ROUND(E769*F769,1)</f>
        <v>#REF!</v>
      </c>
      <c r="H769" s="2"/>
      <c r="I769" s="2"/>
      <c r="J769" s="35" t="e">
        <f>ROUND(IF(ISNUMBER(MATCH(B769,E!$B$6:$B$197,0)),VLOOKUP(B769,E!$B$6:$E$197,2,FALSE),IF(#REF!="დიახ",IF(VLOOKUP(B769,M!$B$6:$I$733,8,FALSE)="ლ",VLOOKUP(B769,M!$B$6:$I$733,3,FALSE)*0.001*#REF!*#REF!,IF(VLOOKUP(B769,M!$B$6:$I$733,8,FALSE)="მბ",VLOOKUP(B769,M!$B$6:$I$733,3,FALSE)*0.001*#REF!*#REF!,IF(VLOOKUP(B769,M!$B$6:$I$733,8,FALSE)="აბ",VLOOKUP(B769,M!$B$6:$I$733,3,FALSE)*0.001*#REF!*#REF!,IF(VLOOKUP(B769,M!$B$6:$I$733,8,FALSE)="ინ",VLOOKUP(B769,M!$B$6:$I$733,3,FALSE)*0.001*#REF!*#REF!,IF(VLOOKUP(B769,M!$B$6:$I$733,8,FALSE)="ას",VLOOKUP(B769,M!$B$6:$I$733,3,FALSE)*0.001*#REF!*#REF!,IF(VLOOKUP(B769,M!$B$6:$I$733,8,FALSE)="სხ",VLOOKUP(B769,M!$B$6:$I$733,3,FALSE)*0.001*#REF!*#REF!,IF(VLOOKUP(B769,M!$B$6:$I$733,8,FALSE)="ხმ",VLOOKUP(B769,M!$B$6:$I$733,3,FALSE)*0.001*#REF!*#REF!))))))))),2)</f>
        <v>#REF!</v>
      </c>
      <c r="K769" s="31" t="e">
        <f t="shared" si="233"/>
        <v>#REF!</v>
      </c>
      <c r="L769" s="14" t="e">
        <f>G769+I769+K769</f>
        <v>#REF!</v>
      </c>
      <c r="M769" s="23" t="str">
        <f>(IF(ISNUMBER(MATCH(B769,E!$B$6:$B$197,0)),VLOOKUP(B769,E!$B$6:$E$197,4,FALSE),VLOOKUP(B769,M!$B$6:$I$733,7,FALSE)))</f>
        <v>1.8-3</v>
      </c>
    </row>
    <row r="770" spans="1:14" ht="39.950000000000003" customHeight="1" x14ac:dyDescent="0.25">
      <c r="A770" s="16" t="s">
        <v>675</v>
      </c>
      <c r="B770" s="2" t="s">
        <v>94</v>
      </c>
      <c r="C770" s="2" t="s">
        <v>28</v>
      </c>
      <c r="D770" s="2" t="s">
        <v>827</v>
      </c>
      <c r="E770" s="14">
        <v>1</v>
      </c>
      <c r="F770" s="31" t="e">
        <f>ROUND(VLOOKUP(B770,M!$B$6:$H$733,IF(#REF!="დაბალი",4,IF(#REF!="საშუალო",6,IF(#REF!="მაღალი",5))),FALSE),2)</f>
        <v>#REF!</v>
      </c>
      <c r="G770" s="13" t="e">
        <f>ROUND(E770*F770,1)</f>
        <v>#REF!</v>
      </c>
      <c r="H770" s="2"/>
      <c r="I770" s="2"/>
      <c r="J770" s="35" t="e">
        <f>ROUND(IF(ISNUMBER(MATCH(B770,E!$B$6:$B$197,0)),VLOOKUP(B770,E!$B$6:$E$197,2,FALSE),IF(#REF!="დიახ",IF(VLOOKUP(B770,M!$B$6:$I$733,8,FALSE)="ლ",VLOOKUP(B770,M!$B$6:$I$733,3,FALSE)*0.001*#REF!*#REF!,IF(VLOOKUP(B770,M!$B$6:$I$733,8,FALSE)="მბ",VLOOKUP(B770,M!$B$6:$I$733,3,FALSE)*0.001*#REF!*#REF!,IF(VLOOKUP(B770,M!$B$6:$I$733,8,FALSE)="აბ",VLOOKUP(B770,M!$B$6:$I$733,3,FALSE)*0.001*#REF!*#REF!,IF(VLOOKUP(B770,M!$B$6:$I$733,8,FALSE)="ინ",VLOOKUP(B770,M!$B$6:$I$733,3,FALSE)*0.001*#REF!*#REF!,IF(VLOOKUP(B770,M!$B$6:$I$733,8,FALSE)="ას",VLOOKUP(B770,M!$B$6:$I$733,3,FALSE)*0.001*#REF!*#REF!,IF(VLOOKUP(B770,M!$B$6:$I$733,8,FALSE)="სხ",VLOOKUP(B770,M!$B$6:$I$733,3,FALSE)*0.001*#REF!*#REF!,IF(VLOOKUP(B770,M!$B$6:$I$733,8,FALSE)="ხმ",VLOOKUP(B770,M!$B$6:$I$733,3,FALSE)*0.001*#REF!*#REF!))))))))),2)</f>
        <v>#REF!</v>
      </c>
      <c r="K770" s="31" t="e">
        <f t="shared" si="233"/>
        <v>#REF!</v>
      </c>
      <c r="L770" s="14" t="e">
        <f>G770+I770+K770</f>
        <v>#REF!</v>
      </c>
      <c r="M770" s="23" t="str">
        <f>(IF(ISNUMBER(MATCH(B770,E!$B$6:$B$197,0)),VLOOKUP(B770,E!$B$6:$E$197,4,FALSE),VLOOKUP(B770,M!$B$6:$I$733,7,FALSE)))</f>
        <v>1.8-28</v>
      </c>
    </row>
    <row r="771" spans="1:14" ht="39.950000000000003" customHeight="1" x14ac:dyDescent="0.25">
      <c r="A771" s="16" t="s">
        <v>671</v>
      </c>
      <c r="B771" s="2" t="s">
        <v>334</v>
      </c>
      <c r="C771" s="2" t="s">
        <v>674</v>
      </c>
      <c r="D771" s="2">
        <v>1.04</v>
      </c>
      <c r="E771" s="14">
        <f>D771*E766</f>
        <v>1.04</v>
      </c>
      <c r="F771" s="31" t="e">
        <f>ROUND(VLOOKUP(B771,M!$B$6:$H$733,IF(#REF!="დაბალი",4,IF(#REF!="საშუალო",6,IF(#REF!="მაღალი",5))),FALSE),2)</f>
        <v>#REF!</v>
      </c>
      <c r="G771" s="13" t="e">
        <f>ROUND(E771*F771,1)</f>
        <v>#REF!</v>
      </c>
      <c r="H771" s="2"/>
      <c r="I771" s="2"/>
      <c r="J771" s="35" t="e">
        <f>ROUND(IF(ISNUMBER(MATCH(B771,E!$B$6:$B$197,0)),VLOOKUP(B771,E!$B$6:$E$197,2,FALSE),IF(#REF!="დიახ",IF(VLOOKUP(B771,M!$B$6:$I$733,8,FALSE)="ლ",VLOOKUP(B771,M!$B$6:$I$733,3,FALSE)*0.001*#REF!*#REF!,IF(VLOOKUP(B771,M!$B$6:$I$733,8,FALSE)="მბ",VLOOKUP(B771,M!$B$6:$I$733,3,FALSE)*0.001*#REF!*#REF!,IF(VLOOKUP(B771,M!$B$6:$I$733,8,FALSE)="აბ",VLOOKUP(B771,M!$B$6:$I$733,3,FALSE)*0.001*#REF!*#REF!,IF(VLOOKUP(B771,M!$B$6:$I$733,8,FALSE)="ინ",VLOOKUP(B771,M!$B$6:$I$733,3,FALSE)*0.001*#REF!*#REF!,IF(VLOOKUP(B771,M!$B$6:$I$733,8,FALSE)="ას",VLOOKUP(B771,M!$B$6:$I$733,3,FALSE)*0.001*#REF!*#REF!,IF(VLOOKUP(B771,M!$B$6:$I$733,8,FALSE)="სხ",VLOOKUP(B771,M!$B$6:$I$733,3,FALSE)*0.001*#REF!*#REF!,IF(VLOOKUP(B771,M!$B$6:$I$733,8,FALSE)="ხმ",VLOOKUP(B771,M!$B$6:$I$733,3,FALSE)*0.001*#REF!*#REF!))))))))),2)</f>
        <v>#REF!</v>
      </c>
      <c r="K771" s="31" t="e">
        <f t="shared" si="233"/>
        <v>#REF!</v>
      </c>
      <c r="L771" s="14" t="e">
        <f t="shared" ref="L771" si="234">G771+I771+K771</f>
        <v>#REF!</v>
      </c>
      <c r="M771" s="23" t="str">
        <f>(IF(ISNUMBER(MATCH(B771,E!$B$6:$B$197,0)),VLOOKUP(B771,E!$B$6:$E$197,4,FALSE),VLOOKUP(B771,M!$B$6:$I$733,7,FALSE)))</f>
        <v>4.1-231</v>
      </c>
    </row>
    <row r="772" spans="1:14" ht="80.099999999999994" customHeight="1" x14ac:dyDescent="0.25">
      <c r="A772" s="36"/>
      <c r="B772" s="37" t="s">
        <v>846</v>
      </c>
      <c r="C772" s="10"/>
      <c r="D772" s="10"/>
      <c r="E772" s="10"/>
      <c r="F772" s="30"/>
      <c r="G772" s="10"/>
      <c r="H772" s="26"/>
      <c r="I772" s="10"/>
      <c r="J772" s="30"/>
      <c r="K772" s="30"/>
      <c r="L772" s="11"/>
      <c r="M772" s="22"/>
    </row>
    <row r="773" spans="1:14" s="45" customFormat="1" ht="39.950000000000003" customHeight="1" x14ac:dyDescent="0.25">
      <c r="A773" s="39">
        <v>1.4</v>
      </c>
      <c r="B773" s="40" t="s">
        <v>992</v>
      </c>
      <c r="C773" s="41" t="s">
        <v>9</v>
      </c>
      <c r="D773" s="41"/>
      <c r="E773" s="42">
        <v>1</v>
      </c>
      <c r="F773" s="42"/>
      <c r="G773" s="42"/>
      <c r="H773" s="42"/>
      <c r="I773" s="42"/>
      <c r="J773" s="46" t="e">
        <f>IF(--MID(RIGHT(B773,15),1,3)&lt;=200,HLOOKUP(--MID(RIGHT(B773,15),1,3),#REF!,2,FALSE),IF(--MID(RIGHT(B773,15),1,3)&gt;200,(--MID(RIGHT(B773,15),1,3)-200)*0.24+55.01,IF(--MID(RIGHT(B773,15),1,3)&lt;1,0)))</f>
        <v>#REF!</v>
      </c>
      <c r="K773" s="46" t="e">
        <f>ROUND(E773*J773,2)</f>
        <v>#REF!</v>
      </c>
      <c r="L773" s="43" t="e">
        <f>G773+I773+K773</f>
        <v>#REF!</v>
      </c>
      <c r="M773" s="44" t="s">
        <v>676</v>
      </c>
    </row>
    <row r="774" spans="1:14" s="45" customFormat="1" ht="39.950000000000003" customHeight="1" x14ac:dyDescent="0.25">
      <c r="A774" s="70">
        <v>1.1000000000000001</v>
      </c>
      <c r="B774" s="40" t="s">
        <v>843</v>
      </c>
      <c r="C774" s="41" t="s">
        <v>844</v>
      </c>
      <c r="D774" s="41"/>
      <c r="E774" s="41">
        <v>1</v>
      </c>
      <c r="F774" s="42"/>
      <c r="G774" s="42"/>
      <c r="H774" s="42"/>
      <c r="I774" s="42"/>
      <c r="J774" s="46"/>
      <c r="K774" s="46"/>
      <c r="L774" s="43" t="e">
        <f>SUM(L775:L778)</f>
        <v>#REF!</v>
      </c>
      <c r="M774" s="57" t="s">
        <v>845</v>
      </c>
    </row>
    <row r="775" spans="1:14" ht="39.950000000000003" customHeight="1" x14ac:dyDescent="0.25">
      <c r="A775" s="16" t="s">
        <v>668</v>
      </c>
      <c r="B775" s="17" t="s">
        <v>669</v>
      </c>
      <c r="C775" s="2" t="s">
        <v>670</v>
      </c>
      <c r="D775" s="2">
        <v>10</v>
      </c>
      <c r="E775" s="14">
        <f>D775*E774</f>
        <v>10</v>
      </c>
      <c r="F775" s="13"/>
      <c r="G775" s="13"/>
      <c r="H775" s="13">
        <v>6</v>
      </c>
      <c r="I775" s="14">
        <f>ROUND(E775*H775,2)</f>
        <v>60</v>
      </c>
      <c r="J775" s="31"/>
      <c r="K775" s="31"/>
      <c r="L775" s="14">
        <f>G775+I775+K775</f>
        <v>60</v>
      </c>
      <c r="M775" s="23" t="str">
        <f>(IF(ISNUMBER(MATCH(B775,E!$B$6:$B$197,0)),VLOOKUP(B775,E!$B$6:$E$197,4,FALSE),VLOOKUP(B775,M!$B$6:$I$733,7,FALSE)))</f>
        <v>მ.ც</v>
      </c>
    </row>
    <row r="776" spans="1:14" ht="39.950000000000003" customHeight="1" x14ac:dyDescent="0.25">
      <c r="A776" s="16" t="s">
        <v>671</v>
      </c>
      <c r="B776" s="17" t="s">
        <v>654</v>
      </c>
      <c r="C776" s="2" t="s">
        <v>393</v>
      </c>
      <c r="D776" s="2">
        <v>0.1</v>
      </c>
      <c r="E776" s="14">
        <f>D776*E774</f>
        <v>0.1</v>
      </c>
      <c r="F776" s="13"/>
      <c r="G776" s="13"/>
      <c r="H776" s="13"/>
      <c r="I776" s="13"/>
      <c r="J776" s="35">
        <f>ROUND(IF(ISNUMBER(MATCH(B776,E!$B$6:$B$197,0)),VLOOKUP(B776,E!$B$6:$E$197,2,FALSE),IF(#REF!="დიახ",IF(VLOOKUP(B776,M!$B$6:$I$733,8,FALSE)="ლ",VLOOKUP(B776,M!$B$6:$I$733,3,FALSE)*0.001*#REF!*#REF!,IF(VLOOKUP(B776,M!$B$6:$I$733,8,FALSE)="მბ",VLOOKUP(B776,M!$B$6:$I$733,3,FALSE)*0.001*#REF!*#REF!,IF(VLOOKUP(B776,M!$B$6:$I$733,8,FALSE)="აბ",VLOOKUP(B776,M!$B$6:$I$733,3,FALSE)*0.001*#REF!*#REF!,IF(VLOOKUP(B776,M!$B$6:$I$733,8,FALSE)="ინ",VLOOKUP(B776,M!$B$6:$I$733,3,FALSE)*0.001*#REF!*#REF!,IF(VLOOKUP(B776,M!$B$6:$I$733,8,FALSE)="ას",VLOOKUP(B776,M!$B$6:$I$733,3,FALSE)*0.001*#REF!*#REF!,IF(VLOOKUP(B776,M!$B$6:$I$733,8,FALSE)="სხ",VLOOKUP(B776,M!$B$6:$I$733,3,FALSE)*0.001*#REF!*#REF!,IF(VLOOKUP(B776,M!$B$6:$I$733,8,FALSE)="ხმ",VLOOKUP(B776,M!$B$6:$I$733,3,FALSE)*0.001*#REF!*#REF!))))))))),2)</f>
        <v>3.2</v>
      </c>
      <c r="K776" s="31">
        <f>ROUND(E776*J776,2)</f>
        <v>0.32</v>
      </c>
      <c r="L776" s="14">
        <f>G776+I776+K776</f>
        <v>0.32</v>
      </c>
      <c r="M776" s="23" t="str">
        <f>(IF(ISNUMBER(MATCH(B776,E!$B$6:$B$197,0)),VLOOKUP(B776,E!$B$6:$E$197,4,FALSE),VLOOKUP(B776,M!$B$6:$I$733,7,FALSE)))</f>
        <v>ს.რ.ფ</v>
      </c>
    </row>
    <row r="777" spans="1:14" ht="39.950000000000003" customHeight="1" x14ac:dyDescent="0.25">
      <c r="A777" s="16" t="s">
        <v>673</v>
      </c>
      <c r="B777" s="2" t="s">
        <v>799</v>
      </c>
      <c r="C777" s="2" t="s">
        <v>674</v>
      </c>
      <c r="D777" s="2">
        <v>0.2</v>
      </c>
      <c r="E777" s="14">
        <f>D777*E774</f>
        <v>0.2</v>
      </c>
      <c r="F777" s="31" t="e">
        <f>ROUND(VLOOKUP(B777,M!$B$6:$H$733,IF(#REF!="დაბალი",4,IF(#REF!="საშუალო",6,IF(#REF!="მაღალი",5))),FALSE),2)</f>
        <v>#REF!</v>
      </c>
      <c r="G777" s="14" t="e">
        <f>ROUND(E777*F777,2)</f>
        <v>#REF!</v>
      </c>
      <c r="H777" s="13"/>
      <c r="I777" s="13"/>
      <c r="J777" s="35" t="e">
        <f>ROUND(IF(ISNUMBER(MATCH(B777,E!$B$6:$B$197,0)),VLOOKUP(B777,E!$B$6:$E$197,2,FALSE),IF(#REF!="დიახ",IF(VLOOKUP(B777,M!$B$6:$I$733,8,FALSE)="ლ",VLOOKUP(B777,M!$B$6:$I$733,3,FALSE)*0.001*#REF!*#REF!,IF(VLOOKUP(B777,M!$B$6:$I$733,8,FALSE)="მბ",VLOOKUP(B777,M!$B$6:$I$733,3,FALSE)*0.001*#REF!*#REF!,IF(VLOOKUP(B777,M!$B$6:$I$733,8,FALSE)="აბ",VLOOKUP(B777,M!$B$6:$I$733,3,FALSE)*0.001*#REF!*#REF!,IF(VLOOKUP(B777,M!$B$6:$I$733,8,FALSE)="ინ",VLOOKUP(B777,M!$B$6:$I$733,3,FALSE)*0.001*#REF!*#REF!,IF(VLOOKUP(B777,M!$B$6:$I$733,8,FALSE)="ას",VLOOKUP(B777,M!$B$6:$I$733,3,FALSE)*0.001*#REF!*#REF!,IF(VLOOKUP(B777,M!$B$6:$I$733,8,FALSE)="სხ",VLOOKUP(B777,M!$B$6:$I$733,3,FALSE)*0.001*#REF!*#REF!,IF(VLOOKUP(B777,M!$B$6:$I$733,8,FALSE)="ხმ",VLOOKUP(B777,M!$B$6:$I$733,3,FALSE)*0.001*#REF!*#REF!))))))))),2)</f>
        <v>#REF!</v>
      </c>
      <c r="K777" s="31" t="e">
        <f>ROUND(E777*J777,2)</f>
        <v>#REF!</v>
      </c>
      <c r="L777" s="14" t="e">
        <f>G777+I777+K777</f>
        <v>#REF!</v>
      </c>
      <c r="M777" s="23" t="str">
        <f>(IF(ISNUMBER(MATCH(B777,E!$B$6:$B$197,0)),VLOOKUP(B777,E!$B$6:$E$197,4,FALSE),VLOOKUP(B777,M!$B$6:$I$733,7,FALSE)))</f>
        <v>4.1-343</v>
      </c>
    </row>
    <row r="778" spans="1:14" ht="39.75" customHeight="1" x14ac:dyDescent="0.25">
      <c r="A778" s="16" t="s">
        <v>675</v>
      </c>
      <c r="B778" s="17" t="s">
        <v>677</v>
      </c>
      <c r="C778" s="2" t="s">
        <v>393</v>
      </c>
      <c r="D778" s="2">
        <v>0.1</v>
      </c>
      <c r="E778" s="14">
        <f>D778*E774</f>
        <v>0.1</v>
      </c>
      <c r="F778" s="31" t="e">
        <f>ROUND(VLOOKUP(B778,M!$B$6:$H$733,IF(#REF!="დაბალი",4,IF(#REF!="საშუალო",6,IF(#REF!="მაღალი",5))),FALSE),2)</f>
        <v>#REF!</v>
      </c>
      <c r="G778" s="14" t="e">
        <f>ROUND(E778*F778,2)</f>
        <v>#REF!</v>
      </c>
      <c r="H778" s="13"/>
      <c r="I778" s="13"/>
      <c r="J778" s="31"/>
      <c r="K778" s="31"/>
      <c r="L778" s="14" t="e">
        <f>G778+I778+K778</f>
        <v>#REF!</v>
      </c>
      <c r="M778" s="23" t="str">
        <f>(IF(ISNUMBER(MATCH(B778,E!$B$6:$B$197,0)),VLOOKUP(B778,E!$B$6:$E$197,4,FALSE),VLOOKUP(B778,M!$B$6:$I$733,7,FALSE)))</f>
        <v>ს.რ.ფ</v>
      </c>
    </row>
    <row r="779" spans="1:14" s="45" customFormat="1" ht="39.950000000000003" customHeight="1" x14ac:dyDescent="0.25">
      <c r="A779" s="70">
        <v>1.1000000000000001</v>
      </c>
      <c r="B779" s="40" t="s">
        <v>1089</v>
      </c>
      <c r="C779" s="41" t="s">
        <v>9</v>
      </c>
      <c r="D779" s="41"/>
      <c r="E779" s="41">
        <v>1</v>
      </c>
      <c r="F779" s="41"/>
      <c r="G779" s="41"/>
      <c r="H779" s="42"/>
      <c r="I779" s="42"/>
      <c r="J779" s="41"/>
      <c r="K779" s="41"/>
      <c r="L779" s="43" t="e">
        <f>SUM(L780:L782)</f>
        <v>#REF!</v>
      </c>
      <c r="M779" s="44" t="s">
        <v>845</v>
      </c>
      <c r="N779" s="114"/>
    </row>
    <row r="780" spans="1:14" ht="39.950000000000003" customHeight="1" x14ac:dyDescent="0.25">
      <c r="A780" s="16" t="s">
        <v>668</v>
      </c>
      <c r="B780" s="17" t="s">
        <v>669</v>
      </c>
      <c r="C780" s="2" t="s">
        <v>670</v>
      </c>
      <c r="D780" s="2">
        <v>200</v>
      </c>
      <c r="E780" s="14">
        <f>D780*E779</f>
        <v>200</v>
      </c>
      <c r="F780" s="14"/>
      <c r="G780" s="55"/>
      <c r="H780" s="13">
        <v>6</v>
      </c>
      <c r="I780" s="14">
        <f>ROUND(E780*H780,2)</f>
        <v>1200</v>
      </c>
      <c r="J780" s="2"/>
      <c r="K780" s="2"/>
      <c r="L780" s="14">
        <f>G780+I780+K780</f>
        <v>1200</v>
      </c>
      <c r="M780" s="23" t="str">
        <f>(IF(ISNUMBER(MATCH(B780,E!$B$6:$B$197,0)),VLOOKUP(B780,E!$B$6:$E$197,4,FALSE),VLOOKUP(B780,M!$B$6:$I$733,7,FALSE)))</f>
        <v>მ.ც</v>
      </c>
      <c r="N780" s="113"/>
    </row>
    <row r="781" spans="1:14" ht="39.950000000000003" customHeight="1" x14ac:dyDescent="0.25">
      <c r="A781" s="16" t="s">
        <v>671</v>
      </c>
      <c r="B781" s="2" t="s">
        <v>456</v>
      </c>
      <c r="C781" s="2" t="s">
        <v>9</v>
      </c>
      <c r="D781" s="2">
        <v>1.5</v>
      </c>
      <c r="E781" s="14">
        <f>D781*E779</f>
        <v>1.5</v>
      </c>
      <c r="F781" s="31" t="e">
        <f>ROUND(VLOOKUP(B781,M!$B$6:$H$733,IF(#REF!="დაბალი",4,IF(#REF!="საშუალო",6,IF(#REF!="მაღალი",5))),FALSE),2)</f>
        <v>#REF!</v>
      </c>
      <c r="G781" s="14" t="e">
        <f>ROUND(E781*F781,2)</f>
        <v>#REF!</v>
      </c>
      <c r="H781" s="2"/>
      <c r="I781" s="2"/>
      <c r="J781" s="35" t="e">
        <f>ROUND(IF(ISNUMBER(MATCH(B781,E!$B$6:$B$197,0)),VLOOKUP(B781,E!$B$6:$E$197,2,FALSE),IF(#REF!="დიახ",IF(VLOOKUP(B781,M!$B$6:$I$733,8,FALSE)="ლ",VLOOKUP(B781,M!$B$6:$I$733,3,FALSE)*0.001*#REF!*#REF!,IF(VLOOKUP(B781,M!$B$6:$I$733,8,FALSE)="მბ",VLOOKUP(B781,M!$B$6:$I$733,3,FALSE)*0.001*#REF!*#REF!,IF(VLOOKUP(B781,M!$B$6:$I$733,8,FALSE)="აბ",VLOOKUP(B781,M!$B$6:$I$733,3,FALSE)*0.001*#REF!*#REF!,IF(VLOOKUP(B781,M!$B$6:$I$733,8,FALSE)="ინ",VLOOKUP(B781,M!$B$6:$I$733,3,FALSE)*0.001*#REF!*#REF!,IF(VLOOKUP(B781,M!$B$6:$I$733,8,FALSE)="ას",VLOOKUP(B781,M!$B$6:$I$733,3,FALSE)*0.001*#REF!*#REF!,IF(VLOOKUP(B781,M!$B$6:$I$733,8,FALSE)="სხ",VLOOKUP(B781,M!$B$6:$I$733,3,FALSE)*0.001*#REF!*#REF!,IF(VLOOKUP(B781,M!$B$6:$I$733,8,FALSE)="ხმ",VLOOKUP(B781,M!$B$6:$I$733,3,FALSE)*0.001*#REF!*#REF!))))))))),2)</f>
        <v>#REF!</v>
      </c>
      <c r="K781" s="31" t="e">
        <f>ROUND(E781*J781,2)</f>
        <v>#REF!</v>
      </c>
      <c r="L781" s="14" t="e">
        <f>G781+I781+K781</f>
        <v>#REF!</v>
      </c>
      <c r="M781" s="23" t="str">
        <f>(IF(ISNUMBER(MATCH(B781,E!$B$6:$B$197,0)),VLOOKUP(B781,E!$B$6:$E$197,4,FALSE),VLOOKUP(B781,M!$B$6:$I$733,7,FALSE)))</f>
        <v>4.1-541</v>
      </c>
      <c r="N781" s="113"/>
    </row>
    <row r="782" spans="1:14" ht="39.950000000000003" customHeight="1" x14ac:dyDescent="0.25">
      <c r="A782" s="16" t="s">
        <v>673</v>
      </c>
      <c r="B782" s="17" t="s">
        <v>1090</v>
      </c>
      <c r="C782" s="2" t="s">
        <v>28</v>
      </c>
      <c r="D782" s="2">
        <v>1000</v>
      </c>
      <c r="E782" s="14">
        <f>D782*E779</f>
        <v>1000</v>
      </c>
      <c r="F782" s="14">
        <v>0.7</v>
      </c>
      <c r="G782" s="14">
        <f>ROUND(E782*F782,2)</f>
        <v>700</v>
      </c>
      <c r="H782" s="2"/>
      <c r="I782" s="2"/>
      <c r="J782" s="2"/>
      <c r="K782" s="14"/>
      <c r="L782" s="14">
        <f>G782+I782+K782</f>
        <v>700</v>
      </c>
      <c r="M782" s="23" t="s">
        <v>845</v>
      </c>
      <c r="N782" s="113"/>
    </row>
    <row r="783" spans="1:14" s="45" customFormat="1" ht="39.950000000000003" customHeight="1" x14ac:dyDescent="0.25">
      <c r="A783" s="70">
        <v>1.1000000000000001</v>
      </c>
      <c r="B783" s="40" t="s">
        <v>1095</v>
      </c>
      <c r="C783" s="41" t="s">
        <v>842</v>
      </c>
      <c r="D783" s="41"/>
      <c r="E783" s="52">
        <v>100</v>
      </c>
      <c r="F783" s="41"/>
      <c r="G783" s="41"/>
      <c r="H783" s="42"/>
      <c r="I783" s="42"/>
      <c r="J783" s="41"/>
      <c r="K783" s="41"/>
      <c r="L783" s="43" t="e">
        <f>SUM(L784:L785)</f>
        <v>#REF!</v>
      </c>
      <c r="M783" s="44" t="s">
        <v>845</v>
      </c>
      <c r="N783" s="107"/>
    </row>
    <row r="784" spans="1:14" ht="39.950000000000003" customHeight="1" x14ac:dyDescent="0.25">
      <c r="A784" s="16" t="s">
        <v>668</v>
      </c>
      <c r="B784" s="17" t="s">
        <v>669</v>
      </c>
      <c r="C784" s="2" t="s">
        <v>670</v>
      </c>
      <c r="D784" s="2">
        <v>100</v>
      </c>
      <c r="E784" s="14">
        <f>D784*E783/100</f>
        <v>100</v>
      </c>
      <c r="F784" s="13"/>
      <c r="G784" s="13"/>
      <c r="H784" s="13">
        <v>6</v>
      </c>
      <c r="I784" s="14">
        <f>ROUND(E784*H784,2)</f>
        <v>600</v>
      </c>
      <c r="J784" s="2"/>
      <c r="K784" s="2"/>
      <c r="L784" s="14">
        <f t="shared" ref="L784:L785" si="235">G784+I784+K784</f>
        <v>600</v>
      </c>
      <c r="M784" s="23" t="str">
        <f>(IF(ISNUMBER(MATCH(B784,E!$B$6:$B$197,0)),VLOOKUP(B784,E!$B$6:$E$197,4,FALSE),VLOOKUP(B784,M!$B$6:$I$733,7,FALSE)))</f>
        <v>მ.ც</v>
      </c>
      <c r="N784" s="106"/>
    </row>
    <row r="785" spans="1:14" ht="39.950000000000003" customHeight="1" x14ac:dyDescent="0.25">
      <c r="A785" s="16" t="s">
        <v>671</v>
      </c>
      <c r="B785" s="2" t="s">
        <v>482</v>
      </c>
      <c r="C785" s="2" t="s">
        <v>814</v>
      </c>
      <c r="D785" s="2">
        <v>105</v>
      </c>
      <c r="E785" s="14">
        <f>D785*E783/100</f>
        <v>105</v>
      </c>
      <c r="F785" s="31" t="e">
        <f>ROUND(VLOOKUP(B785,M!$B$6:$H$733,IF(#REF!="დაბალი",4,IF(#REF!="საშუალო",6,IF(#REF!="მაღალი",5))),FALSE),2)</f>
        <v>#REF!</v>
      </c>
      <c r="G785" s="14" t="e">
        <f>ROUND(E785*F785,2)</f>
        <v>#REF!</v>
      </c>
      <c r="H785" s="13"/>
      <c r="I785" s="13"/>
      <c r="J785" s="14"/>
      <c r="K785" s="14"/>
      <c r="L785" s="14" t="e">
        <f t="shared" si="235"/>
        <v>#REF!</v>
      </c>
      <c r="M785" s="23" t="str">
        <f>(IF(ISNUMBER(MATCH(B785,E!$B$6:$B$197,0)),VLOOKUP(B785,E!$B$6:$E$197,4,FALSE),VLOOKUP(B785,M!$B$6:$I$733,7,FALSE)))</f>
        <v>4.3-21</v>
      </c>
      <c r="N785" s="106"/>
    </row>
    <row r="786" spans="1:14" ht="39.950000000000003" customHeight="1" x14ac:dyDescent="0.25"/>
    <row r="787" spans="1:14" ht="39.950000000000003" customHeight="1" x14ac:dyDescent="0.25"/>
    <row r="788" spans="1:14" ht="39.950000000000003" customHeight="1" x14ac:dyDescent="0.25"/>
    <row r="789" spans="1:14" ht="39.950000000000003" customHeight="1" x14ac:dyDescent="0.25"/>
    <row r="790" spans="1:14" ht="39.950000000000003" customHeight="1" x14ac:dyDescent="0.25"/>
    <row r="791" spans="1:14" ht="39.950000000000003" customHeight="1" x14ac:dyDescent="0.25"/>
    <row r="792" spans="1:14" ht="39.950000000000003" customHeight="1" x14ac:dyDescent="0.25"/>
    <row r="793" spans="1:14" ht="39.950000000000003" customHeight="1" x14ac:dyDescent="0.25"/>
    <row r="794" spans="1:14" ht="39.950000000000003" customHeight="1" x14ac:dyDescent="0.25"/>
    <row r="795" spans="1:14" ht="39.950000000000003" customHeight="1" x14ac:dyDescent="0.25"/>
    <row r="796" spans="1:14" ht="39.950000000000003" customHeight="1" x14ac:dyDescent="0.25"/>
    <row r="797" spans="1:14" ht="39.950000000000003" customHeight="1" x14ac:dyDescent="0.25"/>
    <row r="798" spans="1:14" ht="39.950000000000003" customHeight="1" x14ac:dyDescent="0.25"/>
    <row r="799" spans="1:14" ht="39.950000000000003" customHeight="1" x14ac:dyDescent="0.25"/>
    <row r="800" spans="1:14" ht="39.950000000000003" customHeight="1" x14ac:dyDescent="0.25"/>
    <row r="801" ht="39.950000000000003" customHeight="1" x14ac:dyDescent="0.25"/>
    <row r="802" ht="39.950000000000003" customHeight="1" x14ac:dyDescent="0.25"/>
    <row r="803" ht="39.950000000000003" customHeight="1" x14ac:dyDescent="0.25"/>
    <row r="804" ht="39.950000000000003" customHeight="1" x14ac:dyDescent="0.25"/>
    <row r="805" ht="39.950000000000003" customHeight="1" x14ac:dyDescent="0.25"/>
    <row r="806" ht="39.950000000000003" customHeight="1" x14ac:dyDescent="0.25"/>
    <row r="807" ht="39.950000000000003" customHeight="1" x14ac:dyDescent="0.25"/>
    <row r="808" ht="39.950000000000003" customHeight="1" x14ac:dyDescent="0.25"/>
    <row r="809" ht="39.950000000000003" customHeight="1" x14ac:dyDescent="0.25"/>
    <row r="810" ht="39.950000000000003" customHeight="1" x14ac:dyDescent="0.25"/>
    <row r="811" ht="39.950000000000003" customHeight="1" x14ac:dyDescent="0.25"/>
    <row r="812" ht="39.950000000000003" customHeight="1" x14ac:dyDescent="0.25"/>
    <row r="813" ht="39.950000000000003" customHeight="1" x14ac:dyDescent="0.25"/>
    <row r="814" ht="39.950000000000003" customHeight="1" x14ac:dyDescent="0.25"/>
    <row r="815" ht="39.950000000000003" customHeight="1" x14ac:dyDescent="0.25"/>
    <row r="816" ht="39.950000000000003" customHeight="1" x14ac:dyDescent="0.25"/>
    <row r="817" ht="39.950000000000003" customHeight="1" x14ac:dyDescent="0.25"/>
    <row r="818" ht="39.950000000000003" customHeight="1" x14ac:dyDescent="0.25"/>
    <row r="819" ht="39.950000000000003" customHeight="1" x14ac:dyDescent="0.25"/>
    <row r="820" ht="39.950000000000003" customHeight="1" x14ac:dyDescent="0.25"/>
    <row r="821" ht="39.950000000000003" customHeight="1" x14ac:dyDescent="0.25"/>
    <row r="822" ht="39.950000000000003" customHeight="1" x14ac:dyDescent="0.25"/>
    <row r="823" ht="39.950000000000003" customHeight="1" x14ac:dyDescent="0.25"/>
    <row r="824" ht="39.950000000000003" customHeight="1" x14ac:dyDescent="0.25"/>
    <row r="825" ht="39.950000000000003" customHeight="1" x14ac:dyDescent="0.25"/>
    <row r="826" ht="39.950000000000003" customHeight="1" x14ac:dyDescent="0.25"/>
    <row r="827" ht="39.950000000000003" customHeight="1" x14ac:dyDescent="0.25"/>
    <row r="828" ht="39.950000000000003" customHeight="1" x14ac:dyDescent="0.25"/>
    <row r="829" ht="39.950000000000003" customHeight="1" x14ac:dyDescent="0.25"/>
    <row r="830" ht="39.950000000000003" customHeight="1" x14ac:dyDescent="0.25"/>
    <row r="831" ht="39.950000000000003" customHeight="1" x14ac:dyDescent="0.25"/>
    <row r="832" ht="39.950000000000003" customHeight="1" x14ac:dyDescent="0.25"/>
    <row r="833" ht="39.950000000000003" customHeight="1" x14ac:dyDescent="0.25"/>
    <row r="834" ht="39.950000000000003" customHeight="1" x14ac:dyDescent="0.25"/>
    <row r="835" ht="39.950000000000003" customHeight="1" x14ac:dyDescent="0.25"/>
    <row r="836" ht="39.950000000000003" customHeight="1" x14ac:dyDescent="0.25"/>
    <row r="837" ht="39.950000000000003" customHeight="1" x14ac:dyDescent="0.25"/>
    <row r="838" ht="39.950000000000003" customHeight="1" x14ac:dyDescent="0.25"/>
    <row r="839" ht="39.950000000000003" customHeight="1" x14ac:dyDescent="0.25"/>
    <row r="840" ht="39.950000000000003" customHeight="1" x14ac:dyDescent="0.25"/>
    <row r="841" ht="39.950000000000003" customHeight="1" x14ac:dyDescent="0.25"/>
    <row r="842" ht="39.950000000000003" customHeight="1" x14ac:dyDescent="0.25"/>
    <row r="843" ht="39.950000000000003" customHeight="1" x14ac:dyDescent="0.25"/>
    <row r="844" ht="39.950000000000003" customHeight="1" x14ac:dyDescent="0.25"/>
    <row r="845" ht="39.950000000000003" customHeight="1" x14ac:dyDescent="0.25"/>
    <row r="846" ht="39.950000000000003" customHeight="1" x14ac:dyDescent="0.25"/>
    <row r="847" ht="39.950000000000003" customHeight="1" x14ac:dyDescent="0.25"/>
    <row r="848" ht="39.950000000000003" customHeight="1" x14ac:dyDescent="0.25"/>
    <row r="849" ht="39.950000000000003" customHeight="1" x14ac:dyDescent="0.25"/>
    <row r="850" ht="39.950000000000003" customHeight="1" x14ac:dyDescent="0.25"/>
    <row r="851" ht="39.950000000000003" customHeight="1" x14ac:dyDescent="0.25"/>
    <row r="852" ht="39.950000000000003" customHeight="1" x14ac:dyDescent="0.25"/>
    <row r="853" ht="39.950000000000003" customHeight="1" x14ac:dyDescent="0.25"/>
    <row r="854" ht="39.950000000000003" customHeight="1" x14ac:dyDescent="0.25"/>
    <row r="855" ht="39.950000000000003" customHeight="1" x14ac:dyDescent="0.25"/>
    <row r="856" ht="39.950000000000003" customHeight="1" x14ac:dyDescent="0.25"/>
    <row r="857" ht="39.950000000000003" customHeight="1" x14ac:dyDescent="0.25"/>
    <row r="858" ht="39.950000000000003" customHeight="1" x14ac:dyDescent="0.25"/>
    <row r="859" ht="39.950000000000003" customHeight="1" x14ac:dyDescent="0.25"/>
    <row r="860" ht="39.950000000000003" customHeight="1" x14ac:dyDescent="0.25"/>
    <row r="861" ht="39.950000000000003" customHeight="1" x14ac:dyDescent="0.25"/>
    <row r="862" ht="39.950000000000003" customHeight="1" x14ac:dyDescent="0.25"/>
    <row r="863" ht="39.950000000000003" customHeight="1" x14ac:dyDescent="0.25"/>
    <row r="864" ht="39.950000000000003" customHeight="1" x14ac:dyDescent="0.25"/>
    <row r="865" ht="39.950000000000003" customHeight="1" x14ac:dyDescent="0.25"/>
    <row r="866" ht="39.950000000000003" customHeight="1" x14ac:dyDescent="0.25"/>
    <row r="867" ht="39.950000000000003" customHeight="1" x14ac:dyDescent="0.25"/>
    <row r="868" ht="39.950000000000003" customHeight="1" x14ac:dyDescent="0.25"/>
    <row r="869" ht="39.950000000000003" customHeight="1" x14ac:dyDescent="0.25"/>
    <row r="870" ht="39.950000000000003" customHeight="1" x14ac:dyDescent="0.25"/>
    <row r="871" ht="39.950000000000003" customHeight="1" x14ac:dyDescent="0.25"/>
    <row r="872" ht="39.950000000000003" customHeight="1" x14ac:dyDescent="0.25"/>
    <row r="873" ht="39.950000000000003" customHeight="1" x14ac:dyDescent="0.25"/>
    <row r="874" ht="39.950000000000003" customHeight="1" x14ac:dyDescent="0.25"/>
    <row r="875" ht="39.950000000000003" customHeight="1" x14ac:dyDescent="0.25"/>
    <row r="876" ht="39.950000000000003" customHeight="1" x14ac:dyDescent="0.25"/>
    <row r="877" ht="39.950000000000003" customHeight="1" x14ac:dyDescent="0.25"/>
    <row r="878" ht="39.950000000000003" customHeight="1" x14ac:dyDescent="0.25"/>
    <row r="879" ht="39.950000000000003" customHeight="1" x14ac:dyDescent="0.25"/>
    <row r="880" ht="39.950000000000003" customHeight="1" x14ac:dyDescent="0.25"/>
    <row r="881" ht="39.950000000000003" customHeight="1" x14ac:dyDescent="0.25"/>
    <row r="882" ht="39.950000000000003" customHeight="1" x14ac:dyDescent="0.25"/>
    <row r="883" ht="39.950000000000003" customHeight="1" x14ac:dyDescent="0.25"/>
    <row r="884" ht="39.950000000000003" customHeight="1" x14ac:dyDescent="0.25"/>
    <row r="885" ht="39.950000000000003" customHeight="1" x14ac:dyDescent="0.25"/>
    <row r="886" ht="39.950000000000003" customHeight="1" x14ac:dyDescent="0.25"/>
    <row r="887" ht="39.950000000000003" customHeight="1" x14ac:dyDescent="0.25"/>
    <row r="888" ht="39.950000000000003" customHeight="1" x14ac:dyDescent="0.25"/>
    <row r="889" ht="39.950000000000003" customHeight="1" x14ac:dyDescent="0.25"/>
    <row r="890" ht="39.950000000000003" customHeight="1" x14ac:dyDescent="0.25"/>
    <row r="891" ht="39.950000000000003" customHeight="1" x14ac:dyDescent="0.25"/>
    <row r="892" ht="39.950000000000003" customHeight="1" x14ac:dyDescent="0.25"/>
    <row r="893" ht="39.950000000000003" customHeight="1" x14ac:dyDescent="0.25"/>
    <row r="894" ht="39.950000000000003" customHeight="1" x14ac:dyDescent="0.25"/>
    <row r="895" ht="39.950000000000003" customHeight="1" x14ac:dyDescent="0.25"/>
    <row r="896" ht="39.950000000000003" customHeight="1" x14ac:dyDescent="0.25"/>
    <row r="897" ht="39.950000000000003" customHeight="1" x14ac:dyDescent="0.25"/>
    <row r="898" ht="39.950000000000003" customHeight="1" x14ac:dyDescent="0.25"/>
    <row r="899" ht="39.950000000000003" customHeight="1" x14ac:dyDescent="0.25"/>
    <row r="900" ht="39.950000000000003" customHeight="1" x14ac:dyDescent="0.25"/>
    <row r="901" ht="39.950000000000003" customHeight="1" x14ac:dyDescent="0.25"/>
    <row r="902" ht="39.950000000000003" customHeight="1" x14ac:dyDescent="0.25"/>
    <row r="903" ht="39.950000000000003" customHeight="1" x14ac:dyDescent="0.25"/>
    <row r="904" ht="39.950000000000003" customHeight="1" x14ac:dyDescent="0.25"/>
    <row r="905" ht="39.950000000000003" customHeight="1" x14ac:dyDescent="0.25"/>
    <row r="906" ht="39.950000000000003" customHeight="1" x14ac:dyDescent="0.25"/>
    <row r="907" ht="39.950000000000003" customHeight="1" x14ac:dyDescent="0.25"/>
    <row r="908" ht="39.950000000000003" customHeight="1" x14ac:dyDescent="0.25"/>
    <row r="909" ht="39.950000000000003" customHeight="1" x14ac:dyDescent="0.25"/>
    <row r="910" ht="39.950000000000003" customHeight="1" x14ac:dyDescent="0.25"/>
    <row r="911" ht="39.950000000000003" customHeight="1" x14ac:dyDescent="0.25"/>
    <row r="912" ht="39.950000000000003" customHeight="1" x14ac:dyDescent="0.25"/>
    <row r="913" ht="39.950000000000003" customHeight="1" x14ac:dyDescent="0.25"/>
    <row r="914" ht="39.950000000000003" customHeight="1" x14ac:dyDescent="0.25"/>
    <row r="915" ht="39.950000000000003" customHeight="1" x14ac:dyDescent="0.25"/>
    <row r="916" ht="39.950000000000003" customHeight="1" x14ac:dyDescent="0.25"/>
    <row r="917" ht="39.950000000000003" customHeight="1" x14ac:dyDescent="0.25"/>
    <row r="918" ht="39.950000000000003" customHeight="1" x14ac:dyDescent="0.25"/>
    <row r="919" ht="39.950000000000003" customHeight="1" x14ac:dyDescent="0.25"/>
    <row r="920" ht="39.950000000000003" customHeight="1" x14ac:dyDescent="0.25"/>
    <row r="921" ht="39.950000000000003" customHeight="1" x14ac:dyDescent="0.25"/>
    <row r="922" ht="39.950000000000003" customHeight="1" x14ac:dyDescent="0.25"/>
    <row r="923" ht="39.950000000000003" customHeight="1" x14ac:dyDescent="0.25"/>
    <row r="924" ht="39.950000000000003" customHeight="1" x14ac:dyDescent="0.25"/>
    <row r="925" ht="39.950000000000003" customHeight="1" x14ac:dyDescent="0.25"/>
    <row r="926" ht="39.950000000000003" customHeight="1" x14ac:dyDescent="0.25"/>
    <row r="927" ht="39.950000000000003" customHeight="1" x14ac:dyDescent="0.25"/>
    <row r="928" ht="39.950000000000003" customHeight="1" x14ac:dyDescent="0.25"/>
    <row r="929" ht="39.950000000000003" customHeight="1" x14ac:dyDescent="0.25"/>
    <row r="930" ht="39.950000000000003" customHeight="1" x14ac:dyDescent="0.25"/>
    <row r="931" ht="39.950000000000003" customHeight="1" x14ac:dyDescent="0.25"/>
    <row r="932" ht="39.950000000000003" customHeight="1" x14ac:dyDescent="0.25"/>
    <row r="933" ht="39.950000000000003" customHeight="1" x14ac:dyDescent="0.25"/>
    <row r="934" ht="39.950000000000003" customHeight="1" x14ac:dyDescent="0.25"/>
    <row r="935" ht="39.950000000000003" customHeight="1" x14ac:dyDescent="0.25"/>
    <row r="936" ht="39.950000000000003" customHeight="1" x14ac:dyDescent="0.25"/>
    <row r="937" ht="39.950000000000003" customHeight="1" x14ac:dyDescent="0.25"/>
    <row r="938" ht="39.950000000000003" customHeight="1" x14ac:dyDescent="0.25"/>
    <row r="939" ht="39.950000000000003" customHeight="1" x14ac:dyDescent="0.25"/>
    <row r="940" ht="39.950000000000003" customHeight="1" x14ac:dyDescent="0.25"/>
    <row r="941" ht="39.950000000000003" customHeight="1" x14ac:dyDescent="0.25"/>
    <row r="942" ht="39.950000000000003" customHeight="1" x14ac:dyDescent="0.25"/>
    <row r="943" ht="39.950000000000003" customHeight="1" x14ac:dyDescent="0.25"/>
    <row r="944" ht="39.950000000000003" customHeight="1" x14ac:dyDescent="0.25"/>
    <row r="945" ht="39.950000000000003" customHeight="1" x14ac:dyDescent="0.25"/>
    <row r="946" ht="39.950000000000003" customHeight="1" x14ac:dyDescent="0.25"/>
    <row r="947" ht="39.950000000000003" customHeight="1" x14ac:dyDescent="0.25"/>
    <row r="948" ht="39.950000000000003" customHeight="1" x14ac:dyDescent="0.25"/>
    <row r="949" ht="39.950000000000003" customHeight="1" x14ac:dyDescent="0.25"/>
    <row r="950" ht="39.950000000000003" customHeight="1" x14ac:dyDescent="0.25"/>
    <row r="951" ht="39.950000000000003" customHeight="1" x14ac:dyDescent="0.25"/>
    <row r="952" ht="39.950000000000003" customHeight="1" x14ac:dyDescent="0.25"/>
    <row r="953" ht="39.950000000000003" customHeight="1" x14ac:dyDescent="0.25"/>
    <row r="954" ht="39.950000000000003" customHeight="1" x14ac:dyDescent="0.25"/>
    <row r="955" ht="39.950000000000003" customHeight="1" x14ac:dyDescent="0.25"/>
    <row r="956" ht="39.950000000000003" customHeight="1" x14ac:dyDescent="0.25"/>
    <row r="957" ht="39.950000000000003" customHeight="1" x14ac:dyDescent="0.25"/>
    <row r="958" ht="39.950000000000003" customHeight="1" x14ac:dyDescent="0.25"/>
    <row r="959" ht="39.950000000000003" customHeight="1" x14ac:dyDescent="0.25"/>
    <row r="960" ht="39.950000000000003" customHeight="1" x14ac:dyDescent="0.25"/>
    <row r="961" ht="39.950000000000003" customHeight="1" x14ac:dyDescent="0.25"/>
    <row r="962" ht="39.950000000000003" customHeight="1" x14ac:dyDescent="0.25"/>
    <row r="963" ht="39.950000000000003" customHeight="1" x14ac:dyDescent="0.25"/>
    <row r="964" ht="39.950000000000003" customHeight="1" x14ac:dyDescent="0.25"/>
    <row r="965" ht="39.950000000000003" customHeight="1" x14ac:dyDescent="0.25"/>
    <row r="966" ht="39.950000000000003" customHeight="1" x14ac:dyDescent="0.25"/>
    <row r="967" ht="39.950000000000003" customHeight="1" x14ac:dyDescent="0.25"/>
    <row r="968" ht="39.950000000000003" customHeight="1" x14ac:dyDescent="0.25"/>
    <row r="969" ht="39.950000000000003" customHeight="1" x14ac:dyDescent="0.25"/>
    <row r="970" ht="39.950000000000003" customHeight="1" x14ac:dyDescent="0.25"/>
    <row r="971" ht="39.950000000000003" customHeight="1" x14ac:dyDescent="0.25"/>
    <row r="972" ht="39.950000000000003" customHeight="1" x14ac:dyDescent="0.25"/>
    <row r="973" ht="39.950000000000003" customHeight="1" x14ac:dyDescent="0.25"/>
    <row r="974" ht="39.950000000000003" customHeight="1" x14ac:dyDescent="0.25"/>
    <row r="975" ht="39.950000000000003" customHeight="1" x14ac:dyDescent="0.25"/>
    <row r="976" ht="39.950000000000003" customHeight="1" x14ac:dyDescent="0.25"/>
    <row r="977" ht="39.950000000000003" customHeight="1" x14ac:dyDescent="0.25"/>
    <row r="978" ht="39.950000000000003" customHeight="1" x14ac:dyDescent="0.25"/>
    <row r="979" ht="39.950000000000003" customHeight="1" x14ac:dyDescent="0.25"/>
    <row r="980" ht="39.950000000000003" customHeight="1" x14ac:dyDescent="0.25"/>
    <row r="981" ht="39.950000000000003" customHeight="1" x14ac:dyDescent="0.25"/>
    <row r="982" ht="39.950000000000003" customHeight="1" x14ac:dyDescent="0.25"/>
    <row r="983" ht="39.950000000000003" customHeight="1" x14ac:dyDescent="0.25"/>
    <row r="984" ht="39.950000000000003" customHeight="1" x14ac:dyDescent="0.25"/>
    <row r="985" ht="39.950000000000003" customHeight="1" x14ac:dyDescent="0.25"/>
    <row r="986" ht="39.950000000000003" customHeight="1" x14ac:dyDescent="0.25"/>
    <row r="987" ht="39.950000000000003" customHeight="1" x14ac:dyDescent="0.25"/>
    <row r="988" ht="39.950000000000003" customHeight="1" x14ac:dyDescent="0.25"/>
    <row r="989" ht="39.950000000000003" customHeight="1" x14ac:dyDescent="0.25"/>
    <row r="990" ht="39.950000000000003" customHeight="1" x14ac:dyDescent="0.25"/>
    <row r="991" ht="39.950000000000003" customHeight="1" x14ac:dyDescent="0.25"/>
    <row r="992" ht="39.950000000000003" customHeight="1" x14ac:dyDescent="0.25"/>
    <row r="993" ht="39.950000000000003" customHeight="1" x14ac:dyDescent="0.25"/>
    <row r="994" ht="39.950000000000003" customHeight="1" x14ac:dyDescent="0.25"/>
    <row r="995" ht="39.950000000000003" customHeight="1" x14ac:dyDescent="0.25"/>
    <row r="996" ht="39.950000000000003" customHeight="1" x14ac:dyDescent="0.25"/>
    <row r="997" ht="39.950000000000003" customHeight="1" x14ac:dyDescent="0.25"/>
    <row r="998" ht="39.950000000000003" customHeight="1" x14ac:dyDescent="0.25"/>
    <row r="999" ht="39.950000000000003" customHeight="1" x14ac:dyDescent="0.25"/>
    <row r="1000" ht="39.950000000000003" customHeight="1" x14ac:dyDescent="0.25"/>
    <row r="1001" ht="39.950000000000003" customHeight="1" x14ac:dyDescent="0.25"/>
    <row r="1002" ht="39.950000000000003" customHeight="1" x14ac:dyDescent="0.25"/>
    <row r="1003" ht="39.950000000000003" customHeight="1" x14ac:dyDescent="0.25"/>
    <row r="1004" ht="39.950000000000003" customHeight="1" x14ac:dyDescent="0.25"/>
    <row r="1005" ht="39.950000000000003" customHeight="1" x14ac:dyDescent="0.25"/>
    <row r="1006" ht="39.950000000000003" customHeight="1" x14ac:dyDescent="0.25"/>
    <row r="1007" ht="39.950000000000003" customHeight="1" x14ac:dyDescent="0.25"/>
    <row r="1008" ht="39.950000000000003" customHeight="1" x14ac:dyDescent="0.25"/>
    <row r="1009" ht="39.950000000000003" customHeight="1" x14ac:dyDescent="0.25"/>
    <row r="1010" ht="39.950000000000003" customHeight="1" x14ac:dyDescent="0.25"/>
    <row r="1011" ht="39.950000000000003" customHeight="1" x14ac:dyDescent="0.25"/>
    <row r="1012" ht="39.950000000000003" customHeight="1" x14ac:dyDescent="0.25"/>
    <row r="1013" ht="39.950000000000003" customHeight="1" x14ac:dyDescent="0.25"/>
    <row r="1014" ht="39.950000000000003" customHeight="1" x14ac:dyDescent="0.25"/>
    <row r="1015" ht="39.950000000000003" customHeight="1" x14ac:dyDescent="0.25"/>
    <row r="1016" ht="39.950000000000003" customHeight="1" x14ac:dyDescent="0.25"/>
    <row r="1017" ht="39.950000000000003" customHeight="1" x14ac:dyDescent="0.25"/>
    <row r="1018" ht="39.950000000000003" customHeight="1" x14ac:dyDescent="0.25"/>
    <row r="1019" ht="39.950000000000003" customHeight="1" x14ac:dyDescent="0.25"/>
    <row r="1020" ht="39.950000000000003" customHeight="1" x14ac:dyDescent="0.25"/>
    <row r="1021" ht="39.950000000000003" customHeight="1" x14ac:dyDescent="0.25"/>
    <row r="1022" ht="39.950000000000003" customHeight="1" x14ac:dyDescent="0.25"/>
    <row r="1023" ht="39.950000000000003" customHeight="1" x14ac:dyDescent="0.25"/>
    <row r="1024" ht="39.950000000000003" customHeight="1" x14ac:dyDescent="0.25"/>
    <row r="1025" ht="39.950000000000003" customHeight="1" x14ac:dyDescent="0.25"/>
    <row r="1026" ht="39.950000000000003" customHeight="1" x14ac:dyDescent="0.25"/>
    <row r="1027" ht="39.950000000000003" customHeight="1" x14ac:dyDescent="0.25"/>
    <row r="1028" ht="39.950000000000003" customHeight="1" x14ac:dyDescent="0.25"/>
    <row r="1029" ht="39.950000000000003" customHeight="1" x14ac:dyDescent="0.25"/>
    <row r="1030" ht="39.950000000000003" customHeight="1" x14ac:dyDescent="0.25"/>
    <row r="1031" ht="39.950000000000003" customHeight="1" x14ac:dyDescent="0.25"/>
    <row r="1032" ht="39.950000000000003" customHeight="1" x14ac:dyDescent="0.25"/>
    <row r="1033" ht="39.950000000000003" customHeight="1" x14ac:dyDescent="0.25"/>
    <row r="1034" ht="39.950000000000003" customHeight="1" x14ac:dyDescent="0.25"/>
    <row r="1035" ht="39.950000000000003" customHeight="1" x14ac:dyDescent="0.25"/>
    <row r="1036" ht="39.950000000000003" customHeight="1" x14ac:dyDescent="0.25"/>
    <row r="1037" ht="39.950000000000003" customHeight="1" x14ac:dyDescent="0.25"/>
    <row r="1038" ht="39.950000000000003" customHeight="1" x14ac:dyDescent="0.25"/>
    <row r="1039" ht="39.950000000000003" customHeight="1" x14ac:dyDescent="0.25"/>
    <row r="1040" ht="39.950000000000003" customHeight="1" x14ac:dyDescent="0.25"/>
    <row r="1041" ht="39.950000000000003" customHeight="1" x14ac:dyDescent="0.25"/>
    <row r="1042" ht="39.950000000000003" customHeight="1" x14ac:dyDescent="0.25"/>
    <row r="1043" ht="39.950000000000003" customHeight="1" x14ac:dyDescent="0.25"/>
    <row r="1044" ht="39.950000000000003" customHeight="1" x14ac:dyDescent="0.25"/>
    <row r="1045" ht="39.950000000000003" customHeight="1" x14ac:dyDescent="0.25"/>
    <row r="1046" ht="39.950000000000003" customHeight="1" x14ac:dyDescent="0.25"/>
    <row r="1047" ht="39.950000000000003" customHeight="1" x14ac:dyDescent="0.25"/>
    <row r="1048" ht="39.950000000000003" customHeight="1" x14ac:dyDescent="0.25"/>
    <row r="1049" ht="39.950000000000003" customHeight="1" x14ac:dyDescent="0.25"/>
    <row r="1050" ht="39.950000000000003" customHeight="1" x14ac:dyDescent="0.25"/>
    <row r="1051" ht="39.950000000000003" customHeight="1" x14ac:dyDescent="0.25"/>
    <row r="1052" ht="39.950000000000003" customHeight="1" x14ac:dyDescent="0.25"/>
    <row r="1053" ht="39.950000000000003" customHeight="1" x14ac:dyDescent="0.25"/>
    <row r="1054" ht="39.950000000000003" customHeight="1" x14ac:dyDescent="0.25"/>
    <row r="1055" ht="39.950000000000003" customHeight="1" x14ac:dyDescent="0.25"/>
    <row r="1056" ht="39.950000000000003" customHeight="1" x14ac:dyDescent="0.25"/>
    <row r="1057" ht="39.950000000000003" customHeight="1" x14ac:dyDescent="0.25"/>
    <row r="1058" ht="39.950000000000003" customHeight="1" x14ac:dyDescent="0.25"/>
    <row r="1059" ht="39.950000000000003" customHeight="1" x14ac:dyDescent="0.25"/>
    <row r="1060" ht="39.950000000000003" customHeight="1" x14ac:dyDescent="0.25"/>
    <row r="1061" ht="39.950000000000003" customHeight="1" x14ac:dyDescent="0.25"/>
    <row r="1062" ht="39.950000000000003" customHeight="1" x14ac:dyDescent="0.25"/>
    <row r="1063" ht="39.950000000000003" customHeight="1" x14ac:dyDescent="0.25"/>
    <row r="1064" ht="39.950000000000003" customHeight="1" x14ac:dyDescent="0.25"/>
    <row r="1065" ht="39.950000000000003" customHeight="1" x14ac:dyDescent="0.25"/>
    <row r="1066" ht="39.950000000000003" customHeight="1" x14ac:dyDescent="0.25"/>
    <row r="1067" ht="39.950000000000003" customHeight="1" x14ac:dyDescent="0.25"/>
    <row r="1068" ht="39.950000000000003" customHeight="1" x14ac:dyDescent="0.25"/>
    <row r="1069" ht="39.950000000000003" customHeight="1" x14ac:dyDescent="0.25"/>
    <row r="1070" ht="39.950000000000003" customHeight="1" x14ac:dyDescent="0.25"/>
    <row r="1071" ht="39.950000000000003" customHeight="1" x14ac:dyDescent="0.25"/>
    <row r="1072" ht="39.950000000000003" customHeight="1" x14ac:dyDescent="0.25"/>
    <row r="1073" ht="39.950000000000003" customHeight="1" x14ac:dyDescent="0.25"/>
    <row r="1074" ht="39.950000000000003" customHeight="1" x14ac:dyDescent="0.25"/>
    <row r="1075" ht="39.950000000000003" customHeight="1" x14ac:dyDescent="0.25"/>
    <row r="1076" ht="39.950000000000003" customHeight="1" x14ac:dyDescent="0.25"/>
    <row r="1077" ht="39.950000000000003" customHeight="1" x14ac:dyDescent="0.25"/>
    <row r="1078" ht="39.950000000000003" customHeight="1" x14ac:dyDescent="0.25"/>
    <row r="1079" ht="39.950000000000003" customHeight="1" x14ac:dyDescent="0.25"/>
    <row r="1080" ht="39.950000000000003" customHeight="1" x14ac:dyDescent="0.25"/>
    <row r="1081" ht="39.950000000000003" customHeight="1" x14ac:dyDescent="0.25"/>
    <row r="1082" ht="39.950000000000003" customHeight="1" x14ac:dyDescent="0.25"/>
    <row r="1083" ht="39.950000000000003" customHeight="1" x14ac:dyDescent="0.25"/>
    <row r="1084" ht="39.950000000000003" customHeight="1" x14ac:dyDescent="0.25"/>
    <row r="1085" ht="39.950000000000003" customHeight="1" x14ac:dyDescent="0.25"/>
    <row r="1086" ht="39.950000000000003" customHeight="1" x14ac:dyDescent="0.25"/>
    <row r="1087" ht="39.950000000000003" customHeight="1" x14ac:dyDescent="0.25"/>
    <row r="1088" ht="39.950000000000003" customHeight="1" x14ac:dyDescent="0.25"/>
    <row r="1089" ht="39.950000000000003" customHeight="1" x14ac:dyDescent="0.25"/>
    <row r="1090" ht="39.950000000000003" customHeight="1" x14ac:dyDescent="0.25"/>
    <row r="1091" ht="39.950000000000003" customHeight="1" x14ac:dyDescent="0.25"/>
    <row r="1092" ht="39.950000000000003" customHeight="1" x14ac:dyDescent="0.25"/>
    <row r="1093" ht="39.950000000000003" customHeight="1" x14ac:dyDescent="0.25"/>
    <row r="1094" ht="39.950000000000003" customHeight="1" x14ac:dyDescent="0.25"/>
    <row r="1095" ht="39.950000000000003" customHeight="1" x14ac:dyDescent="0.25"/>
    <row r="1096" ht="39.950000000000003" customHeight="1" x14ac:dyDescent="0.25"/>
    <row r="1097" ht="39.950000000000003" customHeight="1" x14ac:dyDescent="0.25"/>
    <row r="1098" ht="39.950000000000003" customHeight="1" x14ac:dyDescent="0.25"/>
    <row r="1099" ht="39.950000000000003" customHeight="1" x14ac:dyDescent="0.25"/>
    <row r="1100" ht="39.950000000000003" customHeight="1" x14ac:dyDescent="0.25"/>
    <row r="1101" ht="39.950000000000003" customHeight="1" x14ac:dyDescent="0.25"/>
    <row r="1102" ht="39.950000000000003" customHeight="1" x14ac:dyDescent="0.25"/>
    <row r="1103" ht="39.950000000000003" customHeight="1" x14ac:dyDescent="0.25"/>
    <row r="1104" ht="39.950000000000003" customHeight="1" x14ac:dyDescent="0.25"/>
    <row r="1105" ht="39.950000000000003" customHeight="1" x14ac:dyDescent="0.25"/>
    <row r="1106" ht="39.950000000000003" customHeight="1" x14ac:dyDescent="0.25"/>
    <row r="1107" ht="39.950000000000003" customHeight="1" x14ac:dyDescent="0.25"/>
    <row r="1108" ht="39.950000000000003" customHeight="1" x14ac:dyDescent="0.25"/>
    <row r="1109" ht="39.950000000000003" customHeight="1" x14ac:dyDescent="0.25"/>
    <row r="1110" ht="39.950000000000003" customHeight="1" x14ac:dyDescent="0.25"/>
    <row r="1111" ht="39.950000000000003" customHeight="1" x14ac:dyDescent="0.25"/>
    <row r="1112" ht="39.950000000000003" customHeight="1" x14ac:dyDescent="0.25"/>
    <row r="1113" ht="39.950000000000003" customHeight="1" x14ac:dyDescent="0.25"/>
    <row r="1114" ht="39.950000000000003" customHeight="1" x14ac:dyDescent="0.25"/>
    <row r="1115" ht="39.950000000000003" customHeight="1" x14ac:dyDescent="0.25"/>
    <row r="1116" ht="39.950000000000003" customHeight="1" x14ac:dyDescent="0.25"/>
    <row r="1117" ht="39.950000000000003" customHeight="1" x14ac:dyDescent="0.25"/>
    <row r="1118" ht="39.950000000000003" customHeight="1" x14ac:dyDescent="0.25"/>
    <row r="1119" ht="39.950000000000003" customHeight="1" x14ac:dyDescent="0.25"/>
    <row r="1120" ht="39.950000000000003" customHeight="1" x14ac:dyDescent="0.25"/>
    <row r="1121" ht="39.950000000000003" customHeight="1" x14ac:dyDescent="0.25"/>
    <row r="1122" ht="39.950000000000003" customHeight="1" x14ac:dyDescent="0.25"/>
    <row r="1123" ht="39.950000000000003" customHeight="1" x14ac:dyDescent="0.25"/>
    <row r="1124" ht="39.950000000000003" customHeight="1" x14ac:dyDescent="0.25"/>
    <row r="1125" ht="39.950000000000003" customHeight="1" x14ac:dyDescent="0.25"/>
    <row r="1126" ht="39.950000000000003" customHeight="1" x14ac:dyDescent="0.25"/>
    <row r="1127" ht="39.950000000000003" customHeight="1" x14ac:dyDescent="0.25"/>
    <row r="1128" ht="39.950000000000003" customHeight="1" x14ac:dyDescent="0.25"/>
    <row r="1129" ht="39.950000000000003" customHeight="1" x14ac:dyDescent="0.25"/>
    <row r="1130" ht="39.950000000000003" customHeight="1" x14ac:dyDescent="0.25"/>
    <row r="1131" ht="39.950000000000003" customHeight="1" x14ac:dyDescent="0.25"/>
    <row r="1132" ht="39.950000000000003" customHeight="1" x14ac:dyDescent="0.25"/>
    <row r="1133" ht="39.950000000000003" customHeight="1" x14ac:dyDescent="0.25"/>
    <row r="1134" ht="39.950000000000003" customHeight="1" x14ac:dyDescent="0.25"/>
    <row r="1135" ht="39.950000000000003" customHeight="1" x14ac:dyDescent="0.25"/>
    <row r="1136" ht="39.950000000000003" customHeight="1" x14ac:dyDescent="0.25"/>
    <row r="1137" ht="39.950000000000003" customHeight="1" x14ac:dyDescent="0.25"/>
    <row r="1138" ht="39.950000000000003" customHeight="1" x14ac:dyDescent="0.25"/>
    <row r="1139" ht="39.950000000000003" customHeight="1" x14ac:dyDescent="0.25"/>
    <row r="1140" ht="39.950000000000003" customHeight="1" x14ac:dyDescent="0.25"/>
    <row r="1141" ht="39.950000000000003" customHeight="1" x14ac:dyDescent="0.25"/>
    <row r="1142" ht="39.950000000000003" customHeight="1" x14ac:dyDescent="0.25"/>
    <row r="1143" ht="39.950000000000003" customHeight="1" x14ac:dyDescent="0.25"/>
    <row r="1144" ht="39.950000000000003" customHeight="1" x14ac:dyDescent="0.25"/>
    <row r="1145" ht="39.950000000000003" customHeight="1" x14ac:dyDescent="0.25"/>
    <row r="1146" ht="39.950000000000003" customHeight="1" x14ac:dyDescent="0.25"/>
    <row r="1147" ht="39.950000000000003" customHeight="1" x14ac:dyDescent="0.25"/>
    <row r="1148" ht="39.950000000000003" customHeight="1" x14ac:dyDescent="0.25"/>
    <row r="1149" ht="39.950000000000003" customHeight="1" x14ac:dyDescent="0.25"/>
    <row r="1150" ht="39.950000000000003" customHeight="1" x14ac:dyDescent="0.25"/>
    <row r="1151" ht="39.950000000000003" customHeight="1" x14ac:dyDescent="0.25"/>
    <row r="1152" ht="39.950000000000003" customHeight="1" x14ac:dyDescent="0.25"/>
  </sheetData>
  <mergeCells count="17">
    <mergeCell ref="M634:M640"/>
    <mergeCell ref="M82:M83"/>
    <mergeCell ref="A1:M1"/>
    <mergeCell ref="A2:A4"/>
    <mergeCell ref="B2:B4"/>
    <mergeCell ref="C2:C4"/>
    <mergeCell ref="D2:E2"/>
    <mergeCell ref="F2:G2"/>
    <mergeCell ref="H2:I2"/>
    <mergeCell ref="J2:K2"/>
    <mergeCell ref="L2:L4"/>
    <mergeCell ref="M2:M4"/>
    <mergeCell ref="D3:D4"/>
    <mergeCell ref="E3:E4"/>
    <mergeCell ref="G3:G4"/>
    <mergeCell ref="I3:I4"/>
    <mergeCell ref="K3:K4"/>
  </mergeCells>
  <conditionalFormatting sqref="A465:D465 B472:E472 G472:I472 L472 B467:I467 K467:L467 A466:G466 I466:L466 A467:A476 N466:IK467 N472:IK472 F465:IK465">
    <cfRule type="cellIs" dxfId="18" priority="20" stopIfTrue="1" operator="equal">
      <formula>8223.307275</formula>
    </cfRule>
  </conditionalFormatting>
  <conditionalFormatting sqref="B468">
    <cfRule type="cellIs" dxfId="17" priority="19" stopIfTrue="1" operator="equal">
      <formula>8223.307275</formula>
    </cfRule>
  </conditionalFormatting>
  <conditionalFormatting sqref="J35 H35:H36 D35:D36 F35:F36">
    <cfRule type="cellIs" dxfId="16" priority="17" stopIfTrue="1" operator="equal">
      <formula>8223.307275</formula>
    </cfRule>
  </conditionalFormatting>
  <conditionalFormatting sqref="M35">
    <cfRule type="cellIs" dxfId="15" priority="16" stopIfTrue="1" operator="equal">
      <formula>8223.307275</formula>
    </cfRule>
  </conditionalFormatting>
  <conditionalFormatting sqref="J37 H37:H38 D37:D38 F37:F38">
    <cfRule type="cellIs" dxfId="14" priority="15" stopIfTrue="1" operator="equal">
      <formula>8223.307275</formula>
    </cfRule>
  </conditionalFormatting>
  <conditionalFormatting sqref="M37">
    <cfRule type="cellIs" dxfId="13" priority="14" stopIfTrue="1" operator="equal">
      <formula>8223.307275</formula>
    </cfRule>
  </conditionalFormatting>
  <conditionalFormatting sqref="J45 H45:H46 D45:D46 F45:F46">
    <cfRule type="cellIs" dxfId="12" priority="13" stopIfTrue="1" operator="equal">
      <formula>8223.307275</formula>
    </cfRule>
  </conditionalFormatting>
  <conditionalFormatting sqref="M45">
    <cfRule type="cellIs" dxfId="11" priority="12" stopIfTrue="1" operator="equal">
      <formula>8223.307275</formula>
    </cfRule>
  </conditionalFormatting>
  <conditionalFormatting sqref="J41 H41:H42 D41:D42 F41:F42">
    <cfRule type="cellIs" dxfId="10" priority="11" stopIfTrue="1" operator="equal">
      <formula>8223.307275</formula>
    </cfRule>
  </conditionalFormatting>
  <conditionalFormatting sqref="M41">
    <cfRule type="cellIs" dxfId="9" priority="10" stopIfTrue="1" operator="equal">
      <formula>8223.307275</formula>
    </cfRule>
  </conditionalFormatting>
  <conditionalFormatting sqref="J39 H39:H40 D39:D40 F39:F40">
    <cfRule type="cellIs" dxfId="8" priority="9" stopIfTrue="1" operator="equal">
      <formula>8223.307275</formula>
    </cfRule>
  </conditionalFormatting>
  <conditionalFormatting sqref="M39">
    <cfRule type="cellIs" dxfId="7" priority="8" stopIfTrue="1" operator="equal">
      <formula>8223.307275</formula>
    </cfRule>
  </conditionalFormatting>
  <conditionalFormatting sqref="J43 H43:H44 D43:D44 F43:F44">
    <cfRule type="cellIs" dxfId="6" priority="7" stopIfTrue="1" operator="equal">
      <formula>8223.307275</formula>
    </cfRule>
  </conditionalFormatting>
  <conditionalFormatting sqref="M43">
    <cfRule type="cellIs" dxfId="5" priority="6" stopIfTrue="1" operator="equal">
      <formula>8223.307275</formula>
    </cfRule>
  </conditionalFormatting>
  <conditionalFormatting sqref="K647:K655">
    <cfRule type="cellIs" dxfId="4" priority="4" stopIfTrue="1" operator="equal">
      <formula>8223.307275</formula>
    </cfRule>
  </conditionalFormatting>
  <conditionalFormatting sqref="K217">
    <cfRule type="cellIs" dxfId="3" priority="3" stopIfTrue="1" operator="equal">
      <formula>8223.307275</formula>
    </cfRule>
  </conditionalFormatting>
  <conditionalFormatting sqref="H95 D95 F95">
    <cfRule type="cellIs" dxfId="2" priority="2" stopIfTrue="1" operator="equal">
      <formula>8223.307275</formula>
    </cfRule>
  </conditionalFormatting>
  <conditionalFormatting sqref="B96 J96 H96 D96 F96">
    <cfRule type="cellIs" dxfId="1" priority="1" stopIfTrue="1" operator="equal">
      <formula>8223.307275</formula>
    </cfRule>
  </conditionalFormatting>
  <pageMargins left="0.7" right="0.7" top="0.75" bottom="0.75" header="0.3" footer="0.3"/>
  <pageSetup orientation="portrait" r:id="rId1"/>
  <ignoredErrors>
    <ignoredError sqref="L427 L746 L15" formula="1"/>
    <ignoredError sqref="M15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735"/>
  <sheetViews>
    <sheetView topLeftCell="A690" zoomScale="70" zoomScaleNormal="70" workbookViewId="0">
      <selection activeCell="B706" sqref="B706"/>
    </sheetView>
  </sheetViews>
  <sheetFormatPr defaultColWidth="9.140625" defaultRowHeight="19.5" x14ac:dyDescent="0.25"/>
  <cols>
    <col min="1" max="1" width="8.7109375" style="3" customWidth="1"/>
    <col min="2" max="2" width="100.7109375" style="3" customWidth="1"/>
    <col min="3" max="7" width="10.7109375" style="3" customWidth="1"/>
    <col min="8" max="8" width="12.7109375" style="3" customWidth="1"/>
    <col min="9" max="9" width="11.140625" style="3" bestFit="1" customWidth="1"/>
    <col min="10" max="16384" width="9.140625" style="3"/>
  </cols>
  <sheetData>
    <row r="1" spans="1:9" ht="21" thickTop="1" thickBot="1" x14ac:dyDescent="0.3">
      <c r="A1" s="238" t="s">
        <v>5</v>
      </c>
      <c r="B1" s="238"/>
      <c r="C1" s="238"/>
      <c r="D1" s="238"/>
      <c r="E1" s="238"/>
      <c r="F1" s="238"/>
      <c r="G1" s="238"/>
      <c r="H1" s="238"/>
      <c r="I1" s="238"/>
    </row>
    <row r="2" spans="1:9" ht="16.5" customHeight="1" thickTop="1" thickBot="1" x14ac:dyDescent="0.3">
      <c r="A2" s="239" t="s">
        <v>0</v>
      </c>
      <c r="B2" s="239" t="s">
        <v>1</v>
      </c>
      <c r="C2" s="241" t="s">
        <v>2</v>
      </c>
      <c r="D2" s="241" t="s">
        <v>3</v>
      </c>
      <c r="E2" s="227" t="s">
        <v>4</v>
      </c>
      <c r="F2" s="228"/>
      <c r="G2" s="229"/>
      <c r="H2" s="230" t="s">
        <v>6</v>
      </c>
      <c r="I2" s="238" t="s">
        <v>685</v>
      </c>
    </row>
    <row r="3" spans="1:9" ht="21" thickTop="1" thickBot="1" x14ac:dyDescent="0.3">
      <c r="A3" s="240"/>
      <c r="B3" s="240"/>
      <c r="C3" s="242"/>
      <c r="D3" s="242"/>
      <c r="E3" s="4" t="s">
        <v>95</v>
      </c>
      <c r="F3" s="4" t="s">
        <v>96</v>
      </c>
      <c r="G3" s="4" t="s">
        <v>656</v>
      </c>
      <c r="H3" s="231"/>
      <c r="I3" s="238"/>
    </row>
    <row r="4" spans="1:9" ht="21" thickTop="1" thickBot="1" x14ac:dyDescent="0.3">
      <c r="A4" s="4">
        <v>1</v>
      </c>
      <c r="B4" s="4">
        <v>2</v>
      </c>
      <c r="C4" s="5">
        <v>3</v>
      </c>
      <c r="D4" s="5">
        <v>4</v>
      </c>
      <c r="E4" s="4">
        <v>5</v>
      </c>
      <c r="F4" s="4">
        <v>6</v>
      </c>
      <c r="G4" s="4">
        <v>6.1</v>
      </c>
      <c r="H4" s="7">
        <v>7</v>
      </c>
      <c r="I4" s="1">
        <v>8</v>
      </c>
    </row>
    <row r="5" spans="1:9" ht="21" thickTop="1" thickBot="1" x14ac:dyDescent="0.3">
      <c r="A5" s="4"/>
      <c r="B5" s="4" t="s">
        <v>7</v>
      </c>
      <c r="C5" s="4"/>
      <c r="D5" s="4"/>
      <c r="E5" s="4"/>
      <c r="F5" s="4"/>
      <c r="G5" s="4"/>
      <c r="H5" s="7"/>
      <c r="I5" s="1" t="s">
        <v>460</v>
      </c>
    </row>
    <row r="6" spans="1:9" ht="20.25" thickTop="1" x14ac:dyDescent="0.25">
      <c r="A6" s="2">
        <v>1</v>
      </c>
      <c r="B6" s="2" t="s">
        <v>8</v>
      </c>
      <c r="C6" s="2" t="s">
        <v>9</v>
      </c>
      <c r="D6" s="2">
        <v>1000</v>
      </c>
      <c r="E6" s="2">
        <v>1464</v>
      </c>
      <c r="F6" s="2">
        <v>1464</v>
      </c>
      <c r="G6" s="2">
        <f t="shared" ref="G6:G24" si="0">(E6+F6)/2</f>
        <v>1464</v>
      </c>
      <c r="H6" s="19" t="str">
        <f t="shared" ref="H6:H20" si="1">"1.1-"&amp;A6</f>
        <v>1.1-1</v>
      </c>
      <c r="I6" s="2" t="str">
        <f>$I$5</f>
        <v>ლ</v>
      </c>
    </row>
    <row r="7" spans="1:9" x14ac:dyDescent="0.25">
      <c r="A7" s="2">
        <v>2</v>
      </c>
      <c r="B7" s="2" t="s">
        <v>10</v>
      </c>
      <c r="C7" s="2" t="s">
        <v>14</v>
      </c>
      <c r="D7" s="2">
        <v>0.89</v>
      </c>
      <c r="E7" s="2">
        <v>1.33</v>
      </c>
      <c r="F7" s="2">
        <v>1.33</v>
      </c>
      <c r="G7" s="2">
        <f t="shared" si="0"/>
        <v>1.33</v>
      </c>
      <c r="H7" s="19" t="str">
        <f t="shared" si="1"/>
        <v>1.1-2</v>
      </c>
      <c r="I7" s="2" t="str">
        <f t="shared" ref="I7:I25" si="2">$I$5</f>
        <v>ლ</v>
      </c>
    </row>
    <row r="8" spans="1:9" x14ac:dyDescent="0.25">
      <c r="A8" s="2">
        <v>3</v>
      </c>
      <c r="B8" s="2" t="s">
        <v>11</v>
      </c>
      <c r="C8" s="2" t="s">
        <v>14</v>
      </c>
      <c r="D8" s="2">
        <v>1.21</v>
      </c>
      <c r="E8" s="2">
        <v>1.81</v>
      </c>
      <c r="F8" s="2">
        <v>1.81</v>
      </c>
      <c r="G8" s="2">
        <f t="shared" si="0"/>
        <v>1.81</v>
      </c>
      <c r="H8" s="19" t="str">
        <f t="shared" si="1"/>
        <v>1.1-3</v>
      </c>
      <c r="I8" s="2" t="str">
        <f t="shared" si="2"/>
        <v>ლ</v>
      </c>
    </row>
    <row r="9" spans="1:9" x14ac:dyDescent="0.25">
      <c r="A9" s="2">
        <v>4</v>
      </c>
      <c r="B9" s="2" t="s">
        <v>12</v>
      </c>
      <c r="C9" s="2" t="s">
        <v>14</v>
      </c>
      <c r="D9" s="2">
        <v>1.58</v>
      </c>
      <c r="E9" s="2">
        <v>2.36</v>
      </c>
      <c r="F9" s="2">
        <v>2.36</v>
      </c>
      <c r="G9" s="2">
        <f t="shared" si="0"/>
        <v>2.36</v>
      </c>
      <c r="H9" s="19" t="str">
        <f t="shared" si="1"/>
        <v>1.1-4</v>
      </c>
      <c r="I9" s="2" t="str">
        <f t="shared" si="2"/>
        <v>ლ</v>
      </c>
    </row>
    <row r="10" spans="1:9" x14ac:dyDescent="0.25">
      <c r="A10" s="2">
        <v>5</v>
      </c>
      <c r="B10" s="2" t="s">
        <v>13</v>
      </c>
      <c r="C10" s="2" t="s">
        <v>14</v>
      </c>
      <c r="D10" s="2">
        <v>2</v>
      </c>
      <c r="E10" s="2">
        <v>2.99</v>
      </c>
      <c r="F10" s="2">
        <v>2.99</v>
      </c>
      <c r="G10" s="2">
        <f t="shared" si="0"/>
        <v>2.99</v>
      </c>
      <c r="H10" s="19" t="str">
        <f t="shared" si="1"/>
        <v>1.1-5</v>
      </c>
      <c r="I10" s="2" t="str">
        <f t="shared" si="2"/>
        <v>ლ</v>
      </c>
    </row>
    <row r="11" spans="1:9" x14ac:dyDescent="0.25">
      <c r="A11" s="2">
        <v>6</v>
      </c>
      <c r="B11" s="2" t="s">
        <v>15</v>
      </c>
      <c r="C11" s="2" t="s">
        <v>14</v>
      </c>
      <c r="D11" s="2">
        <v>2.4700000000000002</v>
      </c>
      <c r="E11" s="2">
        <v>3.69</v>
      </c>
      <c r="F11" s="2">
        <v>3.69</v>
      </c>
      <c r="G11" s="2">
        <f t="shared" si="0"/>
        <v>3.69</v>
      </c>
      <c r="H11" s="19" t="str">
        <f t="shared" si="1"/>
        <v>1.1-6</v>
      </c>
      <c r="I11" s="2" t="str">
        <f t="shared" si="2"/>
        <v>ლ</v>
      </c>
    </row>
    <row r="12" spans="1:9" x14ac:dyDescent="0.25">
      <c r="A12" s="2">
        <v>7</v>
      </c>
      <c r="B12" s="2" t="s">
        <v>16</v>
      </c>
      <c r="C12" s="2" t="s">
        <v>14</v>
      </c>
      <c r="D12" s="2">
        <v>2.98</v>
      </c>
      <c r="E12" s="2">
        <v>4.45</v>
      </c>
      <c r="F12" s="2">
        <v>4.45</v>
      </c>
      <c r="G12" s="2">
        <f t="shared" si="0"/>
        <v>4.45</v>
      </c>
      <c r="H12" s="19" t="str">
        <f t="shared" si="1"/>
        <v>1.1-7</v>
      </c>
      <c r="I12" s="2" t="str">
        <f t="shared" si="2"/>
        <v>ლ</v>
      </c>
    </row>
    <row r="13" spans="1:9" x14ac:dyDescent="0.25">
      <c r="A13" s="2">
        <v>8</v>
      </c>
      <c r="B13" s="2" t="s">
        <v>17</v>
      </c>
      <c r="C13" s="2" t="s">
        <v>14</v>
      </c>
      <c r="D13" s="2">
        <v>3.85</v>
      </c>
      <c r="E13" s="2">
        <v>5.75</v>
      </c>
      <c r="F13" s="2">
        <v>5.75</v>
      </c>
      <c r="G13" s="2">
        <f t="shared" si="0"/>
        <v>5.75</v>
      </c>
      <c r="H13" s="19" t="str">
        <f t="shared" si="1"/>
        <v>1.1-8</v>
      </c>
      <c r="I13" s="2" t="str">
        <f t="shared" si="2"/>
        <v>ლ</v>
      </c>
    </row>
    <row r="14" spans="1:9" x14ac:dyDescent="0.25">
      <c r="A14" s="2">
        <v>9</v>
      </c>
      <c r="B14" s="2" t="s">
        <v>18</v>
      </c>
      <c r="C14" s="2" t="s">
        <v>14</v>
      </c>
      <c r="D14" s="2">
        <v>4.83</v>
      </c>
      <c r="E14" s="2">
        <v>7.21</v>
      </c>
      <c r="F14" s="2">
        <v>7.21</v>
      </c>
      <c r="G14" s="2">
        <f t="shared" si="0"/>
        <v>7.21</v>
      </c>
      <c r="H14" s="19" t="str">
        <f t="shared" si="1"/>
        <v>1.1-9</v>
      </c>
      <c r="I14" s="2" t="str">
        <f t="shared" si="2"/>
        <v>ლ</v>
      </c>
    </row>
    <row r="15" spans="1:9" x14ac:dyDescent="0.25">
      <c r="A15" s="2">
        <v>10</v>
      </c>
      <c r="B15" s="2" t="s">
        <v>19</v>
      </c>
      <c r="C15" s="2" t="s">
        <v>9</v>
      </c>
      <c r="D15" s="2">
        <v>1000</v>
      </c>
      <c r="E15" s="2">
        <v>1668</v>
      </c>
      <c r="F15" s="2">
        <v>1668</v>
      </c>
      <c r="G15" s="2">
        <f t="shared" si="0"/>
        <v>1668</v>
      </c>
      <c r="H15" s="19" t="str">
        <f t="shared" si="1"/>
        <v>1.1-10</v>
      </c>
      <c r="I15" s="2" t="str">
        <f t="shared" si="2"/>
        <v>ლ</v>
      </c>
    </row>
    <row r="16" spans="1:9" x14ac:dyDescent="0.25">
      <c r="A16" s="2">
        <v>11</v>
      </c>
      <c r="B16" s="2" t="s">
        <v>20</v>
      </c>
      <c r="C16" s="2" t="s">
        <v>9</v>
      </c>
      <c r="D16" s="2">
        <v>1000</v>
      </c>
      <c r="E16" s="2">
        <v>1586</v>
      </c>
      <c r="F16" s="2">
        <v>1586</v>
      </c>
      <c r="G16" s="2">
        <f t="shared" si="0"/>
        <v>1586</v>
      </c>
      <c r="H16" s="19" t="str">
        <f t="shared" si="1"/>
        <v>1.1-11</v>
      </c>
      <c r="I16" s="2" t="str">
        <f t="shared" si="2"/>
        <v>ლ</v>
      </c>
    </row>
    <row r="17" spans="1:9" x14ac:dyDescent="0.25">
      <c r="A17" s="2">
        <v>12</v>
      </c>
      <c r="B17" s="2" t="s">
        <v>21</v>
      </c>
      <c r="C17" s="2" t="s">
        <v>9</v>
      </c>
      <c r="D17" s="2">
        <v>1000</v>
      </c>
      <c r="E17" s="2">
        <v>1566</v>
      </c>
      <c r="F17" s="2">
        <v>1566</v>
      </c>
      <c r="G17" s="2">
        <f t="shared" si="0"/>
        <v>1566</v>
      </c>
      <c r="H17" s="19" t="str">
        <f t="shared" si="1"/>
        <v>1.1-12</v>
      </c>
      <c r="I17" s="2" t="str">
        <f t="shared" si="2"/>
        <v>ლ</v>
      </c>
    </row>
    <row r="18" spans="1:9" x14ac:dyDescent="0.25">
      <c r="A18" s="2">
        <v>13</v>
      </c>
      <c r="B18" s="2" t="s">
        <v>22</v>
      </c>
      <c r="C18" s="2" t="s">
        <v>14</v>
      </c>
      <c r="D18" s="2">
        <v>0.22</v>
      </c>
      <c r="E18" s="2">
        <v>0.38</v>
      </c>
      <c r="F18" s="2">
        <v>0.38</v>
      </c>
      <c r="G18" s="2">
        <f t="shared" si="0"/>
        <v>0.38</v>
      </c>
      <c r="H18" s="19" t="str">
        <f t="shared" si="1"/>
        <v>1.1-13</v>
      </c>
      <c r="I18" s="2" t="str">
        <f t="shared" si="2"/>
        <v>ლ</v>
      </c>
    </row>
    <row r="19" spans="1:9" x14ac:dyDescent="0.25">
      <c r="A19" s="2">
        <v>14</v>
      </c>
      <c r="B19" s="2" t="s">
        <v>23</v>
      </c>
      <c r="C19" s="2" t="s">
        <v>14</v>
      </c>
      <c r="D19" s="2">
        <v>0.4</v>
      </c>
      <c r="E19" s="2">
        <v>0.67</v>
      </c>
      <c r="F19" s="2">
        <v>0.67</v>
      </c>
      <c r="G19" s="2">
        <f t="shared" si="0"/>
        <v>0.67</v>
      </c>
      <c r="H19" s="19" t="str">
        <f t="shared" si="1"/>
        <v>1.1-14</v>
      </c>
      <c r="I19" s="2" t="str">
        <f t="shared" si="2"/>
        <v>ლ</v>
      </c>
    </row>
    <row r="20" spans="1:9" x14ac:dyDescent="0.25">
      <c r="A20" s="2">
        <v>15</v>
      </c>
      <c r="B20" s="2" t="s">
        <v>24</v>
      </c>
      <c r="C20" s="2" t="s">
        <v>14</v>
      </c>
      <c r="D20" s="2">
        <v>0.62</v>
      </c>
      <c r="E20" s="2">
        <v>1.05</v>
      </c>
      <c r="F20" s="2">
        <v>1.05</v>
      </c>
      <c r="G20" s="2">
        <f t="shared" si="0"/>
        <v>1.05</v>
      </c>
      <c r="H20" s="19" t="str">
        <f t="shared" si="1"/>
        <v>1.1-15</v>
      </c>
      <c r="I20" s="2" t="str">
        <f t="shared" si="2"/>
        <v>ლ</v>
      </c>
    </row>
    <row r="21" spans="1:9" x14ac:dyDescent="0.25">
      <c r="A21" s="2"/>
      <c r="B21" s="2" t="s">
        <v>25</v>
      </c>
      <c r="C21" s="2"/>
      <c r="D21" s="2"/>
      <c r="E21" s="2"/>
      <c r="F21" s="2"/>
      <c r="G21" s="2">
        <f t="shared" si="0"/>
        <v>0</v>
      </c>
      <c r="H21" s="19"/>
      <c r="I21" s="2" t="str">
        <f t="shared" si="2"/>
        <v>ლ</v>
      </c>
    </row>
    <row r="22" spans="1:9" x14ac:dyDescent="0.25">
      <c r="A22" s="2">
        <v>34</v>
      </c>
      <c r="B22" s="2" t="s">
        <v>26</v>
      </c>
      <c r="C22" s="2" t="s">
        <v>28</v>
      </c>
      <c r="D22" s="2">
        <v>1</v>
      </c>
      <c r="E22" s="2">
        <v>2.29</v>
      </c>
      <c r="F22" s="2">
        <v>2.29</v>
      </c>
      <c r="G22" s="2">
        <f t="shared" si="0"/>
        <v>2.29</v>
      </c>
      <c r="H22" s="19" t="str">
        <f>"1.1-"&amp;A22</f>
        <v>1.1-34</v>
      </c>
      <c r="I22" s="2" t="str">
        <f t="shared" si="2"/>
        <v>ლ</v>
      </c>
    </row>
    <row r="23" spans="1:9" x14ac:dyDescent="0.25">
      <c r="A23" s="2">
        <v>35</v>
      </c>
      <c r="B23" s="2" t="s">
        <v>27</v>
      </c>
      <c r="C23" s="2" t="s">
        <v>28</v>
      </c>
      <c r="D23" s="2">
        <v>1</v>
      </c>
      <c r="E23" s="2">
        <v>2.54</v>
      </c>
      <c r="F23" s="2">
        <v>2.54</v>
      </c>
      <c r="G23" s="2">
        <f t="shared" si="0"/>
        <v>2.54</v>
      </c>
      <c r="H23" s="19" t="str">
        <f>"1.1-"&amp;A23</f>
        <v>1.1-35</v>
      </c>
      <c r="I23" s="2" t="str">
        <f t="shared" si="2"/>
        <v>ლ</v>
      </c>
    </row>
    <row r="24" spans="1:9" x14ac:dyDescent="0.25">
      <c r="A24" s="2">
        <v>36</v>
      </c>
      <c r="B24" s="2" t="s">
        <v>29</v>
      </c>
      <c r="C24" s="2" t="s">
        <v>28</v>
      </c>
      <c r="D24" s="2">
        <v>1</v>
      </c>
      <c r="E24" s="2">
        <v>2.5</v>
      </c>
      <c r="F24" s="2">
        <v>2.5</v>
      </c>
      <c r="G24" s="2">
        <f t="shared" si="0"/>
        <v>2.5</v>
      </c>
      <c r="H24" s="19" t="str">
        <f>"1.1-"&amp;A24</f>
        <v>1.1-36</v>
      </c>
      <c r="I24" s="2" t="str">
        <f t="shared" si="2"/>
        <v>ლ</v>
      </c>
    </row>
    <row r="25" spans="1:9" ht="20.25" thickBot="1" x14ac:dyDescent="0.3">
      <c r="A25" s="2"/>
      <c r="B25" s="2" t="s">
        <v>25</v>
      </c>
      <c r="C25" s="2"/>
      <c r="D25" s="2"/>
      <c r="E25" s="2"/>
      <c r="F25" s="2"/>
      <c r="G25" s="2"/>
      <c r="H25" s="19"/>
      <c r="I25" s="2" t="str">
        <f t="shared" si="2"/>
        <v>ლ</v>
      </c>
    </row>
    <row r="26" spans="1:9" ht="21" thickTop="1" thickBot="1" x14ac:dyDescent="0.3">
      <c r="A26" s="4"/>
      <c r="B26" s="4" t="s">
        <v>30</v>
      </c>
      <c r="C26" s="4"/>
      <c r="D26" s="4"/>
      <c r="E26" s="4"/>
      <c r="F26" s="4"/>
      <c r="G26" s="4"/>
      <c r="H26" s="7"/>
      <c r="I26" s="7" t="s">
        <v>460</v>
      </c>
    </row>
    <row r="27" spans="1:9" ht="20.25" thickTop="1" x14ac:dyDescent="0.25">
      <c r="A27" s="2">
        <v>1</v>
      </c>
      <c r="B27" s="2" t="s">
        <v>31</v>
      </c>
      <c r="C27" s="2" t="s">
        <v>14</v>
      </c>
      <c r="D27" s="2">
        <v>0.02</v>
      </c>
      <c r="E27" s="2">
        <v>0.32</v>
      </c>
      <c r="F27" s="2">
        <v>0.32</v>
      </c>
      <c r="G27" s="2">
        <f t="shared" ref="G27:G33" si="3">(E27+F27)/2</f>
        <v>0.32</v>
      </c>
      <c r="H27" s="19" t="str">
        <f t="shared" ref="H27:H33" si="4">"1.2-"&amp;A27</f>
        <v>1.2-1</v>
      </c>
      <c r="I27" s="2" t="str">
        <f>$I$26</f>
        <v>ლ</v>
      </c>
    </row>
    <row r="28" spans="1:9" x14ac:dyDescent="0.25">
      <c r="A28" s="2">
        <v>2</v>
      </c>
      <c r="B28" s="2" t="s">
        <v>32</v>
      </c>
      <c r="C28" s="2" t="s">
        <v>14</v>
      </c>
      <c r="D28" s="2">
        <v>0.05</v>
      </c>
      <c r="E28" s="2">
        <v>0.5</v>
      </c>
      <c r="F28" s="2">
        <v>0.5</v>
      </c>
      <c r="G28" s="2">
        <f t="shared" si="3"/>
        <v>0.5</v>
      </c>
      <c r="H28" s="19" t="str">
        <f t="shared" si="4"/>
        <v>1.2-2</v>
      </c>
      <c r="I28" s="2" t="str">
        <f t="shared" ref="I28:I33" si="5">$I$26</f>
        <v>ლ</v>
      </c>
    </row>
    <row r="29" spans="1:9" x14ac:dyDescent="0.25">
      <c r="A29" s="2">
        <v>3</v>
      </c>
      <c r="B29" s="2" t="s">
        <v>33</v>
      </c>
      <c r="C29" s="2" t="s">
        <v>14</v>
      </c>
      <c r="D29" s="2">
        <v>0.08</v>
      </c>
      <c r="E29" s="2">
        <v>0.81</v>
      </c>
      <c r="F29" s="2">
        <v>0.81</v>
      </c>
      <c r="G29" s="2">
        <f t="shared" si="3"/>
        <v>0.81</v>
      </c>
      <c r="H29" s="19" t="str">
        <f t="shared" si="4"/>
        <v>1.2-3</v>
      </c>
      <c r="I29" s="2" t="str">
        <f t="shared" si="5"/>
        <v>ლ</v>
      </c>
    </row>
    <row r="30" spans="1:9" x14ac:dyDescent="0.25">
      <c r="A30" s="2">
        <v>4</v>
      </c>
      <c r="B30" s="2" t="s">
        <v>34</v>
      </c>
      <c r="C30" s="2" t="s">
        <v>14</v>
      </c>
      <c r="D30" s="2">
        <v>0.12</v>
      </c>
      <c r="E30" s="2">
        <v>1.05</v>
      </c>
      <c r="F30" s="2">
        <v>1.05</v>
      </c>
      <c r="G30" s="2">
        <f t="shared" si="3"/>
        <v>1.05</v>
      </c>
      <c r="H30" s="19" t="str">
        <f t="shared" si="4"/>
        <v>1.2-4</v>
      </c>
      <c r="I30" s="2" t="str">
        <f t="shared" si="5"/>
        <v>ლ</v>
      </c>
    </row>
    <row r="31" spans="1:9" x14ac:dyDescent="0.25">
      <c r="A31" s="2">
        <v>5</v>
      </c>
      <c r="B31" s="2" t="s">
        <v>35</v>
      </c>
      <c r="C31" s="2" t="s">
        <v>14</v>
      </c>
      <c r="D31" s="2">
        <v>0.2</v>
      </c>
      <c r="E31" s="2">
        <v>1.39</v>
      </c>
      <c r="F31" s="2">
        <v>1.39</v>
      </c>
      <c r="G31" s="2">
        <f t="shared" si="3"/>
        <v>1.39</v>
      </c>
      <c r="H31" s="19" t="str">
        <f t="shared" si="4"/>
        <v>1.2-5</v>
      </c>
      <c r="I31" s="2" t="str">
        <f t="shared" si="5"/>
        <v>ლ</v>
      </c>
    </row>
    <row r="32" spans="1:9" x14ac:dyDescent="0.25">
      <c r="A32" s="2">
        <v>6</v>
      </c>
      <c r="B32" s="2" t="s">
        <v>36</v>
      </c>
      <c r="C32" s="2" t="s">
        <v>14</v>
      </c>
      <c r="D32" s="2">
        <v>0.26</v>
      </c>
      <c r="E32" s="2">
        <v>1.97</v>
      </c>
      <c r="F32" s="2">
        <v>1.97</v>
      </c>
      <c r="G32" s="2">
        <f t="shared" si="3"/>
        <v>1.97</v>
      </c>
      <c r="H32" s="19" t="str">
        <f t="shared" si="4"/>
        <v>1.2-6</v>
      </c>
      <c r="I32" s="2" t="str">
        <f t="shared" si="5"/>
        <v>ლ</v>
      </c>
    </row>
    <row r="33" spans="1:9" ht="20.25" thickBot="1" x14ac:dyDescent="0.3">
      <c r="A33" s="2">
        <v>7</v>
      </c>
      <c r="B33" s="2" t="s">
        <v>37</v>
      </c>
      <c r="C33" s="2" t="s">
        <v>14</v>
      </c>
      <c r="D33" s="2">
        <v>0.35</v>
      </c>
      <c r="E33" s="2">
        <v>2.48</v>
      </c>
      <c r="F33" s="2">
        <v>2.48</v>
      </c>
      <c r="G33" s="2">
        <f t="shared" si="3"/>
        <v>2.48</v>
      </c>
      <c r="H33" s="19" t="str">
        <f t="shared" si="4"/>
        <v>1.2-7</v>
      </c>
      <c r="I33" s="2" t="str">
        <f t="shared" si="5"/>
        <v>ლ</v>
      </c>
    </row>
    <row r="34" spans="1:9" ht="21" thickTop="1" thickBot="1" x14ac:dyDescent="0.3">
      <c r="A34" s="4"/>
      <c r="B34" s="4" t="s">
        <v>38</v>
      </c>
      <c r="C34" s="4"/>
      <c r="D34" s="4"/>
      <c r="E34" s="4"/>
      <c r="F34" s="4"/>
      <c r="G34" s="4"/>
      <c r="H34" s="7"/>
      <c r="I34" s="7" t="s">
        <v>460</v>
      </c>
    </row>
    <row r="35" spans="1:9" ht="20.25" thickTop="1" x14ac:dyDescent="0.25">
      <c r="A35" s="2">
        <v>1</v>
      </c>
      <c r="B35" s="2" t="s">
        <v>39</v>
      </c>
      <c r="C35" s="2" t="s">
        <v>14</v>
      </c>
      <c r="D35" s="2">
        <v>2.8000000000000001E-2</v>
      </c>
      <c r="E35" s="2">
        <v>0.28999999999999998</v>
      </c>
      <c r="F35" s="2">
        <v>0.28999999999999998</v>
      </c>
      <c r="G35" s="2">
        <f t="shared" ref="G35:G43" si="6">(E35+F35)/2</f>
        <v>0.28999999999999998</v>
      </c>
      <c r="H35" s="19" t="str">
        <f t="shared" ref="H35:H43" si="7">"1.3-"&amp;A35</f>
        <v>1.3-1</v>
      </c>
      <c r="I35" s="2" t="str">
        <f>$I$34</f>
        <v>ლ</v>
      </c>
    </row>
    <row r="36" spans="1:9" x14ac:dyDescent="0.25">
      <c r="A36" s="2">
        <v>2</v>
      </c>
      <c r="B36" s="2" t="s">
        <v>40</v>
      </c>
      <c r="C36" s="2" t="s">
        <v>14</v>
      </c>
      <c r="D36" s="2">
        <v>0.04</v>
      </c>
      <c r="E36" s="2">
        <v>0.41</v>
      </c>
      <c r="F36" s="2">
        <v>0.41</v>
      </c>
      <c r="G36" s="2">
        <f t="shared" si="6"/>
        <v>0.41</v>
      </c>
      <c r="H36" s="19" t="str">
        <f t="shared" si="7"/>
        <v>1.3-2</v>
      </c>
      <c r="I36" s="2" t="str">
        <f t="shared" ref="I36:I43" si="8">$I$34</f>
        <v>ლ</v>
      </c>
    </row>
    <row r="37" spans="1:9" x14ac:dyDescent="0.25">
      <c r="A37" s="2">
        <v>3</v>
      </c>
      <c r="B37" s="2" t="s">
        <v>41</v>
      </c>
      <c r="C37" s="2" t="s">
        <v>14</v>
      </c>
      <c r="D37" s="2">
        <v>0.05</v>
      </c>
      <c r="E37" s="2">
        <v>0.51</v>
      </c>
      <c r="F37" s="2">
        <v>0.51</v>
      </c>
      <c r="G37" s="2">
        <f t="shared" si="6"/>
        <v>0.51</v>
      </c>
      <c r="H37" s="19" t="str">
        <f t="shared" si="7"/>
        <v>1.3-3</v>
      </c>
      <c r="I37" s="2" t="str">
        <f t="shared" si="8"/>
        <v>ლ</v>
      </c>
    </row>
    <row r="38" spans="1:9" x14ac:dyDescent="0.25">
      <c r="A38" s="2">
        <v>4</v>
      </c>
      <c r="B38" s="2" t="s">
        <v>42</v>
      </c>
      <c r="C38" s="2" t="s">
        <v>14</v>
      </c>
      <c r="D38" s="2">
        <v>7.4999999999999997E-2</v>
      </c>
      <c r="E38" s="2">
        <v>0.69</v>
      </c>
      <c r="F38" s="2">
        <v>0.69</v>
      </c>
      <c r="G38" s="2">
        <f t="shared" si="6"/>
        <v>0.69</v>
      </c>
      <c r="H38" s="19" t="str">
        <f t="shared" si="7"/>
        <v>1.3-4</v>
      </c>
      <c r="I38" s="2" t="str">
        <f t="shared" si="8"/>
        <v>ლ</v>
      </c>
    </row>
    <row r="39" spans="1:9" x14ac:dyDescent="0.25">
      <c r="A39" s="2">
        <v>5</v>
      </c>
      <c r="B39" s="2" t="s">
        <v>43</v>
      </c>
      <c r="C39" s="2" t="s">
        <v>14</v>
      </c>
      <c r="D39" s="2">
        <v>0.09</v>
      </c>
      <c r="E39" s="2">
        <v>0.85</v>
      </c>
      <c r="F39" s="2">
        <v>0.85</v>
      </c>
      <c r="G39" s="2">
        <f t="shared" si="6"/>
        <v>0.85</v>
      </c>
      <c r="H39" s="19" t="str">
        <f t="shared" si="7"/>
        <v>1.3-5</v>
      </c>
      <c r="I39" s="2" t="str">
        <f t="shared" si="8"/>
        <v>ლ</v>
      </c>
    </row>
    <row r="40" spans="1:9" x14ac:dyDescent="0.25">
      <c r="A40" s="2">
        <v>6</v>
      </c>
      <c r="B40" s="2" t="s">
        <v>44</v>
      </c>
      <c r="C40" s="2" t="s">
        <v>14</v>
      </c>
      <c r="D40" s="2">
        <v>0.14000000000000001</v>
      </c>
      <c r="E40" s="2">
        <v>1.31</v>
      </c>
      <c r="F40" s="2">
        <v>1.31</v>
      </c>
      <c r="G40" s="2">
        <f t="shared" si="6"/>
        <v>1.31</v>
      </c>
      <c r="H40" s="19" t="str">
        <f t="shared" si="7"/>
        <v>1.3-6</v>
      </c>
      <c r="I40" s="2" t="str">
        <f t="shared" si="8"/>
        <v>ლ</v>
      </c>
    </row>
    <row r="41" spans="1:9" x14ac:dyDescent="0.25">
      <c r="A41" s="2">
        <v>7</v>
      </c>
      <c r="B41" s="2" t="s">
        <v>45</v>
      </c>
      <c r="C41" s="2" t="s">
        <v>14</v>
      </c>
      <c r="D41" s="2">
        <v>0.21</v>
      </c>
      <c r="E41" s="2">
        <v>1.96</v>
      </c>
      <c r="F41" s="2">
        <v>1.96</v>
      </c>
      <c r="G41" s="2">
        <f t="shared" si="6"/>
        <v>1.96</v>
      </c>
      <c r="H41" s="19" t="str">
        <f t="shared" si="7"/>
        <v>1.3-7</v>
      </c>
      <c r="I41" s="2" t="str">
        <f t="shared" si="8"/>
        <v>ლ</v>
      </c>
    </row>
    <row r="42" spans="1:9" x14ac:dyDescent="0.25">
      <c r="A42" s="2">
        <v>8</v>
      </c>
      <c r="B42" s="2" t="s">
        <v>46</v>
      </c>
      <c r="C42" s="2" t="s">
        <v>14</v>
      </c>
      <c r="D42" s="2">
        <v>0.31</v>
      </c>
      <c r="E42" s="2">
        <v>2.86</v>
      </c>
      <c r="F42" s="2">
        <v>2.86</v>
      </c>
      <c r="G42" s="2">
        <f t="shared" si="6"/>
        <v>2.86</v>
      </c>
      <c r="H42" s="19" t="str">
        <f t="shared" si="7"/>
        <v>1.3-8</v>
      </c>
      <c r="I42" s="2" t="str">
        <f t="shared" si="8"/>
        <v>ლ</v>
      </c>
    </row>
    <row r="43" spans="1:9" ht="20.25" thickBot="1" x14ac:dyDescent="0.3">
      <c r="A43" s="2">
        <v>9</v>
      </c>
      <c r="B43" s="2" t="s">
        <v>47</v>
      </c>
      <c r="C43" s="2" t="s">
        <v>14</v>
      </c>
      <c r="D43" s="2">
        <v>0.4</v>
      </c>
      <c r="E43" s="2">
        <v>3.73</v>
      </c>
      <c r="F43" s="2">
        <v>3.73</v>
      </c>
      <c r="G43" s="2">
        <f t="shared" si="6"/>
        <v>3.73</v>
      </c>
      <c r="H43" s="19" t="str">
        <f t="shared" si="7"/>
        <v>1.3-9</v>
      </c>
      <c r="I43" s="2" t="str">
        <f t="shared" si="8"/>
        <v>ლ</v>
      </c>
    </row>
    <row r="44" spans="1:9" ht="21" thickTop="1" thickBot="1" x14ac:dyDescent="0.3">
      <c r="A44" s="4"/>
      <c r="B44" s="4" t="s">
        <v>48</v>
      </c>
      <c r="C44" s="4"/>
      <c r="D44" s="4"/>
      <c r="E44" s="4"/>
      <c r="F44" s="4"/>
      <c r="G44" s="4"/>
      <c r="H44" s="7"/>
      <c r="I44" s="7" t="s">
        <v>460</v>
      </c>
    </row>
    <row r="45" spans="1:9" ht="20.25" thickTop="1" x14ac:dyDescent="0.25">
      <c r="A45" s="2">
        <v>1</v>
      </c>
      <c r="B45" s="2" t="s">
        <v>49</v>
      </c>
      <c r="C45" s="2" t="s">
        <v>9</v>
      </c>
      <c r="D45" s="2">
        <v>1000</v>
      </c>
      <c r="E45" s="2">
        <v>1550</v>
      </c>
      <c r="F45" s="2">
        <v>1550</v>
      </c>
      <c r="G45" s="2">
        <f t="shared" ref="G45:G63" si="9">(E45+F45)/2</f>
        <v>1550</v>
      </c>
      <c r="H45" s="19" t="str">
        <f t="shared" ref="H45:H58" si="10">"1.4-"&amp;A45</f>
        <v>1.4-1</v>
      </c>
      <c r="I45" s="2" t="str">
        <f>$I$44</f>
        <v>ლ</v>
      </c>
    </row>
    <row r="46" spans="1:9" x14ac:dyDescent="0.25">
      <c r="A46" s="2">
        <v>2</v>
      </c>
      <c r="B46" s="2" t="s">
        <v>50</v>
      </c>
      <c r="C46" s="2" t="s">
        <v>14</v>
      </c>
      <c r="D46" s="2">
        <v>9.4600000000000009</v>
      </c>
      <c r="E46" s="2">
        <v>11</v>
      </c>
      <c r="F46" s="2">
        <v>11</v>
      </c>
      <c r="G46" s="2">
        <f t="shared" si="9"/>
        <v>11</v>
      </c>
      <c r="H46" s="19" t="str">
        <f t="shared" si="10"/>
        <v>1.4-2</v>
      </c>
      <c r="I46" s="2" t="str">
        <f t="shared" ref="I46:I63" si="11">$I$44</f>
        <v>ლ</v>
      </c>
    </row>
    <row r="47" spans="1:9" x14ac:dyDescent="0.25">
      <c r="A47" s="2">
        <v>3</v>
      </c>
      <c r="B47" s="2" t="s">
        <v>51</v>
      </c>
      <c r="C47" s="2" t="s">
        <v>14</v>
      </c>
      <c r="D47" s="2">
        <v>11.5</v>
      </c>
      <c r="E47" s="2">
        <v>14</v>
      </c>
      <c r="F47" s="2">
        <v>14</v>
      </c>
      <c r="G47" s="2">
        <f t="shared" si="9"/>
        <v>14</v>
      </c>
      <c r="H47" s="19" t="str">
        <f t="shared" si="10"/>
        <v>1.4-3</v>
      </c>
      <c r="I47" s="2" t="str">
        <f t="shared" si="11"/>
        <v>ლ</v>
      </c>
    </row>
    <row r="48" spans="1:9" x14ac:dyDescent="0.25">
      <c r="A48" s="2">
        <v>4</v>
      </c>
      <c r="B48" s="2" t="s">
        <v>52</v>
      </c>
      <c r="C48" s="2" t="s">
        <v>14</v>
      </c>
      <c r="D48" s="2">
        <v>13.7</v>
      </c>
      <c r="E48" s="2">
        <v>17.399999999999999</v>
      </c>
      <c r="F48" s="2">
        <v>17.399999999999999</v>
      </c>
      <c r="G48" s="2">
        <f t="shared" si="9"/>
        <v>17.399999999999999</v>
      </c>
      <c r="H48" s="19" t="str">
        <f t="shared" si="10"/>
        <v>1.4-4</v>
      </c>
      <c r="I48" s="2" t="str">
        <f t="shared" si="11"/>
        <v>ლ</v>
      </c>
    </row>
    <row r="49" spans="1:9" x14ac:dyDescent="0.25">
      <c r="A49" s="2">
        <v>5</v>
      </c>
      <c r="B49" s="2" t="s">
        <v>53</v>
      </c>
      <c r="C49" s="2" t="s">
        <v>14</v>
      </c>
      <c r="D49" s="2">
        <v>15.9</v>
      </c>
      <c r="E49" s="2">
        <v>21.6</v>
      </c>
      <c r="F49" s="2">
        <v>21.6</v>
      </c>
      <c r="G49" s="2">
        <f t="shared" si="9"/>
        <v>21.6</v>
      </c>
      <c r="H49" s="19" t="str">
        <f t="shared" si="10"/>
        <v>1.4-5</v>
      </c>
      <c r="I49" s="2" t="str">
        <f t="shared" si="11"/>
        <v>ლ</v>
      </c>
    </row>
    <row r="50" spans="1:9" x14ac:dyDescent="0.25">
      <c r="A50" s="2">
        <v>6</v>
      </c>
      <c r="B50" s="2" t="s">
        <v>54</v>
      </c>
      <c r="C50" s="2" t="s">
        <v>14</v>
      </c>
      <c r="D50" s="2">
        <v>18.399999999999999</v>
      </c>
      <c r="E50" s="2">
        <v>26.3</v>
      </c>
      <c r="F50" s="2">
        <v>26.3</v>
      </c>
      <c r="G50" s="2">
        <f t="shared" si="9"/>
        <v>26.3</v>
      </c>
      <c r="H50" s="19" t="str">
        <f t="shared" si="10"/>
        <v>1.4-6</v>
      </c>
      <c r="I50" s="2" t="str">
        <f t="shared" si="11"/>
        <v>ლ</v>
      </c>
    </row>
    <row r="51" spans="1:9" x14ac:dyDescent="0.25">
      <c r="A51" s="2">
        <v>7</v>
      </c>
      <c r="B51" s="2" t="s">
        <v>55</v>
      </c>
      <c r="C51" s="2" t="s">
        <v>14</v>
      </c>
      <c r="D51" s="2">
        <v>21</v>
      </c>
      <c r="E51" s="2">
        <v>32.6</v>
      </c>
      <c r="F51" s="2">
        <v>32.6</v>
      </c>
      <c r="G51" s="2">
        <f t="shared" si="9"/>
        <v>32.6</v>
      </c>
      <c r="H51" s="19" t="str">
        <f t="shared" si="10"/>
        <v>1.4-7</v>
      </c>
      <c r="I51" s="2" t="str">
        <f t="shared" si="11"/>
        <v>ლ</v>
      </c>
    </row>
    <row r="52" spans="1:9" x14ac:dyDescent="0.25">
      <c r="A52" s="2">
        <v>8</v>
      </c>
      <c r="B52" s="2" t="s">
        <v>56</v>
      </c>
      <c r="C52" s="2" t="s">
        <v>14</v>
      </c>
      <c r="D52" s="2">
        <v>24</v>
      </c>
      <c r="E52" s="2">
        <v>35.6</v>
      </c>
      <c r="F52" s="2">
        <v>35.6</v>
      </c>
      <c r="G52" s="2">
        <f t="shared" si="9"/>
        <v>35.6</v>
      </c>
      <c r="H52" s="19" t="str">
        <f t="shared" si="10"/>
        <v>1.4-8</v>
      </c>
      <c r="I52" s="2" t="str">
        <f t="shared" si="11"/>
        <v>ლ</v>
      </c>
    </row>
    <row r="53" spans="1:9" x14ac:dyDescent="0.25">
      <c r="A53" s="2">
        <v>9</v>
      </c>
      <c r="B53" s="2" t="s">
        <v>57</v>
      </c>
      <c r="C53" s="2" t="s">
        <v>14</v>
      </c>
      <c r="D53" s="2">
        <v>27.3</v>
      </c>
      <c r="E53" s="2">
        <v>44.9</v>
      </c>
      <c r="F53" s="2">
        <v>44.9</v>
      </c>
      <c r="G53" s="2">
        <f t="shared" si="9"/>
        <v>44.9</v>
      </c>
      <c r="H53" s="19" t="str">
        <f t="shared" si="10"/>
        <v>1.4-9</v>
      </c>
      <c r="I53" s="2" t="str">
        <f t="shared" si="11"/>
        <v>ლ</v>
      </c>
    </row>
    <row r="54" spans="1:9" x14ac:dyDescent="0.25">
      <c r="A54" s="2">
        <v>10</v>
      </c>
      <c r="B54" s="2" t="s">
        <v>58</v>
      </c>
      <c r="C54" s="2" t="s">
        <v>14</v>
      </c>
      <c r="D54" s="2">
        <v>31.5</v>
      </c>
      <c r="E54" s="2">
        <v>55.1</v>
      </c>
      <c r="F54" s="2">
        <v>55.1</v>
      </c>
      <c r="G54" s="2">
        <f t="shared" si="9"/>
        <v>55.1</v>
      </c>
      <c r="H54" s="19" t="str">
        <f t="shared" si="10"/>
        <v>1.4-10</v>
      </c>
      <c r="I54" s="2" t="str">
        <f t="shared" si="11"/>
        <v>ლ</v>
      </c>
    </row>
    <row r="55" spans="1:9" x14ac:dyDescent="0.25">
      <c r="A55" s="2">
        <v>11</v>
      </c>
      <c r="B55" s="2" t="s">
        <v>59</v>
      </c>
      <c r="C55" s="2" t="s">
        <v>14</v>
      </c>
      <c r="D55" s="2">
        <v>36.5</v>
      </c>
      <c r="E55" s="2">
        <v>67.8</v>
      </c>
      <c r="F55" s="2">
        <v>67.8</v>
      </c>
      <c r="G55" s="2">
        <f t="shared" si="9"/>
        <v>67.8</v>
      </c>
      <c r="H55" s="19" t="str">
        <f t="shared" si="10"/>
        <v>1.4-11</v>
      </c>
      <c r="I55" s="2" t="str">
        <f t="shared" si="11"/>
        <v>ლ</v>
      </c>
    </row>
    <row r="56" spans="1:9" x14ac:dyDescent="0.25">
      <c r="A56" s="2">
        <v>12</v>
      </c>
      <c r="B56" s="2" t="s">
        <v>60</v>
      </c>
      <c r="C56" s="2" t="s">
        <v>14</v>
      </c>
      <c r="D56" s="2">
        <v>48.6</v>
      </c>
      <c r="E56" s="2">
        <v>83.3</v>
      </c>
      <c r="F56" s="2">
        <v>83.3</v>
      </c>
      <c r="G56" s="2">
        <f t="shared" si="9"/>
        <v>83.3</v>
      </c>
      <c r="H56" s="19" t="str">
        <f t="shared" si="10"/>
        <v>1.4-12</v>
      </c>
      <c r="I56" s="2" t="str">
        <f t="shared" si="11"/>
        <v>ლ</v>
      </c>
    </row>
    <row r="57" spans="1:9" x14ac:dyDescent="0.25">
      <c r="A57" s="2">
        <v>13</v>
      </c>
      <c r="B57" s="2" t="s">
        <v>61</v>
      </c>
      <c r="C57" s="2" t="s">
        <v>14</v>
      </c>
      <c r="D57" s="2">
        <v>65.2</v>
      </c>
      <c r="E57" s="2">
        <v>122.8</v>
      </c>
      <c r="F57" s="2">
        <v>122.8</v>
      </c>
      <c r="G57" s="2">
        <f t="shared" si="9"/>
        <v>122.8</v>
      </c>
      <c r="H57" s="19" t="str">
        <f t="shared" si="10"/>
        <v>1.4-13</v>
      </c>
      <c r="I57" s="2" t="str">
        <f t="shared" si="11"/>
        <v>ლ</v>
      </c>
    </row>
    <row r="58" spans="1:9" x14ac:dyDescent="0.25">
      <c r="A58" s="2">
        <v>14</v>
      </c>
      <c r="B58" s="2" t="s">
        <v>62</v>
      </c>
      <c r="C58" s="2" t="s">
        <v>9</v>
      </c>
      <c r="D58" s="2">
        <v>1000</v>
      </c>
      <c r="E58" s="2">
        <v>1710</v>
      </c>
      <c r="F58" s="2">
        <v>1710</v>
      </c>
      <c r="G58" s="2">
        <f t="shared" si="9"/>
        <v>1710</v>
      </c>
      <c r="H58" s="19" t="str">
        <f t="shared" si="10"/>
        <v>1.4-14</v>
      </c>
      <c r="I58" s="2" t="str">
        <f t="shared" si="11"/>
        <v>ლ</v>
      </c>
    </row>
    <row r="59" spans="1:9" x14ac:dyDescent="0.25">
      <c r="A59" s="2"/>
      <c r="B59" s="2" t="s">
        <v>25</v>
      </c>
      <c r="C59" s="2"/>
      <c r="D59" s="2"/>
      <c r="E59" s="2"/>
      <c r="F59" s="2"/>
      <c r="G59" s="2">
        <f t="shared" si="9"/>
        <v>0</v>
      </c>
      <c r="H59" s="19"/>
      <c r="I59" s="2" t="str">
        <f t="shared" si="11"/>
        <v>ლ</v>
      </c>
    </row>
    <row r="60" spans="1:9" x14ac:dyDescent="0.25">
      <c r="A60" s="2">
        <v>27</v>
      </c>
      <c r="B60" s="2" t="s">
        <v>63</v>
      </c>
      <c r="C60" s="2" t="s">
        <v>9</v>
      </c>
      <c r="D60" s="2">
        <v>1000</v>
      </c>
      <c r="E60" s="2">
        <v>1840</v>
      </c>
      <c r="F60" s="2">
        <v>1840</v>
      </c>
      <c r="G60" s="2">
        <f t="shared" si="9"/>
        <v>1840</v>
      </c>
      <c r="H60" s="19" t="str">
        <f>"1.4-"&amp;A60</f>
        <v>1.4-27</v>
      </c>
      <c r="I60" s="2" t="str">
        <f t="shared" si="11"/>
        <v>ლ</v>
      </c>
    </row>
    <row r="61" spans="1:9" x14ac:dyDescent="0.25">
      <c r="A61" s="2"/>
      <c r="B61" s="2" t="s">
        <v>25</v>
      </c>
      <c r="C61" s="2"/>
      <c r="D61" s="2"/>
      <c r="E61" s="2"/>
      <c r="F61" s="2"/>
      <c r="G61" s="2">
        <f t="shared" si="9"/>
        <v>0</v>
      </c>
      <c r="H61" s="19"/>
      <c r="I61" s="2" t="str">
        <f t="shared" si="11"/>
        <v>ლ</v>
      </c>
    </row>
    <row r="62" spans="1:9" x14ac:dyDescent="0.25">
      <c r="A62" s="2">
        <v>77</v>
      </c>
      <c r="B62" s="2" t="s">
        <v>64</v>
      </c>
      <c r="C62" s="2" t="s">
        <v>9</v>
      </c>
      <c r="D62" s="2">
        <v>1000</v>
      </c>
      <c r="E62" s="2">
        <v>1920</v>
      </c>
      <c r="F62" s="2">
        <v>1920</v>
      </c>
      <c r="G62" s="2">
        <f t="shared" si="9"/>
        <v>1920</v>
      </c>
      <c r="H62" s="19" t="str">
        <f>"1.4-"&amp;A62</f>
        <v>1.4-77</v>
      </c>
      <c r="I62" s="2" t="str">
        <f t="shared" si="11"/>
        <v>ლ</v>
      </c>
    </row>
    <row r="63" spans="1:9" ht="20.25" thickBot="1" x14ac:dyDescent="0.3">
      <c r="A63" s="2"/>
      <c r="B63" s="2" t="s">
        <v>25</v>
      </c>
      <c r="C63" s="2"/>
      <c r="D63" s="2"/>
      <c r="E63" s="2"/>
      <c r="F63" s="2"/>
      <c r="G63" s="2">
        <f t="shared" si="9"/>
        <v>0</v>
      </c>
      <c r="H63" s="19"/>
      <c r="I63" s="2" t="str">
        <f t="shared" si="11"/>
        <v>ლ</v>
      </c>
    </row>
    <row r="64" spans="1:9" ht="21" thickTop="1" thickBot="1" x14ac:dyDescent="0.3">
      <c r="A64" s="4"/>
      <c r="B64" s="4" t="s">
        <v>65</v>
      </c>
      <c r="C64" s="4"/>
      <c r="D64" s="4"/>
      <c r="E64" s="4"/>
      <c r="F64" s="4"/>
      <c r="G64" s="4"/>
      <c r="H64" s="7"/>
      <c r="I64" s="7" t="s">
        <v>460</v>
      </c>
    </row>
    <row r="65" spans="1:9" ht="20.25" thickTop="1" x14ac:dyDescent="0.25">
      <c r="A65" s="2">
        <v>1</v>
      </c>
      <c r="B65" s="2" t="s">
        <v>67</v>
      </c>
      <c r="C65" s="2" t="s">
        <v>66</v>
      </c>
      <c r="D65" s="2">
        <v>10</v>
      </c>
      <c r="E65" s="2">
        <v>39.4</v>
      </c>
      <c r="F65" s="2">
        <v>39.4</v>
      </c>
      <c r="G65" s="2">
        <f t="shared" ref="G65:G93" si="12">(E65+F65)/2</f>
        <v>39.4</v>
      </c>
      <c r="H65" s="19" t="str">
        <f t="shared" ref="H65:H93" si="13">"1.8-"&amp;A65</f>
        <v>1.8-1</v>
      </c>
      <c r="I65" s="2" t="str">
        <f>$I$64</f>
        <v>ლ</v>
      </c>
    </row>
    <row r="66" spans="1:9" x14ac:dyDescent="0.25">
      <c r="A66" s="2">
        <v>2</v>
      </c>
      <c r="B66" s="2" t="s">
        <v>71</v>
      </c>
      <c r="C66" s="2" t="s">
        <v>66</v>
      </c>
      <c r="D66" s="2">
        <v>10.199999999999999</v>
      </c>
      <c r="E66" s="2">
        <v>41</v>
      </c>
      <c r="F66" s="2">
        <v>41</v>
      </c>
      <c r="G66" s="2">
        <f t="shared" si="12"/>
        <v>41</v>
      </c>
      <c r="H66" s="19" t="str">
        <f t="shared" si="13"/>
        <v>1.8-2</v>
      </c>
      <c r="I66" s="2" t="str">
        <f t="shared" ref="I66:I93" si="14">$I$64</f>
        <v>ლ</v>
      </c>
    </row>
    <row r="67" spans="1:9" x14ac:dyDescent="0.25">
      <c r="A67" s="2">
        <v>3</v>
      </c>
      <c r="B67" s="2" t="s">
        <v>68</v>
      </c>
      <c r="C67" s="2" t="s">
        <v>66</v>
      </c>
      <c r="D67" s="2">
        <v>13</v>
      </c>
      <c r="E67" s="2">
        <v>52</v>
      </c>
      <c r="F67" s="2">
        <v>52</v>
      </c>
      <c r="G67" s="2">
        <f t="shared" si="12"/>
        <v>52</v>
      </c>
      <c r="H67" s="19" t="str">
        <f t="shared" si="13"/>
        <v>1.8-3</v>
      </c>
      <c r="I67" s="2" t="str">
        <f t="shared" si="14"/>
        <v>ლ</v>
      </c>
    </row>
    <row r="68" spans="1:9" x14ac:dyDescent="0.25">
      <c r="A68" s="2">
        <v>4</v>
      </c>
      <c r="B68" s="2" t="s">
        <v>69</v>
      </c>
      <c r="C68" s="2" t="s">
        <v>66</v>
      </c>
      <c r="D68" s="2">
        <v>18.2</v>
      </c>
      <c r="E68" s="2">
        <v>73.3</v>
      </c>
      <c r="F68" s="2">
        <v>73.3</v>
      </c>
      <c r="G68" s="2">
        <f t="shared" si="12"/>
        <v>73.3</v>
      </c>
      <c r="H68" s="19" t="str">
        <f t="shared" si="13"/>
        <v>1.8-4</v>
      </c>
      <c r="I68" s="2" t="str">
        <f t="shared" si="14"/>
        <v>ლ</v>
      </c>
    </row>
    <row r="69" spans="1:9" x14ac:dyDescent="0.25">
      <c r="A69" s="2">
        <v>5</v>
      </c>
      <c r="B69" s="2" t="s">
        <v>70</v>
      </c>
      <c r="C69" s="2" t="s">
        <v>66</v>
      </c>
      <c r="D69" s="2">
        <v>13.2</v>
      </c>
      <c r="E69" s="2">
        <v>52.8</v>
      </c>
      <c r="F69" s="2">
        <v>52.8</v>
      </c>
      <c r="G69" s="2">
        <f t="shared" si="12"/>
        <v>52.8</v>
      </c>
      <c r="H69" s="19" t="str">
        <f t="shared" si="13"/>
        <v>1.8-5</v>
      </c>
      <c r="I69" s="2" t="str">
        <f t="shared" si="14"/>
        <v>ლ</v>
      </c>
    </row>
    <row r="70" spans="1:9" x14ac:dyDescent="0.25">
      <c r="A70" s="2">
        <v>6</v>
      </c>
      <c r="B70" s="2" t="s">
        <v>72</v>
      </c>
      <c r="C70" s="2" t="s">
        <v>66</v>
      </c>
      <c r="D70" s="2">
        <v>17.5</v>
      </c>
      <c r="E70" s="2">
        <v>67.8</v>
      </c>
      <c r="F70" s="2">
        <v>67.8</v>
      </c>
      <c r="G70" s="2">
        <f t="shared" si="12"/>
        <v>67.8</v>
      </c>
      <c r="H70" s="19" t="str">
        <f t="shared" si="13"/>
        <v>1.8-6</v>
      </c>
      <c r="I70" s="2" t="str">
        <f t="shared" si="14"/>
        <v>ლ</v>
      </c>
    </row>
    <row r="71" spans="1:9" x14ac:dyDescent="0.25">
      <c r="A71" s="2">
        <v>7</v>
      </c>
      <c r="B71" s="2" t="s">
        <v>73</v>
      </c>
      <c r="C71" s="2" t="s">
        <v>66</v>
      </c>
      <c r="D71" s="2">
        <v>24.9</v>
      </c>
      <c r="E71" s="2">
        <v>98.5</v>
      </c>
      <c r="F71" s="2">
        <v>98.5</v>
      </c>
      <c r="G71" s="2">
        <f t="shared" si="12"/>
        <v>98.5</v>
      </c>
      <c r="H71" s="19" t="str">
        <f t="shared" si="13"/>
        <v>1.8-7</v>
      </c>
      <c r="I71" s="2" t="str">
        <f t="shared" si="14"/>
        <v>ლ</v>
      </c>
    </row>
    <row r="72" spans="1:9" x14ac:dyDescent="0.25">
      <c r="A72" s="2">
        <v>8</v>
      </c>
      <c r="B72" s="2" t="s">
        <v>74</v>
      </c>
      <c r="C72" s="2" t="s">
        <v>66</v>
      </c>
      <c r="D72" s="2">
        <v>24.5</v>
      </c>
      <c r="E72" s="2">
        <v>97.7</v>
      </c>
      <c r="F72" s="2">
        <v>97.7</v>
      </c>
      <c r="G72" s="2">
        <f t="shared" si="12"/>
        <v>97.7</v>
      </c>
      <c r="H72" s="19" t="str">
        <f t="shared" si="13"/>
        <v>1.8-8</v>
      </c>
      <c r="I72" s="2" t="str">
        <f t="shared" si="14"/>
        <v>ლ</v>
      </c>
    </row>
    <row r="73" spans="1:9" x14ac:dyDescent="0.25">
      <c r="A73" s="2">
        <v>9</v>
      </c>
      <c r="B73" s="2" t="s">
        <v>75</v>
      </c>
      <c r="C73" s="2" t="s">
        <v>66</v>
      </c>
      <c r="D73" s="2">
        <v>25</v>
      </c>
      <c r="E73" s="2">
        <v>99.3</v>
      </c>
      <c r="F73" s="2">
        <v>99.3</v>
      </c>
      <c r="G73" s="2">
        <f t="shared" si="12"/>
        <v>99.3</v>
      </c>
      <c r="H73" s="19" t="str">
        <f t="shared" si="13"/>
        <v>1.8-9</v>
      </c>
      <c r="I73" s="2" t="str">
        <f t="shared" si="14"/>
        <v>ლ</v>
      </c>
    </row>
    <row r="74" spans="1:9" x14ac:dyDescent="0.25">
      <c r="A74" s="2">
        <v>10</v>
      </c>
      <c r="B74" s="2" t="s">
        <v>76</v>
      </c>
      <c r="C74" s="2" t="s">
        <v>66</v>
      </c>
      <c r="D74" s="2">
        <v>21.5</v>
      </c>
      <c r="E74" s="2">
        <v>85.9</v>
      </c>
      <c r="F74" s="2">
        <v>85.9</v>
      </c>
      <c r="G74" s="2">
        <f t="shared" si="12"/>
        <v>85.9</v>
      </c>
      <c r="H74" s="19" t="str">
        <f t="shared" si="13"/>
        <v>1.8-10</v>
      </c>
      <c r="I74" s="2" t="str">
        <f t="shared" si="14"/>
        <v>ლ</v>
      </c>
    </row>
    <row r="75" spans="1:9" x14ac:dyDescent="0.25">
      <c r="A75" s="2">
        <v>11</v>
      </c>
      <c r="B75" s="2" t="s">
        <v>77</v>
      </c>
      <c r="C75" s="2" t="s">
        <v>66</v>
      </c>
      <c r="D75" s="2">
        <v>26.9</v>
      </c>
      <c r="E75" s="2">
        <v>110.3</v>
      </c>
      <c r="F75" s="2">
        <v>110.3</v>
      </c>
      <c r="G75" s="2">
        <f t="shared" si="12"/>
        <v>110.3</v>
      </c>
      <c r="H75" s="19" t="str">
        <f t="shared" si="13"/>
        <v>1.8-11</v>
      </c>
      <c r="I75" s="2" t="str">
        <f t="shared" si="14"/>
        <v>ლ</v>
      </c>
    </row>
    <row r="76" spans="1:9" x14ac:dyDescent="0.25">
      <c r="A76" s="2">
        <v>12</v>
      </c>
      <c r="B76" s="2" t="s">
        <v>78</v>
      </c>
      <c r="C76" s="2" t="s">
        <v>66</v>
      </c>
      <c r="D76" s="2">
        <v>32.299999999999997</v>
      </c>
      <c r="E76" s="2">
        <v>138.1</v>
      </c>
      <c r="F76" s="2">
        <v>138.1</v>
      </c>
      <c r="G76" s="2">
        <f t="shared" si="12"/>
        <v>138.1</v>
      </c>
      <c r="H76" s="19" t="str">
        <f t="shared" si="13"/>
        <v>1.8-12</v>
      </c>
      <c r="I76" s="2" t="str">
        <f t="shared" si="14"/>
        <v>ლ</v>
      </c>
    </row>
    <row r="77" spans="1:9" x14ac:dyDescent="0.25">
      <c r="A77" s="2">
        <v>13</v>
      </c>
      <c r="B77" s="2" t="s">
        <v>79</v>
      </c>
      <c r="C77" s="2" t="s">
        <v>66</v>
      </c>
      <c r="D77" s="2">
        <v>33</v>
      </c>
      <c r="E77" s="2">
        <v>130.80000000000001</v>
      </c>
      <c r="F77" s="2">
        <v>130.80000000000001</v>
      </c>
      <c r="G77" s="2">
        <f t="shared" si="12"/>
        <v>130.80000000000001</v>
      </c>
      <c r="H77" s="19" t="str">
        <f t="shared" si="13"/>
        <v>1.8-13</v>
      </c>
      <c r="I77" s="2" t="str">
        <f t="shared" si="14"/>
        <v>ლ</v>
      </c>
    </row>
    <row r="78" spans="1:9" x14ac:dyDescent="0.25">
      <c r="A78" s="2">
        <v>14</v>
      </c>
      <c r="B78" s="2" t="s">
        <v>80</v>
      </c>
      <c r="C78" s="2" t="s">
        <v>66</v>
      </c>
      <c r="D78" s="2">
        <v>35.4</v>
      </c>
      <c r="E78" s="2">
        <v>141.1</v>
      </c>
      <c r="F78" s="2">
        <v>141.1</v>
      </c>
      <c r="G78" s="2">
        <f t="shared" si="12"/>
        <v>141.1</v>
      </c>
      <c r="H78" s="19" t="str">
        <f t="shared" si="13"/>
        <v>1.8-14</v>
      </c>
      <c r="I78" s="2" t="str">
        <f t="shared" si="14"/>
        <v>ლ</v>
      </c>
    </row>
    <row r="79" spans="1:9" x14ac:dyDescent="0.25">
      <c r="A79" s="2">
        <v>15</v>
      </c>
      <c r="B79" s="2" t="s">
        <v>81</v>
      </c>
      <c r="C79" s="2" t="s">
        <v>66</v>
      </c>
      <c r="D79" s="2">
        <v>40.1</v>
      </c>
      <c r="E79" s="2">
        <v>159.19999999999999</v>
      </c>
      <c r="F79" s="2">
        <v>159.19999999999999</v>
      </c>
      <c r="G79" s="2">
        <f t="shared" si="12"/>
        <v>159.19999999999999</v>
      </c>
      <c r="H79" s="19" t="str">
        <f t="shared" si="13"/>
        <v>1.8-15</v>
      </c>
      <c r="I79" s="2" t="str">
        <f t="shared" si="14"/>
        <v>ლ</v>
      </c>
    </row>
    <row r="80" spans="1:9" x14ac:dyDescent="0.25">
      <c r="A80" s="2">
        <v>16</v>
      </c>
      <c r="B80" s="2" t="s">
        <v>82</v>
      </c>
      <c r="C80" s="2" t="s">
        <v>66</v>
      </c>
      <c r="D80" s="2">
        <v>41.5</v>
      </c>
      <c r="E80" s="2">
        <v>165.5</v>
      </c>
      <c r="F80" s="2">
        <v>165.5</v>
      </c>
      <c r="G80" s="2">
        <f t="shared" si="12"/>
        <v>165.5</v>
      </c>
      <c r="H80" s="19" t="str">
        <f t="shared" si="13"/>
        <v>1.8-16</v>
      </c>
      <c r="I80" s="2" t="str">
        <f t="shared" si="14"/>
        <v>ლ</v>
      </c>
    </row>
    <row r="81" spans="1:9" x14ac:dyDescent="0.25">
      <c r="A81" s="2">
        <v>17</v>
      </c>
      <c r="B81" s="2" t="s">
        <v>83</v>
      </c>
      <c r="C81" s="2" t="s">
        <v>66</v>
      </c>
      <c r="D81" s="2">
        <v>44.3</v>
      </c>
      <c r="E81" s="2">
        <v>176.5</v>
      </c>
      <c r="F81" s="2">
        <v>176.5</v>
      </c>
      <c r="G81" s="2">
        <f t="shared" si="12"/>
        <v>176.5</v>
      </c>
      <c r="H81" s="19" t="str">
        <f t="shared" si="13"/>
        <v>1.8-17</v>
      </c>
      <c r="I81" s="2" t="str">
        <f t="shared" si="14"/>
        <v>ლ</v>
      </c>
    </row>
    <row r="82" spans="1:9" x14ac:dyDescent="0.25">
      <c r="A82" s="2">
        <v>18</v>
      </c>
      <c r="B82" s="2" t="s">
        <v>84</v>
      </c>
      <c r="C82" s="2" t="s">
        <v>66</v>
      </c>
      <c r="D82" s="2">
        <v>46.7</v>
      </c>
      <c r="E82" s="2">
        <v>186</v>
      </c>
      <c r="F82" s="2">
        <v>186</v>
      </c>
      <c r="G82" s="2">
        <f t="shared" si="12"/>
        <v>186</v>
      </c>
      <c r="H82" s="19" t="str">
        <f t="shared" si="13"/>
        <v>1.8-18</v>
      </c>
      <c r="I82" s="2" t="str">
        <f t="shared" si="14"/>
        <v>ლ</v>
      </c>
    </row>
    <row r="83" spans="1:9" x14ac:dyDescent="0.25">
      <c r="A83" s="2">
        <v>19</v>
      </c>
      <c r="B83" s="2" t="s">
        <v>85</v>
      </c>
      <c r="C83" s="2" t="s">
        <v>66</v>
      </c>
      <c r="D83" s="2">
        <v>48.4</v>
      </c>
      <c r="E83" s="2">
        <v>207.6</v>
      </c>
      <c r="F83" s="2">
        <v>207.6</v>
      </c>
      <c r="G83" s="2">
        <f t="shared" si="12"/>
        <v>207.6</v>
      </c>
      <c r="H83" s="19" t="str">
        <f t="shared" si="13"/>
        <v>1.8-19</v>
      </c>
      <c r="I83" s="2" t="str">
        <f t="shared" si="14"/>
        <v>ლ</v>
      </c>
    </row>
    <row r="84" spans="1:9" x14ac:dyDescent="0.25">
      <c r="A84" s="2">
        <v>20</v>
      </c>
      <c r="B84" s="2" t="s">
        <v>86</v>
      </c>
      <c r="C84" s="2" t="s">
        <v>66</v>
      </c>
      <c r="D84" s="2">
        <v>52.2</v>
      </c>
      <c r="E84" s="2">
        <v>208.1</v>
      </c>
      <c r="F84" s="2">
        <v>208.1</v>
      </c>
      <c r="G84" s="2">
        <f t="shared" si="12"/>
        <v>208.1</v>
      </c>
      <c r="H84" s="19" t="str">
        <f t="shared" si="13"/>
        <v>1.8-20</v>
      </c>
      <c r="I84" s="2" t="str">
        <f t="shared" si="14"/>
        <v>ლ</v>
      </c>
    </row>
    <row r="85" spans="1:9" x14ac:dyDescent="0.25">
      <c r="A85" s="2">
        <v>21</v>
      </c>
      <c r="B85" s="2" t="s">
        <v>87</v>
      </c>
      <c r="C85" s="2" t="s">
        <v>66</v>
      </c>
      <c r="D85" s="2">
        <v>7.3</v>
      </c>
      <c r="E85" s="2">
        <v>29.2</v>
      </c>
      <c r="F85" s="2">
        <v>29.2</v>
      </c>
      <c r="G85" s="2">
        <f t="shared" si="12"/>
        <v>29.2</v>
      </c>
      <c r="H85" s="19" t="str">
        <f t="shared" si="13"/>
        <v>1.8-21</v>
      </c>
      <c r="I85" s="2" t="str">
        <f t="shared" si="14"/>
        <v>ლ</v>
      </c>
    </row>
    <row r="86" spans="1:9" x14ac:dyDescent="0.25">
      <c r="A86" s="2">
        <v>22</v>
      </c>
      <c r="B86" s="2" t="s">
        <v>89</v>
      </c>
      <c r="C86" s="2" t="s">
        <v>66</v>
      </c>
      <c r="D86" s="2">
        <v>9.9</v>
      </c>
      <c r="E86" s="2">
        <v>42.3</v>
      </c>
      <c r="F86" s="2">
        <v>42.3</v>
      </c>
      <c r="G86" s="2">
        <f t="shared" si="12"/>
        <v>42.3</v>
      </c>
      <c r="H86" s="19" t="str">
        <f t="shared" si="13"/>
        <v>1.8-22</v>
      </c>
      <c r="I86" s="2" t="str">
        <f t="shared" si="14"/>
        <v>ლ</v>
      </c>
    </row>
    <row r="87" spans="1:9" x14ac:dyDescent="0.25">
      <c r="A87" s="2">
        <v>23</v>
      </c>
      <c r="B87" s="2" t="s">
        <v>88</v>
      </c>
      <c r="C87" s="2" t="s">
        <v>66</v>
      </c>
      <c r="D87" s="2">
        <v>14.9</v>
      </c>
      <c r="E87" s="2">
        <v>59.1</v>
      </c>
      <c r="F87" s="2">
        <v>59.1</v>
      </c>
      <c r="G87" s="2">
        <f t="shared" si="12"/>
        <v>59.1</v>
      </c>
      <c r="H87" s="19" t="str">
        <f t="shared" si="13"/>
        <v>1.8-23</v>
      </c>
      <c r="I87" s="2" t="str">
        <f t="shared" si="14"/>
        <v>ლ</v>
      </c>
    </row>
    <row r="88" spans="1:9" x14ac:dyDescent="0.25">
      <c r="A88" s="2">
        <v>24</v>
      </c>
      <c r="B88" s="2" t="s">
        <v>90</v>
      </c>
      <c r="C88" s="2" t="s">
        <v>66</v>
      </c>
      <c r="D88" s="2">
        <v>21.3</v>
      </c>
      <c r="E88" s="2">
        <v>85.1</v>
      </c>
      <c r="F88" s="2">
        <v>85.1</v>
      </c>
      <c r="G88" s="2">
        <f t="shared" si="12"/>
        <v>85.1</v>
      </c>
      <c r="H88" s="19" t="str">
        <f t="shared" si="13"/>
        <v>1.8-24</v>
      </c>
      <c r="I88" s="2" t="str">
        <f t="shared" si="14"/>
        <v>ლ</v>
      </c>
    </row>
    <row r="89" spans="1:9" x14ac:dyDescent="0.25">
      <c r="A89" s="2">
        <v>25</v>
      </c>
      <c r="B89" s="2" t="s">
        <v>91</v>
      </c>
      <c r="C89" s="2" t="s">
        <v>66</v>
      </c>
      <c r="D89" s="2">
        <v>31.7</v>
      </c>
      <c r="E89" s="2">
        <v>126.1</v>
      </c>
      <c r="F89" s="2">
        <v>126.1</v>
      </c>
      <c r="G89" s="2">
        <f t="shared" si="12"/>
        <v>126.1</v>
      </c>
      <c r="H89" s="19" t="str">
        <f t="shared" si="13"/>
        <v>1.8-25</v>
      </c>
      <c r="I89" s="2" t="str">
        <f t="shared" si="14"/>
        <v>ლ</v>
      </c>
    </row>
    <row r="90" spans="1:9" x14ac:dyDescent="0.25">
      <c r="A90" s="2">
        <v>26</v>
      </c>
      <c r="B90" s="2" t="s">
        <v>92</v>
      </c>
      <c r="C90" s="2" t="s">
        <v>66</v>
      </c>
      <c r="D90" s="2">
        <v>40.9</v>
      </c>
      <c r="E90" s="2">
        <v>161.6</v>
      </c>
      <c r="F90" s="2">
        <v>161.6</v>
      </c>
      <c r="G90" s="2">
        <f t="shared" si="12"/>
        <v>161.6</v>
      </c>
      <c r="H90" s="19" t="str">
        <f t="shared" si="13"/>
        <v>1.8-26</v>
      </c>
      <c r="I90" s="2" t="str">
        <f t="shared" si="14"/>
        <v>ლ</v>
      </c>
    </row>
    <row r="91" spans="1:9" x14ac:dyDescent="0.25">
      <c r="A91" s="2">
        <v>27</v>
      </c>
      <c r="B91" s="2" t="s">
        <v>93</v>
      </c>
      <c r="C91" s="2" t="s">
        <v>66</v>
      </c>
      <c r="D91" s="2">
        <v>49.6</v>
      </c>
      <c r="E91" s="2">
        <v>197</v>
      </c>
      <c r="F91" s="2">
        <v>197</v>
      </c>
      <c r="G91" s="2">
        <f t="shared" si="12"/>
        <v>197</v>
      </c>
      <c r="H91" s="19" t="str">
        <f t="shared" si="13"/>
        <v>1.8-27</v>
      </c>
      <c r="I91" s="2" t="str">
        <f t="shared" si="14"/>
        <v>ლ</v>
      </c>
    </row>
    <row r="92" spans="1:9" x14ac:dyDescent="0.25">
      <c r="A92" s="2">
        <v>28</v>
      </c>
      <c r="B92" s="2" t="s">
        <v>94</v>
      </c>
      <c r="C92" s="2" t="s">
        <v>28</v>
      </c>
      <c r="D92" s="2">
        <v>1</v>
      </c>
      <c r="E92" s="2">
        <v>3</v>
      </c>
      <c r="F92" s="2">
        <v>3</v>
      </c>
      <c r="G92" s="2">
        <f t="shared" si="12"/>
        <v>3</v>
      </c>
      <c r="H92" s="19" t="str">
        <f t="shared" si="13"/>
        <v>1.8-28</v>
      </c>
      <c r="I92" s="2" t="str">
        <f t="shared" si="14"/>
        <v>ლ</v>
      </c>
    </row>
    <row r="93" spans="1:9" ht="20.25" thickBot="1" x14ac:dyDescent="0.3">
      <c r="A93" s="2">
        <v>29</v>
      </c>
      <c r="B93" s="2" t="s">
        <v>122</v>
      </c>
      <c r="C93" s="2" t="s">
        <v>99</v>
      </c>
      <c r="D93" s="2">
        <v>0</v>
      </c>
      <c r="E93" s="2">
        <v>13.9</v>
      </c>
      <c r="F93" s="2">
        <v>13.9</v>
      </c>
      <c r="G93" s="2">
        <f t="shared" si="12"/>
        <v>13.9</v>
      </c>
      <c r="H93" s="19" t="str">
        <f t="shared" si="13"/>
        <v>1.8-29</v>
      </c>
      <c r="I93" s="2" t="str">
        <f t="shared" si="14"/>
        <v>ლ</v>
      </c>
    </row>
    <row r="94" spans="1:9" ht="21" thickTop="1" thickBot="1" x14ac:dyDescent="0.3">
      <c r="A94" s="4"/>
      <c r="B94" s="4" t="s">
        <v>97</v>
      </c>
      <c r="C94" s="4"/>
      <c r="D94" s="4"/>
      <c r="E94" s="4"/>
      <c r="F94" s="4"/>
      <c r="G94" s="4"/>
      <c r="H94" s="7"/>
      <c r="I94" s="7" t="s">
        <v>460</v>
      </c>
    </row>
    <row r="95" spans="1:9" ht="20.25" thickTop="1" x14ac:dyDescent="0.25">
      <c r="A95" s="2">
        <v>1</v>
      </c>
      <c r="B95" s="2" t="s">
        <v>98</v>
      </c>
      <c r="C95" s="2" t="s">
        <v>99</v>
      </c>
      <c r="D95" s="2">
        <v>0</v>
      </c>
      <c r="E95" s="2">
        <v>3.8</v>
      </c>
      <c r="F95" s="2">
        <v>3.8</v>
      </c>
      <c r="G95" s="2">
        <f t="shared" ref="G95:G131" si="15">(E95+F95)/2</f>
        <v>3.8</v>
      </c>
      <c r="H95" s="19" t="str">
        <f t="shared" ref="H95:H119" si="16">"1.9-"&amp;A95</f>
        <v>1.9-1</v>
      </c>
      <c r="I95" s="2" t="str">
        <f>$I$94</f>
        <v>ლ</v>
      </c>
    </row>
    <row r="96" spans="1:9" x14ac:dyDescent="0.25">
      <c r="A96" s="2">
        <v>2</v>
      </c>
      <c r="B96" s="2" t="s">
        <v>100</v>
      </c>
      <c r="C96" s="2" t="s">
        <v>99</v>
      </c>
      <c r="D96" s="2">
        <v>0</v>
      </c>
      <c r="E96" s="2">
        <v>5.5</v>
      </c>
      <c r="F96" s="2">
        <v>5.5</v>
      </c>
      <c r="G96" s="2">
        <f t="shared" si="15"/>
        <v>5.5</v>
      </c>
      <c r="H96" s="19" t="str">
        <f t="shared" si="16"/>
        <v>1.9-2</v>
      </c>
      <c r="I96" s="2" t="str">
        <f t="shared" ref="I96:I131" si="17">$I$94</f>
        <v>ლ</v>
      </c>
    </row>
    <row r="97" spans="1:9" x14ac:dyDescent="0.25">
      <c r="A97" s="2">
        <v>3</v>
      </c>
      <c r="B97" s="2" t="s">
        <v>101</v>
      </c>
      <c r="C97" s="2" t="s">
        <v>99</v>
      </c>
      <c r="D97" s="2">
        <v>0</v>
      </c>
      <c r="E97" s="2">
        <v>4.2</v>
      </c>
      <c r="F97" s="2">
        <v>4.2</v>
      </c>
      <c r="G97" s="2">
        <f t="shared" si="15"/>
        <v>4.2</v>
      </c>
      <c r="H97" s="19" t="str">
        <f t="shared" si="16"/>
        <v>1.9-3</v>
      </c>
      <c r="I97" s="2" t="str">
        <f t="shared" si="17"/>
        <v>ლ</v>
      </c>
    </row>
    <row r="98" spans="1:9" x14ac:dyDescent="0.25">
      <c r="A98" s="2">
        <v>4</v>
      </c>
      <c r="B98" s="2" t="s">
        <v>102</v>
      </c>
      <c r="C98" s="2" t="s">
        <v>99</v>
      </c>
      <c r="D98" s="2">
        <v>0</v>
      </c>
      <c r="E98" s="2">
        <v>3.4</v>
      </c>
      <c r="F98" s="2">
        <v>3.4</v>
      </c>
      <c r="G98" s="2">
        <f t="shared" si="15"/>
        <v>3.4</v>
      </c>
      <c r="H98" s="19" t="str">
        <f t="shared" si="16"/>
        <v>1.9-4</v>
      </c>
      <c r="I98" s="2" t="str">
        <f t="shared" si="17"/>
        <v>ლ</v>
      </c>
    </row>
    <row r="99" spans="1:9" x14ac:dyDescent="0.25">
      <c r="A99" s="2">
        <v>5</v>
      </c>
      <c r="B99" s="2" t="s">
        <v>103</v>
      </c>
      <c r="C99" s="2" t="s">
        <v>99</v>
      </c>
      <c r="D99" s="2">
        <v>0</v>
      </c>
      <c r="E99" s="2">
        <v>2.8</v>
      </c>
      <c r="F99" s="2">
        <v>2.8</v>
      </c>
      <c r="G99" s="2">
        <f t="shared" si="15"/>
        <v>2.8</v>
      </c>
      <c r="H99" s="19" t="str">
        <f t="shared" si="16"/>
        <v>1.9-5</v>
      </c>
      <c r="I99" s="2" t="str">
        <f t="shared" si="17"/>
        <v>ლ</v>
      </c>
    </row>
    <row r="100" spans="1:9" x14ac:dyDescent="0.25">
      <c r="A100" s="2">
        <v>6</v>
      </c>
      <c r="B100" s="2" t="s">
        <v>104</v>
      </c>
      <c r="C100" s="2" t="s">
        <v>99</v>
      </c>
      <c r="D100" s="2">
        <v>0</v>
      </c>
      <c r="E100" s="2">
        <v>2.5</v>
      </c>
      <c r="F100" s="2">
        <v>2.5</v>
      </c>
      <c r="G100" s="2">
        <f t="shared" si="15"/>
        <v>2.5</v>
      </c>
      <c r="H100" s="19" t="str">
        <f t="shared" si="16"/>
        <v>1.9-6</v>
      </c>
      <c r="I100" s="2" t="str">
        <f t="shared" si="17"/>
        <v>ლ</v>
      </c>
    </row>
    <row r="101" spans="1:9" x14ac:dyDescent="0.25">
      <c r="A101" s="2">
        <v>7</v>
      </c>
      <c r="B101" s="2" t="s">
        <v>105</v>
      </c>
      <c r="C101" s="2" t="s">
        <v>99</v>
      </c>
      <c r="D101" s="2">
        <v>0</v>
      </c>
      <c r="E101" s="2">
        <v>2.2999999999999998</v>
      </c>
      <c r="F101" s="2">
        <v>2.2999999999999998</v>
      </c>
      <c r="G101" s="2">
        <f t="shared" si="15"/>
        <v>2.2999999999999998</v>
      </c>
      <c r="H101" s="19" t="str">
        <f t="shared" si="16"/>
        <v>1.9-7</v>
      </c>
      <c r="I101" s="2" t="str">
        <f t="shared" si="17"/>
        <v>ლ</v>
      </c>
    </row>
    <row r="102" spans="1:9" x14ac:dyDescent="0.25">
      <c r="A102" s="2">
        <v>8</v>
      </c>
      <c r="B102" s="2" t="s">
        <v>106</v>
      </c>
      <c r="C102" s="2" t="s">
        <v>99</v>
      </c>
      <c r="D102" s="2">
        <v>0</v>
      </c>
      <c r="E102" s="2">
        <v>1.5</v>
      </c>
      <c r="F102" s="2">
        <v>1.5</v>
      </c>
      <c r="G102" s="2">
        <f t="shared" si="15"/>
        <v>1.5</v>
      </c>
      <c r="H102" s="19" t="str">
        <f t="shared" si="16"/>
        <v>1.9-8</v>
      </c>
      <c r="I102" s="2" t="str">
        <f t="shared" si="17"/>
        <v>ლ</v>
      </c>
    </row>
    <row r="103" spans="1:9" x14ac:dyDescent="0.25">
      <c r="A103" s="2">
        <v>9</v>
      </c>
      <c r="B103" s="2" t="s">
        <v>107</v>
      </c>
      <c r="C103" s="2" t="s">
        <v>99</v>
      </c>
      <c r="D103" s="2">
        <v>0</v>
      </c>
      <c r="E103" s="2">
        <v>2</v>
      </c>
      <c r="F103" s="2">
        <v>2</v>
      </c>
      <c r="G103" s="2">
        <f t="shared" si="15"/>
        <v>2</v>
      </c>
      <c r="H103" s="19" t="str">
        <f t="shared" si="16"/>
        <v>1.9-9</v>
      </c>
      <c r="I103" s="2" t="str">
        <f t="shared" si="17"/>
        <v>ლ</v>
      </c>
    </row>
    <row r="104" spans="1:9" x14ac:dyDescent="0.25">
      <c r="A104" s="2">
        <v>10</v>
      </c>
      <c r="B104" s="2" t="s">
        <v>108</v>
      </c>
      <c r="C104" s="2" t="s">
        <v>99</v>
      </c>
      <c r="D104" s="2">
        <v>0</v>
      </c>
      <c r="E104" s="2">
        <v>3.5</v>
      </c>
      <c r="F104" s="2">
        <v>3.5</v>
      </c>
      <c r="G104" s="2">
        <f t="shared" si="15"/>
        <v>3.5</v>
      </c>
      <c r="H104" s="19" t="str">
        <f t="shared" si="16"/>
        <v>1.9-10</v>
      </c>
      <c r="I104" s="2" t="str">
        <f t="shared" si="17"/>
        <v>ლ</v>
      </c>
    </row>
    <row r="105" spans="1:9" x14ac:dyDescent="0.25">
      <c r="A105" s="2">
        <v>11</v>
      </c>
      <c r="B105" s="2" t="s">
        <v>109</v>
      </c>
      <c r="C105" s="2" t="s">
        <v>99</v>
      </c>
      <c r="D105" s="2">
        <v>0</v>
      </c>
      <c r="E105" s="2">
        <v>3.2</v>
      </c>
      <c r="F105" s="2">
        <v>3.2</v>
      </c>
      <c r="G105" s="2">
        <f t="shared" si="15"/>
        <v>3.2</v>
      </c>
      <c r="H105" s="19" t="str">
        <f t="shared" si="16"/>
        <v>1.9-11</v>
      </c>
      <c r="I105" s="2" t="str">
        <f t="shared" si="17"/>
        <v>ლ</v>
      </c>
    </row>
    <row r="106" spans="1:9" x14ac:dyDescent="0.25">
      <c r="A106" s="2">
        <v>12</v>
      </c>
      <c r="B106" s="2" t="s">
        <v>110</v>
      </c>
      <c r="C106" s="2" t="s">
        <v>99</v>
      </c>
      <c r="D106" s="2">
        <v>0</v>
      </c>
      <c r="E106" s="2">
        <v>2.5</v>
      </c>
      <c r="F106" s="2">
        <v>2.5</v>
      </c>
      <c r="G106" s="2">
        <f t="shared" si="15"/>
        <v>2.5</v>
      </c>
      <c r="H106" s="19" t="str">
        <f t="shared" si="16"/>
        <v>1.9-12</v>
      </c>
      <c r="I106" s="2" t="str">
        <f t="shared" si="17"/>
        <v>ლ</v>
      </c>
    </row>
    <row r="107" spans="1:9" x14ac:dyDescent="0.25">
      <c r="A107" s="2">
        <v>13</v>
      </c>
      <c r="B107" s="2" t="s">
        <v>111</v>
      </c>
      <c r="C107" s="2" t="s">
        <v>99</v>
      </c>
      <c r="D107" s="2">
        <v>0</v>
      </c>
      <c r="E107" s="2">
        <v>3.4</v>
      </c>
      <c r="F107" s="2">
        <v>3.4</v>
      </c>
      <c r="G107" s="2">
        <f t="shared" si="15"/>
        <v>3.4</v>
      </c>
      <c r="H107" s="19" t="str">
        <f t="shared" si="16"/>
        <v>1.9-13</v>
      </c>
      <c r="I107" s="2" t="str">
        <f t="shared" si="17"/>
        <v>ლ</v>
      </c>
    </row>
    <row r="108" spans="1:9" x14ac:dyDescent="0.25">
      <c r="A108" s="2">
        <v>14</v>
      </c>
      <c r="B108" s="2" t="s">
        <v>112</v>
      </c>
      <c r="C108" s="2" t="s">
        <v>99</v>
      </c>
      <c r="D108" s="2">
        <v>0</v>
      </c>
      <c r="E108" s="2">
        <v>3.8</v>
      </c>
      <c r="F108" s="2">
        <v>3.8</v>
      </c>
      <c r="G108" s="2">
        <f t="shared" si="15"/>
        <v>3.8</v>
      </c>
      <c r="H108" s="19" t="str">
        <f t="shared" si="16"/>
        <v>1.9-14</v>
      </c>
      <c r="I108" s="2" t="str">
        <f t="shared" si="17"/>
        <v>ლ</v>
      </c>
    </row>
    <row r="109" spans="1:9" x14ac:dyDescent="0.25">
      <c r="A109" s="2">
        <v>15</v>
      </c>
      <c r="B109" s="2" t="s">
        <v>114</v>
      </c>
      <c r="C109" s="2" t="s">
        <v>99</v>
      </c>
      <c r="D109" s="2">
        <v>0</v>
      </c>
      <c r="E109" s="2">
        <v>8.1</v>
      </c>
      <c r="F109" s="2">
        <v>8.1</v>
      </c>
      <c r="G109" s="2">
        <f t="shared" si="15"/>
        <v>8.1</v>
      </c>
      <c r="H109" s="19" t="str">
        <f t="shared" si="16"/>
        <v>1.9-15</v>
      </c>
      <c r="I109" s="2" t="str">
        <f t="shared" si="17"/>
        <v>ლ</v>
      </c>
    </row>
    <row r="110" spans="1:9" x14ac:dyDescent="0.25">
      <c r="A110" s="2">
        <v>16</v>
      </c>
      <c r="B110" s="2" t="s">
        <v>115</v>
      </c>
      <c r="C110" s="2" t="s">
        <v>99</v>
      </c>
      <c r="D110" s="2">
        <v>0</v>
      </c>
      <c r="E110" s="2">
        <v>7.4</v>
      </c>
      <c r="F110" s="2">
        <v>7.4</v>
      </c>
      <c r="G110" s="2">
        <f t="shared" si="15"/>
        <v>7.4</v>
      </c>
      <c r="H110" s="19" t="str">
        <f t="shared" si="16"/>
        <v>1.9-16</v>
      </c>
      <c r="I110" s="2" t="str">
        <f t="shared" si="17"/>
        <v>ლ</v>
      </c>
    </row>
    <row r="111" spans="1:9" x14ac:dyDescent="0.25">
      <c r="A111" s="2">
        <v>17</v>
      </c>
      <c r="B111" s="2" t="s">
        <v>116</v>
      </c>
      <c r="C111" s="2" t="s">
        <v>99</v>
      </c>
      <c r="D111" s="2">
        <v>0</v>
      </c>
      <c r="E111" s="2">
        <v>6.36</v>
      </c>
      <c r="F111" s="2">
        <v>6.36</v>
      </c>
      <c r="G111" s="2">
        <f t="shared" si="15"/>
        <v>6.36</v>
      </c>
      <c r="H111" s="19" t="str">
        <f t="shared" si="16"/>
        <v>1.9-17</v>
      </c>
      <c r="I111" s="2" t="str">
        <f t="shared" si="17"/>
        <v>ლ</v>
      </c>
    </row>
    <row r="112" spans="1:9" x14ac:dyDescent="0.25">
      <c r="A112" s="2">
        <v>18</v>
      </c>
      <c r="B112" s="2" t="s">
        <v>113</v>
      </c>
      <c r="C112" s="2" t="s">
        <v>99</v>
      </c>
      <c r="D112" s="2">
        <v>0</v>
      </c>
      <c r="E112" s="2">
        <v>5.51</v>
      </c>
      <c r="F112" s="2">
        <v>5.51</v>
      </c>
      <c r="G112" s="2">
        <f t="shared" si="15"/>
        <v>5.51</v>
      </c>
      <c r="H112" s="19" t="str">
        <f t="shared" si="16"/>
        <v>1.9-18</v>
      </c>
      <c r="I112" s="2" t="str">
        <f t="shared" si="17"/>
        <v>ლ</v>
      </c>
    </row>
    <row r="113" spans="1:9" x14ac:dyDescent="0.25">
      <c r="A113" s="2">
        <v>19</v>
      </c>
      <c r="B113" s="2" t="s">
        <v>117</v>
      </c>
      <c r="C113" s="2" t="s">
        <v>99</v>
      </c>
      <c r="D113" s="2">
        <v>0</v>
      </c>
      <c r="E113" s="2">
        <v>4.66</v>
      </c>
      <c r="F113" s="2">
        <v>4.66</v>
      </c>
      <c r="G113" s="2">
        <f t="shared" si="15"/>
        <v>4.66</v>
      </c>
      <c r="H113" s="19" t="str">
        <f t="shared" si="16"/>
        <v>1.9-19</v>
      </c>
      <c r="I113" s="2" t="str">
        <f t="shared" si="17"/>
        <v>ლ</v>
      </c>
    </row>
    <row r="114" spans="1:9" x14ac:dyDescent="0.25">
      <c r="A114" s="2">
        <v>20</v>
      </c>
      <c r="B114" s="2" t="s">
        <v>120</v>
      </c>
      <c r="C114" s="2" t="s">
        <v>99</v>
      </c>
      <c r="D114" s="2">
        <v>0</v>
      </c>
      <c r="E114" s="2">
        <v>5.2</v>
      </c>
      <c r="F114" s="2">
        <v>6</v>
      </c>
      <c r="G114" s="2">
        <f t="shared" si="15"/>
        <v>5.6</v>
      </c>
      <c r="H114" s="19" t="str">
        <f t="shared" si="16"/>
        <v>1.9-20</v>
      </c>
      <c r="I114" s="2" t="str">
        <f t="shared" si="17"/>
        <v>ლ</v>
      </c>
    </row>
    <row r="115" spans="1:9" x14ac:dyDescent="0.25">
      <c r="A115" s="2">
        <v>21</v>
      </c>
      <c r="B115" s="2" t="s">
        <v>118</v>
      </c>
      <c r="C115" s="2" t="s">
        <v>99</v>
      </c>
      <c r="D115" s="2">
        <v>0</v>
      </c>
      <c r="E115" s="2">
        <v>2.9</v>
      </c>
      <c r="F115" s="2">
        <v>2.9</v>
      </c>
      <c r="G115" s="2">
        <f t="shared" si="15"/>
        <v>2.9</v>
      </c>
      <c r="H115" s="19" t="str">
        <f t="shared" si="16"/>
        <v>1.9-21</v>
      </c>
      <c r="I115" s="2" t="str">
        <f t="shared" si="17"/>
        <v>ლ</v>
      </c>
    </row>
    <row r="116" spans="1:9" x14ac:dyDescent="0.25">
      <c r="A116" s="2">
        <v>22</v>
      </c>
      <c r="B116" s="2" t="s">
        <v>119</v>
      </c>
      <c r="C116" s="2" t="s">
        <v>99</v>
      </c>
      <c r="D116" s="2">
        <v>0</v>
      </c>
      <c r="E116" s="2">
        <v>3.6</v>
      </c>
      <c r="F116" s="2">
        <v>3.6</v>
      </c>
      <c r="G116" s="2">
        <f t="shared" si="15"/>
        <v>3.6</v>
      </c>
      <c r="H116" s="19" t="str">
        <f t="shared" si="16"/>
        <v>1.9-22</v>
      </c>
      <c r="I116" s="2" t="str">
        <f t="shared" si="17"/>
        <v>ლ</v>
      </c>
    </row>
    <row r="117" spans="1:9" x14ac:dyDescent="0.25">
      <c r="A117" s="2">
        <v>23</v>
      </c>
      <c r="B117" s="2" t="s">
        <v>121</v>
      </c>
      <c r="C117" s="2" t="s">
        <v>99</v>
      </c>
      <c r="D117" s="2">
        <v>0</v>
      </c>
      <c r="E117" s="2">
        <v>5.3</v>
      </c>
      <c r="F117" s="2">
        <v>5.3</v>
      </c>
      <c r="G117" s="2">
        <f t="shared" si="15"/>
        <v>5.3</v>
      </c>
      <c r="H117" s="19" t="str">
        <f t="shared" si="16"/>
        <v>1.9-23</v>
      </c>
      <c r="I117" s="2" t="str">
        <f t="shared" si="17"/>
        <v>ლ</v>
      </c>
    </row>
    <row r="118" spans="1:9" x14ac:dyDescent="0.25">
      <c r="A118" s="2">
        <v>24</v>
      </c>
      <c r="B118" s="2" t="s">
        <v>123</v>
      </c>
      <c r="C118" s="2" t="s">
        <v>99</v>
      </c>
      <c r="D118" s="2">
        <v>0</v>
      </c>
      <c r="E118" s="2">
        <v>5.4</v>
      </c>
      <c r="F118" s="2">
        <v>5.4</v>
      </c>
      <c r="G118" s="2">
        <f t="shared" si="15"/>
        <v>5.4</v>
      </c>
      <c r="H118" s="19" t="str">
        <f t="shared" si="16"/>
        <v>1.9-24</v>
      </c>
      <c r="I118" s="2" t="str">
        <f t="shared" si="17"/>
        <v>ლ</v>
      </c>
    </row>
    <row r="119" spans="1:9" x14ac:dyDescent="0.25">
      <c r="A119" s="2">
        <v>25</v>
      </c>
      <c r="B119" s="2" t="s">
        <v>124</v>
      </c>
      <c r="C119" s="2" t="s">
        <v>99</v>
      </c>
      <c r="D119" s="2">
        <v>0</v>
      </c>
      <c r="E119" s="2">
        <v>11.4</v>
      </c>
      <c r="F119" s="2">
        <v>11.4</v>
      </c>
      <c r="G119" s="2">
        <f t="shared" si="15"/>
        <v>11.4</v>
      </c>
      <c r="H119" s="19" t="str">
        <f t="shared" si="16"/>
        <v>1.9-25</v>
      </c>
      <c r="I119" s="2" t="str">
        <f t="shared" si="17"/>
        <v>ლ</v>
      </c>
    </row>
    <row r="120" spans="1:9" x14ac:dyDescent="0.25">
      <c r="A120" s="2"/>
      <c r="B120" s="2" t="s">
        <v>25</v>
      </c>
      <c r="C120" s="2"/>
      <c r="D120" s="2"/>
      <c r="E120" s="2"/>
      <c r="F120" s="2"/>
      <c r="G120" s="2">
        <f t="shared" si="15"/>
        <v>0</v>
      </c>
      <c r="H120" s="19"/>
      <c r="I120" s="2" t="str">
        <f t="shared" si="17"/>
        <v>ლ</v>
      </c>
    </row>
    <row r="121" spans="1:9" x14ac:dyDescent="0.25">
      <c r="A121" s="2">
        <v>57</v>
      </c>
      <c r="B121" s="2" t="s">
        <v>125</v>
      </c>
      <c r="C121" s="2" t="s">
        <v>66</v>
      </c>
      <c r="D121" s="2">
        <v>0</v>
      </c>
      <c r="E121" s="2">
        <v>0.4</v>
      </c>
      <c r="F121" s="2">
        <v>0.4</v>
      </c>
      <c r="G121" s="2">
        <f t="shared" si="15"/>
        <v>0.4</v>
      </c>
      <c r="H121" s="19" t="str">
        <f>"1.9-"&amp;A121</f>
        <v>1.9-57</v>
      </c>
      <c r="I121" s="2" t="str">
        <f t="shared" si="17"/>
        <v>ლ</v>
      </c>
    </row>
    <row r="122" spans="1:9" x14ac:dyDescent="0.25">
      <c r="A122" s="2"/>
      <c r="B122" s="2" t="s">
        <v>25</v>
      </c>
      <c r="C122" s="2"/>
      <c r="D122" s="2"/>
      <c r="E122" s="2"/>
      <c r="F122" s="2"/>
      <c r="G122" s="2">
        <f t="shared" si="15"/>
        <v>0</v>
      </c>
      <c r="H122" s="19"/>
      <c r="I122" s="2" t="str">
        <f t="shared" si="17"/>
        <v>ლ</v>
      </c>
    </row>
    <row r="123" spans="1:9" x14ac:dyDescent="0.25">
      <c r="A123" s="2">
        <v>65</v>
      </c>
      <c r="B123" s="2" t="s">
        <v>126</v>
      </c>
      <c r="C123" s="2" t="s">
        <v>99</v>
      </c>
      <c r="D123" s="2">
        <v>0</v>
      </c>
      <c r="E123" s="2">
        <v>38</v>
      </c>
      <c r="F123" s="2">
        <v>42</v>
      </c>
      <c r="G123" s="2">
        <f t="shared" si="15"/>
        <v>40</v>
      </c>
      <c r="H123" s="19" t="str">
        <f>"1.9-"&amp;A123</f>
        <v>1.9-65</v>
      </c>
      <c r="I123" s="2" t="str">
        <f t="shared" si="17"/>
        <v>ლ</v>
      </c>
    </row>
    <row r="124" spans="1:9" x14ac:dyDescent="0.25">
      <c r="A124" s="2">
        <v>66</v>
      </c>
      <c r="B124" s="2" t="s">
        <v>127</v>
      </c>
      <c r="C124" s="2" t="s">
        <v>14</v>
      </c>
      <c r="D124" s="2">
        <v>0</v>
      </c>
      <c r="E124" s="2">
        <v>135</v>
      </c>
      <c r="F124" s="2">
        <v>165</v>
      </c>
      <c r="G124" s="2">
        <f t="shared" si="15"/>
        <v>150</v>
      </c>
      <c r="H124" s="19" t="str">
        <f>"1.9-"&amp;A124</f>
        <v>1.9-66</v>
      </c>
      <c r="I124" s="2" t="str">
        <f t="shared" si="17"/>
        <v>ლ</v>
      </c>
    </row>
    <row r="125" spans="1:9" x14ac:dyDescent="0.25">
      <c r="A125" s="2"/>
      <c r="B125" s="2" t="s">
        <v>25</v>
      </c>
      <c r="C125" s="2"/>
      <c r="D125" s="2"/>
      <c r="E125" s="2"/>
      <c r="F125" s="2"/>
      <c r="G125" s="2">
        <f t="shared" si="15"/>
        <v>0</v>
      </c>
      <c r="H125" s="19"/>
      <c r="I125" s="2" t="str">
        <f t="shared" si="17"/>
        <v>ლ</v>
      </c>
    </row>
    <row r="126" spans="1:9" x14ac:dyDescent="0.25">
      <c r="A126" s="2">
        <v>68</v>
      </c>
      <c r="B126" s="2" t="s">
        <v>128</v>
      </c>
      <c r="C126" s="2" t="s">
        <v>28</v>
      </c>
      <c r="D126" s="2">
        <v>1</v>
      </c>
      <c r="E126" s="2">
        <v>2.4</v>
      </c>
      <c r="F126" s="2">
        <v>2.8</v>
      </c>
      <c r="G126" s="2">
        <f t="shared" si="15"/>
        <v>2.5999999999999996</v>
      </c>
      <c r="H126" s="19" t="str">
        <f>"1.9-"&amp;A126</f>
        <v>1.9-68</v>
      </c>
      <c r="I126" s="2" t="str">
        <f t="shared" si="17"/>
        <v>ლ</v>
      </c>
    </row>
    <row r="127" spans="1:9" x14ac:dyDescent="0.25">
      <c r="A127" s="2"/>
      <c r="B127" s="2" t="s">
        <v>25</v>
      </c>
      <c r="C127" s="2"/>
      <c r="D127" s="2"/>
      <c r="E127" s="2"/>
      <c r="F127" s="2"/>
      <c r="G127" s="2">
        <f t="shared" si="15"/>
        <v>0</v>
      </c>
      <c r="H127" s="19"/>
      <c r="I127" s="2" t="str">
        <f t="shared" si="17"/>
        <v>ლ</v>
      </c>
    </row>
    <row r="128" spans="1:9" x14ac:dyDescent="0.25">
      <c r="A128" s="2">
        <v>72</v>
      </c>
      <c r="B128" s="2" t="s">
        <v>129</v>
      </c>
      <c r="C128" s="2" t="s">
        <v>14</v>
      </c>
      <c r="D128" s="2">
        <v>19.2</v>
      </c>
      <c r="E128" s="2">
        <v>56.1</v>
      </c>
      <c r="F128" s="2">
        <v>56.1</v>
      </c>
      <c r="G128" s="2">
        <f t="shared" si="15"/>
        <v>56.1</v>
      </c>
      <c r="H128" s="19" t="str">
        <f>"1.9-"&amp;A128</f>
        <v>1.9-72</v>
      </c>
      <c r="I128" s="2" t="str">
        <f t="shared" si="17"/>
        <v>ლ</v>
      </c>
    </row>
    <row r="129" spans="1:9" x14ac:dyDescent="0.25">
      <c r="A129" s="2">
        <v>73</v>
      </c>
      <c r="B129" s="2" t="s">
        <v>130</v>
      </c>
      <c r="C129" s="2" t="s">
        <v>14</v>
      </c>
      <c r="D129" s="2">
        <v>23.2</v>
      </c>
      <c r="E129" s="2">
        <v>68.5</v>
      </c>
      <c r="F129" s="2">
        <v>68.5</v>
      </c>
      <c r="G129" s="2">
        <f t="shared" si="15"/>
        <v>68.5</v>
      </c>
      <c r="H129" s="19" t="str">
        <f>"1.9-"&amp;A129</f>
        <v>1.9-73</v>
      </c>
      <c r="I129" s="2" t="str">
        <f t="shared" si="17"/>
        <v>ლ</v>
      </c>
    </row>
    <row r="130" spans="1:9" x14ac:dyDescent="0.25">
      <c r="A130" s="2"/>
      <c r="B130" s="2" t="s">
        <v>25</v>
      </c>
      <c r="C130" s="2"/>
      <c r="D130" s="2"/>
      <c r="E130" s="2"/>
      <c r="F130" s="2"/>
      <c r="G130" s="2">
        <f t="shared" si="15"/>
        <v>0</v>
      </c>
      <c r="H130" s="19"/>
      <c r="I130" s="2" t="str">
        <f t="shared" si="17"/>
        <v>ლ</v>
      </c>
    </row>
    <row r="131" spans="1:9" ht="20.25" thickBot="1" x14ac:dyDescent="0.3">
      <c r="A131" s="2">
        <v>78</v>
      </c>
      <c r="B131" s="2" t="s">
        <v>131</v>
      </c>
      <c r="C131" s="2" t="s">
        <v>9</v>
      </c>
      <c r="D131" s="2">
        <v>1000</v>
      </c>
      <c r="E131" s="2">
        <v>1830</v>
      </c>
      <c r="F131" s="2">
        <v>1870</v>
      </c>
      <c r="G131" s="2">
        <f t="shared" si="15"/>
        <v>1850</v>
      </c>
      <c r="H131" s="19" t="str">
        <f>"1.9-"&amp;A131</f>
        <v>1.9-78</v>
      </c>
      <c r="I131" s="2" t="str">
        <f t="shared" si="17"/>
        <v>ლ</v>
      </c>
    </row>
    <row r="132" spans="1:9" ht="21" thickTop="1" thickBot="1" x14ac:dyDescent="0.3">
      <c r="A132" s="4"/>
      <c r="B132" s="4" t="s">
        <v>132</v>
      </c>
      <c r="C132" s="4"/>
      <c r="D132" s="4"/>
      <c r="E132" s="4"/>
      <c r="F132" s="4"/>
      <c r="G132" s="4"/>
      <c r="H132" s="7"/>
      <c r="I132" s="7" t="s">
        <v>682</v>
      </c>
    </row>
    <row r="133" spans="1:9" ht="20.25" thickTop="1" x14ac:dyDescent="0.25">
      <c r="A133" s="2">
        <v>1</v>
      </c>
      <c r="B133" s="2" t="s">
        <v>133</v>
      </c>
      <c r="C133" s="2" t="s">
        <v>28</v>
      </c>
      <c r="D133" s="2">
        <v>1</v>
      </c>
      <c r="E133" s="2">
        <v>2.5</v>
      </c>
      <c r="F133" s="2">
        <v>3.4</v>
      </c>
      <c r="G133" s="2">
        <f t="shared" ref="G133:G142" si="18">(E133+F133)/2</f>
        <v>2.95</v>
      </c>
      <c r="H133" s="19" t="str">
        <f>"1.10-"&amp;A133</f>
        <v>1.10-1</v>
      </c>
      <c r="I133" s="2" t="str">
        <f>$I$132</f>
        <v>სხ</v>
      </c>
    </row>
    <row r="134" spans="1:9" x14ac:dyDescent="0.25">
      <c r="A134" s="2">
        <v>2</v>
      </c>
      <c r="B134" s="2" t="s">
        <v>134</v>
      </c>
      <c r="C134" s="2" t="s">
        <v>28</v>
      </c>
      <c r="D134" s="2">
        <v>1</v>
      </c>
      <c r="E134" s="2">
        <v>2.2999999999999998</v>
      </c>
      <c r="F134" s="2">
        <v>2.2999999999999998</v>
      </c>
      <c r="G134" s="2">
        <f t="shared" si="18"/>
        <v>2.2999999999999998</v>
      </c>
      <c r="H134" s="19" t="str">
        <f>"1.10-"&amp;A134</f>
        <v>1.10-2</v>
      </c>
      <c r="I134" s="2" t="str">
        <f t="shared" ref="I134:I146" si="19">$I$132</f>
        <v>სხ</v>
      </c>
    </row>
    <row r="135" spans="1:9" x14ac:dyDescent="0.25">
      <c r="A135" s="2"/>
      <c r="B135" s="2" t="s">
        <v>25</v>
      </c>
      <c r="C135" s="2"/>
      <c r="D135" s="2"/>
      <c r="E135" s="2"/>
      <c r="F135" s="2"/>
      <c r="G135" s="2">
        <f t="shared" si="18"/>
        <v>0</v>
      </c>
      <c r="H135" s="19"/>
      <c r="I135" s="2" t="str">
        <f t="shared" si="19"/>
        <v>სხ</v>
      </c>
    </row>
    <row r="136" spans="1:9" x14ac:dyDescent="0.25">
      <c r="A136" s="2">
        <v>8</v>
      </c>
      <c r="B136" s="2" t="s">
        <v>135</v>
      </c>
      <c r="C136" s="2" t="s">
        <v>28</v>
      </c>
      <c r="D136" s="2">
        <v>1</v>
      </c>
      <c r="E136" s="2">
        <v>5.8</v>
      </c>
      <c r="F136" s="2">
        <v>6.2</v>
      </c>
      <c r="G136" s="2">
        <f t="shared" si="18"/>
        <v>6</v>
      </c>
      <c r="H136" s="19" t="str">
        <f>"1.10-"&amp;A136</f>
        <v>1.10-8</v>
      </c>
      <c r="I136" s="2" t="str">
        <f t="shared" si="19"/>
        <v>სხ</v>
      </c>
    </row>
    <row r="137" spans="1:9" x14ac:dyDescent="0.25">
      <c r="A137" s="2"/>
      <c r="B137" s="2" t="s">
        <v>25</v>
      </c>
      <c r="C137" s="2"/>
      <c r="D137" s="2"/>
      <c r="E137" s="2"/>
      <c r="F137" s="2"/>
      <c r="G137" s="2">
        <f t="shared" si="18"/>
        <v>0</v>
      </c>
      <c r="H137" s="19"/>
      <c r="I137" s="2" t="str">
        <f t="shared" si="19"/>
        <v>სხ</v>
      </c>
    </row>
    <row r="138" spans="1:9" x14ac:dyDescent="0.25">
      <c r="A138" s="2">
        <v>13</v>
      </c>
      <c r="B138" s="2" t="s">
        <v>136</v>
      </c>
      <c r="C138" s="2" t="s">
        <v>28</v>
      </c>
      <c r="D138" s="2">
        <v>1</v>
      </c>
      <c r="E138" s="2">
        <v>3.4</v>
      </c>
      <c r="F138" s="2">
        <v>3.4</v>
      </c>
      <c r="G138" s="2">
        <f t="shared" si="18"/>
        <v>3.4</v>
      </c>
      <c r="H138" s="19" t="str">
        <f>"1.10-"&amp;A138</f>
        <v>1.10-13</v>
      </c>
      <c r="I138" s="2" t="str">
        <f t="shared" si="19"/>
        <v>სხ</v>
      </c>
    </row>
    <row r="139" spans="1:9" x14ac:dyDescent="0.25">
      <c r="A139" s="2">
        <v>14</v>
      </c>
      <c r="B139" s="2" t="s">
        <v>137</v>
      </c>
      <c r="C139" s="2" t="s">
        <v>28</v>
      </c>
      <c r="D139" s="2">
        <v>1</v>
      </c>
      <c r="E139" s="2">
        <v>3.7</v>
      </c>
      <c r="F139" s="2">
        <v>3.7</v>
      </c>
      <c r="G139" s="2">
        <f t="shared" si="18"/>
        <v>3.7</v>
      </c>
      <c r="H139" s="19" t="str">
        <f>"1.10-"&amp;A139</f>
        <v>1.10-14</v>
      </c>
      <c r="I139" s="2" t="str">
        <f t="shared" si="19"/>
        <v>სხ</v>
      </c>
    </row>
    <row r="140" spans="1:9" x14ac:dyDescent="0.25">
      <c r="A140" s="2">
        <v>15</v>
      </c>
      <c r="B140" s="2" t="s">
        <v>138</v>
      </c>
      <c r="C140" s="2" t="s">
        <v>28</v>
      </c>
      <c r="D140" s="2">
        <v>1</v>
      </c>
      <c r="E140" s="2">
        <v>3.8</v>
      </c>
      <c r="F140" s="2">
        <v>3.8</v>
      </c>
      <c r="G140" s="2">
        <f t="shared" si="18"/>
        <v>3.8</v>
      </c>
      <c r="H140" s="19" t="str">
        <f>"1.10-"&amp;A140</f>
        <v>1.10-15</v>
      </c>
      <c r="I140" s="2" t="str">
        <f t="shared" si="19"/>
        <v>სხ</v>
      </c>
    </row>
    <row r="141" spans="1:9" x14ac:dyDescent="0.25">
      <c r="A141" s="2">
        <v>16</v>
      </c>
      <c r="B141" s="2" t="s">
        <v>139</v>
      </c>
      <c r="C141" s="2" t="s">
        <v>28</v>
      </c>
      <c r="D141" s="2">
        <v>1</v>
      </c>
      <c r="E141" s="2">
        <v>2.9</v>
      </c>
      <c r="F141" s="2">
        <v>3.2</v>
      </c>
      <c r="G141" s="2">
        <f t="shared" si="18"/>
        <v>3.05</v>
      </c>
      <c r="H141" s="19" t="str">
        <f>"1.10-"&amp;A141</f>
        <v>1.10-16</v>
      </c>
      <c r="I141" s="2" t="str">
        <f t="shared" si="19"/>
        <v>სხ</v>
      </c>
    </row>
    <row r="142" spans="1:9" x14ac:dyDescent="0.25">
      <c r="A142" s="2">
        <v>17</v>
      </c>
      <c r="B142" s="2" t="s">
        <v>140</v>
      </c>
      <c r="C142" s="2" t="s">
        <v>28</v>
      </c>
      <c r="D142" s="2">
        <v>1</v>
      </c>
      <c r="E142" s="2">
        <v>2.5</v>
      </c>
      <c r="F142" s="2">
        <v>2.9</v>
      </c>
      <c r="G142" s="2">
        <f t="shared" si="18"/>
        <v>2.7</v>
      </c>
      <c r="H142" s="19" t="str">
        <f>"1.10-"&amp;A142</f>
        <v>1.10-17</v>
      </c>
      <c r="I142" s="2" t="str">
        <f t="shared" si="19"/>
        <v>სხ</v>
      </c>
    </row>
    <row r="143" spans="1:9" x14ac:dyDescent="0.25">
      <c r="A143" s="2"/>
      <c r="B143" s="2" t="s">
        <v>25</v>
      </c>
      <c r="C143" s="2"/>
      <c r="D143" s="2"/>
      <c r="E143" s="2"/>
      <c r="F143" s="2"/>
      <c r="G143" s="2"/>
      <c r="H143" s="19"/>
      <c r="I143" s="2" t="str">
        <f t="shared" si="19"/>
        <v>სხ</v>
      </c>
    </row>
    <row r="144" spans="1:9" x14ac:dyDescent="0.25">
      <c r="A144" s="2">
        <v>22</v>
      </c>
      <c r="B144" s="2" t="s">
        <v>141</v>
      </c>
      <c r="C144" s="2" t="s">
        <v>28</v>
      </c>
      <c r="D144" s="2">
        <v>1</v>
      </c>
      <c r="E144" s="2">
        <v>3</v>
      </c>
      <c r="F144" s="2">
        <v>3.5</v>
      </c>
      <c r="G144" s="2">
        <f>(E144+F144)/2</f>
        <v>3.25</v>
      </c>
      <c r="H144" s="19" t="str">
        <f>"1.10-"&amp;A144</f>
        <v>1.10-22</v>
      </c>
      <c r="I144" s="2" t="str">
        <f t="shared" si="19"/>
        <v>სხ</v>
      </c>
    </row>
    <row r="145" spans="1:9" x14ac:dyDescent="0.25">
      <c r="A145" s="2">
        <v>23</v>
      </c>
      <c r="B145" s="2" t="s">
        <v>142</v>
      </c>
      <c r="C145" s="2" t="s">
        <v>28</v>
      </c>
      <c r="D145" s="2">
        <v>1</v>
      </c>
      <c r="E145" s="2">
        <v>3.2</v>
      </c>
      <c r="F145" s="2">
        <v>4.5</v>
      </c>
      <c r="G145" s="2">
        <f>(E145+F145)/2</f>
        <v>3.85</v>
      </c>
      <c r="H145" s="19" t="str">
        <f>"1.10-"&amp;A145</f>
        <v>1.10-23</v>
      </c>
      <c r="I145" s="2" t="str">
        <f t="shared" si="19"/>
        <v>სხ</v>
      </c>
    </row>
    <row r="146" spans="1:9" ht="20.25" thickBot="1" x14ac:dyDescent="0.3">
      <c r="A146" s="2"/>
      <c r="B146" s="2" t="s">
        <v>25</v>
      </c>
      <c r="C146" s="2"/>
      <c r="D146" s="2"/>
      <c r="E146" s="2"/>
      <c r="F146" s="2"/>
      <c r="G146" s="2"/>
      <c r="H146" s="19"/>
      <c r="I146" s="2" t="str">
        <f t="shared" si="19"/>
        <v>სხ</v>
      </c>
    </row>
    <row r="147" spans="1:9" ht="21" thickTop="1" thickBot="1" x14ac:dyDescent="0.3">
      <c r="A147" s="4"/>
      <c r="B147" s="4" t="s">
        <v>143</v>
      </c>
      <c r="C147" s="4"/>
      <c r="D147" s="4"/>
      <c r="E147" s="4"/>
      <c r="F147" s="4"/>
      <c r="G147" s="4"/>
      <c r="H147" s="7"/>
      <c r="I147" s="7" t="s">
        <v>460</v>
      </c>
    </row>
    <row r="148" spans="1:9" ht="20.25" thickTop="1" x14ac:dyDescent="0.25">
      <c r="A148" s="2">
        <v>1</v>
      </c>
      <c r="B148" s="2" t="s">
        <v>144</v>
      </c>
      <c r="C148" s="2" t="s">
        <v>9</v>
      </c>
      <c r="D148" s="2">
        <v>1000</v>
      </c>
      <c r="E148" s="2">
        <v>1920</v>
      </c>
      <c r="F148" s="2">
        <v>1920</v>
      </c>
      <c r="G148" s="2">
        <f>(E148+F148)/2</f>
        <v>1920</v>
      </c>
      <c r="H148" s="19" t="str">
        <f>"2.1-"&amp;A148</f>
        <v>2.1-1</v>
      </c>
      <c r="I148" s="2" t="str">
        <f>$I$147</f>
        <v>ლ</v>
      </c>
    </row>
    <row r="149" spans="1:9" x14ac:dyDescent="0.25">
      <c r="A149" s="2"/>
      <c r="B149" s="2" t="s">
        <v>25</v>
      </c>
      <c r="C149" s="2"/>
      <c r="D149" s="2"/>
      <c r="E149" s="2"/>
      <c r="F149" s="2"/>
      <c r="G149" s="2"/>
      <c r="H149" s="19"/>
      <c r="I149" s="2" t="str">
        <f t="shared" ref="I149:I239" si="20">$I$147</f>
        <v>ლ</v>
      </c>
    </row>
    <row r="150" spans="1:9" x14ac:dyDescent="0.25">
      <c r="A150" s="2">
        <v>48</v>
      </c>
      <c r="B150" s="2" t="s">
        <v>1237</v>
      </c>
      <c r="C150" s="2" t="s">
        <v>595</v>
      </c>
      <c r="D150" s="2">
        <v>0</v>
      </c>
      <c r="E150" s="2">
        <v>8.1999999999999993</v>
      </c>
      <c r="F150" s="2">
        <v>8.1999999999999993</v>
      </c>
      <c r="G150" s="2">
        <f>(E150+F150)/2</f>
        <v>8.1999999999999993</v>
      </c>
      <c r="H150" s="19" t="str">
        <f>"2.1-"&amp;A150</f>
        <v>2.1-48</v>
      </c>
      <c r="I150" s="2" t="s">
        <v>460</v>
      </c>
    </row>
    <row r="151" spans="1:9" x14ac:dyDescent="0.25">
      <c r="A151" s="2">
        <v>49</v>
      </c>
      <c r="B151" s="2" t="s">
        <v>1238</v>
      </c>
      <c r="C151" s="2" t="s">
        <v>595</v>
      </c>
      <c r="D151" s="2">
        <v>5.4</v>
      </c>
      <c r="E151" s="2">
        <v>9.6</v>
      </c>
      <c r="F151" s="2">
        <v>9.6</v>
      </c>
      <c r="G151" s="2">
        <f t="shared" ref="G151:G214" si="21">(E151+F151)/2</f>
        <v>9.6</v>
      </c>
      <c r="H151" s="19" t="str">
        <f t="shared" ref="H151:H202" si="22">"2.1-"&amp;A151</f>
        <v>2.1-49</v>
      </c>
      <c r="I151" s="2" t="s">
        <v>460</v>
      </c>
    </row>
    <row r="152" spans="1:9" x14ac:dyDescent="0.25">
      <c r="A152" s="2">
        <v>50</v>
      </c>
      <c r="B152" s="2" t="s">
        <v>1239</v>
      </c>
      <c r="C152" s="2" t="s">
        <v>595</v>
      </c>
      <c r="D152" s="2">
        <v>6.26</v>
      </c>
      <c r="E152" s="2">
        <v>11.6</v>
      </c>
      <c r="F152" s="2">
        <v>11.6</v>
      </c>
      <c r="G152" s="2">
        <f t="shared" si="21"/>
        <v>11.6</v>
      </c>
      <c r="H152" s="19" t="str">
        <f t="shared" si="22"/>
        <v>2.1-50</v>
      </c>
      <c r="I152" s="2" t="s">
        <v>460</v>
      </c>
    </row>
    <row r="153" spans="1:9" x14ac:dyDescent="0.25">
      <c r="A153" s="2">
        <v>51</v>
      </c>
      <c r="B153" s="2" t="s">
        <v>1240</v>
      </c>
      <c r="C153" s="2" t="s">
        <v>595</v>
      </c>
      <c r="D153" s="2">
        <v>7.1</v>
      </c>
      <c r="E153" s="2">
        <v>12.4</v>
      </c>
      <c r="F153" s="2">
        <v>12.4</v>
      </c>
      <c r="G153" s="2">
        <f t="shared" si="21"/>
        <v>12.4</v>
      </c>
      <c r="H153" s="19" t="str">
        <f t="shared" si="22"/>
        <v>2.1-51</v>
      </c>
      <c r="I153" s="2" t="s">
        <v>460</v>
      </c>
    </row>
    <row r="154" spans="1:9" x14ac:dyDescent="0.25">
      <c r="A154" s="2">
        <v>52</v>
      </c>
      <c r="B154" s="2" t="s">
        <v>1242</v>
      </c>
      <c r="C154" s="2" t="s">
        <v>595</v>
      </c>
      <c r="D154" s="2">
        <v>5.92</v>
      </c>
      <c r="E154" s="2">
        <v>11.2</v>
      </c>
      <c r="F154" s="2">
        <v>11.2</v>
      </c>
      <c r="G154" s="2">
        <f t="shared" si="21"/>
        <v>11.2</v>
      </c>
      <c r="H154" s="19" t="str">
        <f t="shared" si="22"/>
        <v>2.1-52</v>
      </c>
      <c r="I154" s="2" t="s">
        <v>460</v>
      </c>
    </row>
    <row r="155" spans="1:9" x14ac:dyDescent="0.25">
      <c r="A155" s="2">
        <v>53</v>
      </c>
      <c r="B155" s="2" t="s">
        <v>1241</v>
      </c>
      <c r="C155" s="2" t="s">
        <v>595</v>
      </c>
      <c r="D155" s="2">
        <v>9.6199999999999992</v>
      </c>
      <c r="E155" s="2">
        <v>17.2</v>
      </c>
      <c r="F155" s="2">
        <v>17.2</v>
      </c>
      <c r="G155" s="2">
        <f t="shared" si="21"/>
        <v>17.2</v>
      </c>
      <c r="H155" s="19" t="str">
        <f t="shared" si="22"/>
        <v>2.1-53</v>
      </c>
      <c r="I155" s="2" t="s">
        <v>460</v>
      </c>
    </row>
    <row r="156" spans="1:9" x14ac:dyDescent="0.25">
      <c r="A156" s="2">
        <v>54</v>
      </c>
      <c r="B156" s="2" t="s">
        <v>1243</v>
      </c>
      <c r="C156" s="2" t="s">
        <v>595</v>
      </c>
      <c r="D156" s="2">
        <v>0</v>
      </c>
      <c r="E156" s="2">
        <v>10</v>
      </c>
      <c r="F156" s="2">
        <v>10</v>
      </c>
      <c r="G156" s="2">
        <f t="shared" si="21"/>
        <v>10</v>
      </c>
      <c r="H156" s="19" t="str">
        <f t="shared" si="22"/>
        <v>2.1-54</v>
      </c>
      <c r="I156" s="2" t="s">
        <v>460</v>
      </c>
    </row>
    <row r="157" spans="1:9" x14ac:dyDescent="0.25">
      <c r="A157" s="2">
        <v>55</v>
      </c>
      <c r="B157" s="2" t="s">
        <v>1244</v>
      </c>
      <c r="C157" s="2" t="s">
        <v>595</v>
      </c>
      <c r="D157" s="2">
        <v>6.36</v>
      </c>
      <c r="E157" s="2">
        <v>11.1</v>
      </c>
      <c r="F157" s="2">
        <v>11.1</v>
      </c>
      <c r="G157" s="2">
        <f t="shared" si="21"/>
        <v>11.1</v>
      </c>
      <c r="H157" s="19" t="str">
        <f t="shared" si="22"/>
        <v>2.1-55</v>
      </c>
      <c r="I157" s="2" t="s">
        <v>460</v>
      </c>
    </row>
    <row r="158" spans="1:9" x14ac:dyDescent="0.25">
      <c r="A158" s="2">
        <v>56</v>
      </c>
      <c r="B158" s="2" t="s">
        <v>1245</v>
      </c>
      <c r="C158" s="2" t="s">
        <v>595</v>
      </c>
      <c r="D158" s="2">
        <v>7.38</v>
      </c>
      <c r="E158" s="2">
        <v>13.7</v>
      </c>
      <c r="F158" s="2">
        <v>13.7</v>
      </c>
      <c r="G158" s="2">
        <f t="shared" si="21"/>
        <v>13.7</v>
      </c>
      <c r="H158" s="19" t="str">
        <f t="shared" si="22"/>
        <v>2.1-56</v>
      </c>
      <c r="I158" s="2" t="s">
        <v>460</v>
      </c>
    </row>
    <row r="159" spans="1:9" x14ac:dyDescent="0.25">
      <c r="A159" s="2">
        <v>57</v>
      </c>
      <c r="B159" s="2" t="s">
        <v>1246</v>
      </c>
      <c r="C159" s="2" t="s">
        <v>595</v>
      </c>
      <c r="D159" s="2">
        <v>8.4</v>
      </c>
      <c r="E159" s="2">
        <v>15.3</v>
      </c>
      <c r="F159" s="2">
        <v>15.3</v>
      </c>
      <c r="G159" s="2">
        <f t="shared" si="21"/>
        <v>15.3</v>
      </c>
      <c r="H159" s="19" t="str">
        <f t="shared" si="22"/>
        <v>2.1-57</v>
      </c>
      <c r="I159" s="2" t="s">
        <v>460</v>
      </c>
    </row>
    <row r="160" spans="1:9" x14ac:dyDescent="0.25">
      <c r="A160" s="2">
        <v>58</v>
      </c>
      <c r="B160" s="2" t="s">
        <v>1247</v>
      </c>
      <c r="C160" s="2" t="s">
        <v>595</v>
      </c>
      <c r="D160" s="2">
        <v>0</v>
      </c>
      <c r="E160" s="2">
        <v>11</v>
      </c>
      <c r="F160" s="2">
        <v>11</v>
      </c>
      <c r="G160" s="2">
        <f t="shared" si="21"/>
        <v>11</v>
      </c>
      <c r="H160" s="19" t="str">
        <f t="shared" si="22"/>
        <v>2.1-58</v>
      </c>
      <c r="I160" s="2" t="s">
        <v>460</v>
      </c>
    </row>
    <row r="161" spans="1:9" x14ac:dyDescent="0.25">
      <c r="A161" s="2">
        <v>59</v>
      </c>
      <c r="B161" s="2" t="s">
        <v>1248</v>
      </c>
      <c r="C161" s="2" t="s">
        <v>595</v>
      </c>
      <c r="D161" s="2">
        <v>7.32</v>
      </c>
      <c r="E161" s="2">
        <v>13</v>
      </c>
      <c r="F161" s="2">
        <v>13</v>
      </c>
      <c r="G161" s="2">
        <f t="shared" si="21"/>
        <v>13</v>
      </c>
      <c r="H161" s="19" t="str">
        <f t="shared" si="22"/>
        <v>2.1-59</v>
      </c>
      <c r="I161" s="2" t="s">
        <v>460</v>
      </c>
    </row>
    <row r="162" spans="1:9" x14ac:dyDescent="0.25">
      <c r="A162" s="2">
        <v>60</v>
      </c>
      <c r="B162" s="2" t="s">
        <v>1249</v>
      </c>
      <c r="C162" s="2" t="s">
        <v>595</v>
      </c>
      <c r="D162" s="2">
        <v>8.5</v>
      </c>
      <c r="E162" s="2">
        <v>14.4</v>
      </c>
      <c r="F162" s="2">
        <v>14.4</v>
      </c>
      <c r="G162" s="2">
        <f t="shared" si="21"/>
        <v>14.4</v>
      </c>
      <c r="H162" s="19" t="str">
        <f t="shared" si="22"/>
        <v>2.1-60</v>
      </c>
      <c r="I162" s="2" t="s">
        <v>460</v>
      </c>
    </row>
    <row r="163" spans="1:9" x14ac:dyDescent="0.25">
      <c r="A163" s="2">
        <v>61</v>
      </c>
      <c r="B163" s="2" t="s">
        <v>1250</v>
      </c>
      <c r="C163" s="2" t="s">
        <v>595</v>
      </c>
      <c r="D163" s="2">
        <v>9.77</v>
      </c>
      <c r="E163" s="2">
        <v>17.3</v>
      </c>
      <c r="F163" s="2">
        <v>17.3</v>
      </c>
      <c r="G163" s="2">
        <f t="shared" si="21"/>
        <v>17.3</v>
      </c>
      <c r="H163" s="19" t="str">
        <f t="shared" si="22"/>
        <v>2.1-61</v>
      </c>
      <c r="I163" s="2" t="s">
        <v>460</v>
      </c>
    </row>
    <row r="164" spans="1:9" x14ac:dyDescent="0.25">
      <c r="A164" s="2">
        <v>62</v>
      </c>
      <c r="B164" s="2" t="s">
        <v>1251</v>
      </c>
      <c r="C164" s="2" t="s">
        <v>595</v>
      </c>
      <c r="D164" s="2">
        <v>7.77</v>
      </c>
      <c r="E164" s="2">
        <v>12.1</v>
      </c>
      <c r="F164" s="2">
        <v>12.1</v>
      </c>
      <c r="G164" s="2">
        <f t="shared" si="21"/>
        <v>12.1</v>
      </c>
      <c r="H164" s="19" t="str">
        <f t="shared" si="22"/>
        <v>2.1-62</v>
      </c>
      <c r="I164" s="2" t="s">
        <v>460</v>
      </c>
    </row>
    <row r="165" spans="1:9" x14ac:dyDescent="0.25">
      <c r="A165" s="2">
        <v>63</v>
      </c>
      <c r="B165" s="2" t="s">
        <v>1252</v>
      </c>
      <c r="C165" s="2" t="s">
        <v>595</v>
      </c>
      <c r="D165" s="2">
        <v>9.02</v>
      </c>
      <c r="E165" s="2">
        <v>15.7</v>
      </c>
      <c r="F165" s="2">
        <v>15.7</v>
      </c>
      <c r="G165" s="2">
        <f t="shared" si="21"/>
        <v>15.7</v>
      </c>
      <c r="H165" s="19" t="str">
        <f t="shared" si="22"/>
        <v>2.1-63</v>
      </c>
      <c r="I165" s="2" t="s">
        <v>460</v>
      </c>
    </row>
    <row r="166" spans="1:9" x14ac:dyDescent="0.25">
      <c r="A166" s="2">
        <v>64</v>
      </c>
      <c r="B166" s="2" t="s">
        <v>1253</v>
      </c>
      <c r="C166" s="2" t="s">
        <v>595</v>
      </c>
      <c r="D166" s="2">
        <v>10.26</v>
      </c>
      <c r="E166" s="2">
        <v>16.399999999999999</v>
      </c>
      <c r="F166" s="2">
        <v>16.399999999999999</v>
      </c>
      <c r="G166" s="2">
        <f t="shared" si="21"/>
        <v>16.399999999999999</v>
      </c>
      <c r="H166" s="19" t="str">
        <f t="shared" si="22"/>
        <v>2.1-64</v>
      </c>
      <c r="I166" s="2" t="s">
        <v>460</v>
      </c>
    </row>
    <row r="167" spans="1:9" x14ac:dyDescent="0.25">
      <c r="A167" s="2">
        <v>65</v>
      </c>
      <c r="B167" s="2" t="s">
        <v>1254</v>
      </c>
      <c r="C167" s="2" t="s">
        <v>595</v>
      </c>
      <c r="D167" s="2">
        <v>11.49</v>
      </c>
      <c r="E167" s="2">
        <v>19</v>
      </c>
      <c r="F167" s="2">
        <v>19</v>
      </c>
      <c r="G167" s="2">
        <f t="shared" si="21"/>
        <v>19</v>
      </c>
      <c r="H167" s="19" t="str">
        <f t="shared" si="22"/>
        <v>2.1-65</v>
      </c>
      <c r="I167" s="2" t="s">
        <v>460</v>
      </c>
    </row>
    <row r="168" spans="1:9" x14ac:dyDescent="0.25">
      <c r="A168" s="2">
        <v>66</v>
      </c>
      <c r="B168" s="2" t="s">
        <v>1255</v>
      </c>
      <c r="C168" s="2" t="s">
        <v>595</v>
      </c>
      <c r="D168" s="2">
        <v>8.2100000000000009</v>
      </c>
      <c r="E168" s="2">
        <v>13.8</v>
      </c>
      <c r="F168" s="2">
        <v>13.8</v>
      </c>
      <c r="G168" s="2">
        <f t="shared" si="21"/>
        <v>13.8</v>
      </c>
      <c r="H168" s="19" t="str">
        <f t="shared" si="22"/>
        <v>2.1-66</v>
      </c>
      <c r="I168" s="2" t="s">
        <v>460</v>
      </c>
    </row>
    <row r="169" spans="1:9" x14ac:dyDescent="0.25">
      <c r="A169" s="2">
        <v>67</v>
      </c>
      <c r="B169" s="2" t="s">
        <v>1256</v>
      </c>
      <c r="C169" s="2" t="s">
        <v>595</v>
      </c>
      <c r="D169" s="2">
        <v>9.5399999999999991</v>
      </c>
      <c r="E169" s="2">
        <v>16.2</v>
      </c>
      <c r="F169" s="2">
        <v>16.2</v>
      </c>
      <c r="G169" s="2">
        <f t="shared" si="21"/>
        <v>16.2</v>
      </c>
      <c r="H169" s="19" t="str">
        <f t="shared" si="22"/>
        <v>2.1-67</v>
      </c>
      <c r="I169" s="2" t="s">
        <v>460</v>
      </c>
    </row>
    <row r="170" spans="1:9" x14ac:dyDescent="0.25">
      <c r="A170" s="2">
        <v>68</v>
      </c>
      <c r="B170" s="2" t="s">
        <v>1257</v>
      </c>
      <c r="C170" s="2" t="s">
        <v>595</v>
      </c>
      <c r="D170" s="2">
        <v>10.85</v>
      </c>
      <c r="E170" s="2">
        <v>18.3</v>
      </c>
      <c r="F170" s="2">
        <v>18.3</v>
      </c>
      <c r="G170" s="2">
        <f t="shared" si="21"/>
        <v>18.3</v>
      </c>
      <c r="H170" s="19" t="str">
        <f t="shared" si="22"/>
        <v>2.1-68</v>
      </c>
      <c r="I170" s="2" t="s">
        <v>460</v>
      </c>
    </row>
    <row r="171" spans="1:9" x14ac:dyDescent="0.25">
      <c r="A171" s="2">
        <v>69</v>
      </c>
      <c r="B171" s="2" t="s">
        <v>1258</v>
      </c>
      <c r="C171" s="2" t="s">
        <v>595</v>
      </c>
      <c r="D171" s="2">
        <v>12.15</v>
      </c>
      <c r="E171" s="2">
        <v>20</v>
      </c>
      <c r="F171" s="2">
        <v>20</v>
      </c>
      <c r="G171" s="2">
        <f t="shared" si="21"/>
        <v>20</v>
      </c>
      <c r="H171" s="19" t="str">
        <f t="shared" si="22"/>
        <v>2.1-69</v>
      </c>
      <c r="I171" s="2" t="s">
        <v>460</v>
      </c>
    </row>
    <row r="172" spans="1:9" x14ac:dyDescent="0.25">
      <c r="A172" s="2">
        <v>70</v>
      </c>
      <c r="B172" s="2" t="s">
        <v>1259</v>
      </c>
      <c r="C172" s="2" t="s">
        <v>595</v>
      </c>
      <c r="D172" s="2">
        <v>9.17</v>
      </c>
      <c r="E172" s="2">
        <v>15</v>
      </c>
      <c r="F172" s="2">
        <v>15</v>
      </c>
      <c r="G172" s="2">
        <f t="shared" si="21"/>
        <v>15</v>
      </c>
      <c r="H172" s="19" t="str">
        <f t="shared" si="22"/>
        <v>2.1-70</v>
      </c>
      <c r="I172" s="2" t="s">
        <v>460</v>
      </c>
    </row>
    <row r="173" spans="1:9" x14ac:dyDescent="0.25">
      <c r="A173" s="2">
        <v>71</v>
      </c>
      <c r="B173" s="2" t="s">
        <v>1260</v>
      </c>
      <c r="C173" s="2" t="s">
        <v>595</v>
      </c>
      <c r="D173" s="2">
        <v>10.56</v>
      </c>
      <c r="E173" s="2">
        <v>16</v>
      </c>
      <c r="F173" s="2">
        <v>16</v>
      </c>
      <c r="G173" s="2">
        <f t="shared" si="21"/>
        <v>16</v>
      </c>
      <c r="H173" s="19" t="str">
        <f t="shared" si="22"/>
        <v>2.1-71</v>
      </c>
      <c r="I173" s="2" t="s">
        <v>460</v>
      </c>
    </row>
    <row r="174" spans="1:9" x14ac:dyDescent="0.25">
      <c r="A174" s="2">
        <v>72</v>
      </c>
      <c r="B174" s="2" t="s">
        <v>1261</v>
      </c>
      <c r="C174" s="2" t="s">
        <v>595</v>
      </c>
      <c r="D174" s="2">
        <v>12.13</v>
      </c>
      <c r="E174" s="2">
        <v>20.100000000000001</v>
      </c>
      <c r="F174" s="2">
        <v>20.100000000000001</v>
      </c>
      <c r="G174" s="2">
        <f t="shared" si="21"/>
        <v>20.100000000000001</v>
      </c>
      <c r="H174" s="19" t="str">
        <f t="shared" si="22"/>
        <v>2.1-72</v>
      </c>
      <c r="I174" s="2" t="s">
        <v>460</v>
      </c>
    </row>
    <row r="175" spans="1:9" x14ac:dyDescent="0.25">
      <c r="A175" s="2">
        <v>73</v>
      </c>
      <c r="B175" s="2" t="s">
        <v>1262</v>
      </c>
      <c r="C175" s="2" t="s">
        <v>595</v>
      </c>
      <c r="D175" s="2">
        <v>13.59</v>
      </c>
      <c r="E175" s="2">
        <v>22.6</v>
      </c>
      <c r="F175" s="2">
        <v>22.6</v>
      </c>
      <c r="G175" s="2">
        <f t="shared" si="21"/>
        <v>22.6</v>
      </c>
      <c r="H175" s="19" t="str">
        <f t="shared" si="22"/>
        <v>2.1-73</v>
      </c>
      <c r="I175" s="2" t="s">
        <v>460</v>
      </c>
    </row>
    <row r="176" spans="1:9" x14ac:dyDescent="0.25">
      <c r="A176" s="2">
        <v>74</v>
      </c>
      <c r="B176" s="2" t="s">
        <v>1263</v>
      </c>
      <c r="C176" s="2" t="s">
        <v>595</v>
      </c>
      <c r="D176" s="2">
        <v>12.73</v>
      </c>
      <c r="E176" s="2">
        <v>23.8</v>
      </c>
      <c r="F176" s="2">
        <v>23.8</v>
      </c>
      <c r="G176" s="2">
        <f t="shared" si="21"/>
        <v>23.8</v>
      </c>
      <c r="H176" s="19" t="str">
        <f t="shared" si="22"/>
        <v>2.1-74</v>
      </c>
      <c r="I176" s="2" t="s">
        <v>460</v>
      </c>
    </row>
    <row r="177" spans="1:9" x14ac:dyDescent="0.25">
      <c r="A177" s="2">
        <v>75</v>
      </c>
      <c r="B177" s="2" t="s">
        <v>1264</v>
      </c>
      <c r="C177" s="2" t="s">
        <v>595</v>
      </c>
      <c r="D177" s="2">
        <v>10.14</v>
      </c>
      <c r="E177" s="2">
        <v>19.5</v>
      </c>
      <c r="F177" s="2">
        <v>19.5</v>
      </c>
      <c r="G177" s="2">
        <f t="shared" si="21"/>
        <v>19.5</v>
      </c>
      <c r="H177" s="19" t="str">
        <f t="shared" si="22"/>
        <v>2.1-75</v>
      </c>
      <c r="I177" s="2" t="s">
        <v>460</v>
      </c>
    </row>
    <row r="178" spans="1:9" x14ac:dyDescent="0.25">
      <c r="A178" s="2">
        <v>76</v>
      </c>
      <c r="B178" s="2" t="s">
        <v>1265</v>
      </c>
      <c r="C178" s="2" t="s">
        <v>595</v>
      </c>
      <c r="D178" s="2">
        <v>14.6</v>
      </c>
      <c r="E178" s="2">
        <v>26.3</v>
      </c>
      <c r="F178" s="2">
        <v>26.3</v>
      </c>
      <c r="G178" s="2">
        <f t="shared" si="21"/>
        <v>26.3</v>
      </c>
      <c r="H178" s="19" t="str">
        <f t="shared" si="22"/>
        <v>2.1-76</v>
      </c>
      <c r="I178" s="2" t="s">
        <v>460</v>
      </c>
    </row>
    <row r="179" spans="1:9" x14ac:dyDescent="0.25">
      <c r="A179" s="2">
        <v>77</v>
      </c>
      <c r="B179" s="2" t="s">
        <v>1266</v>
      </c>
      <c r="C179" s="2" t="s">
        <v>595</v>
      </c>
      <c r="D179" s="2">
        <v>18.100000000000001</v>
      </c>
      <c r="E179" s="2">
        <v>32.4</v>
      </c>
      <c r="F179" s="2">
        <v>32.4</v>
      </c>
      <c r="G179" s="2">
        <f t="shared" si="21"/>
        <v>32.4</v>
      </c>
      <c r="H179" s="19" t="str">
        <f t="shared" si="22"/>
        <v>2.1-77</v>
      </c>
      <c r="I179" s="2" t="s">
        <v>460</v>
      </c>
    </row>
    <row r="180" spans="1:9" x14ac:dyDescent="0.25">
      <c r="A180" s="2">
        <v>78</v>
      </c>
      <c r="B180" s="2" t="s">
        <v>1267</v>
      </c>
      <c r="C180" s="2" t="s">
        <v>595</v>
      </c>
      <c r="D180" s="2">
        <v>11.54</v>
      </c>
      <c r="E180" s="2">
        <v>21.1</v>
      </c>
      <c r="F180" s="2">
        <v>21.1</v>
      </c>
      <c r="G180" s="2">
        <f t="shared" si="21"/>
        <v>21.1</v>
      </c>
      <c r="H180" s="19" t="str">
        <f t="shared" si="22"/>
        <v>2.1-78</v>
      </c>
      <c r="I180" s="2" t="s">
        <v>460</v>
      </c>
    </row>
    <row r="181" spans="1:9" x14ac:dyDescent="0.25">
      <c r="A181" s="2">
        <v>79</v>
      </c>
      <c r="B181" s="2" t="s">
        <v>1268</v>
      </c>
      <c r="C181" s="2" t="s">
        <v>595</v>
      </c>
      <c r="D181" s="2">
        <v>15.3</v>
      </c>
      <c r="E181" s="2">
        <v>30.4</v>
      </c>
      <c r="F181" s="2">
        <v>30.4</v>
      </c>
      <c r="G181" s="2">
        <f t="shared" si="21"/>
        <v>30.4</v>
      </c>
      <c r="H181" s="19" t="str">
        <f t="shared" si="22"/>
        <v>2.1-79</v>
      </c>
      <c r="I181" s="2" t="s">
        <v>460</v>
      </c>
    </row>
    <row r="182" spans="1:9" x14ac:dyDescent="0.25">
      <c r="A182" s="2">
        <v>80</v>
      </c>
      <c r="B182" s="2" t="s">
        <v>1269</v>
      </c>
      <c r="C182" s="2" t="s">
        <v>595</v>
      </c>
      <c r="D182" s="2">
        <v>17.149999999999999</v>
      </c>
      <c r="E182" s="2">
        <v>36.4</v>
      </c>
      <c r="F182" s="2">
        <v>36.4</v>
      </c>
      <c r="G182" s="2">
        <f t="shared" si="21"/>
        <v>36.4</v>
      </c>
      <c r="H182" s="19" t="str">
        <f t="shared" si="22"/>
        <v>2.1-80</v>
      </c>
      <c r="I182" s="2" t="s">
        <v>460</v>
      </c>
    </row>
    <row r="183" spans="1:9" x14ac:dyDescent="0.25">
      <c r="A183" s="2">
        <v>81</v>
      </c>
      <c r="B183" s="2" t="s">
        <v>1270</v>
      </c>
      <c r="C183" s="2" t="s">
        <v>595</v>
      </c>
      <c r="D183" s="2">
        <v>16.18</v>
      </c>
      <c r="E183" s="2">
        <v>28.6</v>
      </c>
      <c r="F183" s="2">
        <v>28.6</v>
      </c>
      <c r="G183" s="2">
        <f t="shared" si="21"/>
        <v>28.6</v>
      </c>
      <c r="H183" s="19" t="str">
        <f t="shared" si="22"/>
        <v>2.1-81</v>
      </c>
      <c r="I183" s="2" t="s">
        <v>460</v>
      </c>
    </row>
    <row r="184" spans="1:9" x14ac:dyDescent="0.25">
      <c r="A184" s="2">
        <v>82</v>
      </c>
      <c r="B184" s="2" t="s">
        <v>1271</v>
      </c>
      <c r="C184" s="2" t="s">
        <v>595</v>
      </c>
      <c r="D184" s="2">
        <v>21.21</v>
      </c>
      <c r="E184" s="2">
        <v>36.9</v>
      </c>
      <c r="F184" s="2">
        <v>36.9</v>
      </c>
      <c r="G184" s="2">
        <f t="shared" si="21"/>
        <v>36.9</v>
      </c>
      <c r="H184" s="19" t="str">
        <f t="shared" si="22"/>
        <v>2.1-82</v>
      </c>
      <c r="I184" s="2" t="s">
        <v>460</v>
      </c>
    </row>
    <row r="185" spans="1:9" x14ac:dyDescent="0.25">
      <c r="A185" s="2">
        <v>83</v>
      </c>
      <c r="B185" s="2" t="s">
        <v>1272</v>
      </c>
      <c r="C185" s="2" t="s">
        <v>595</v>
      </c>
      <c r="D185" s="2">
        <v>23.8</v>
      </c>
      <c r="E185" s="2">
        <v>44.5</v>
      </c>
      <c r="F185" s="2">
        <v>44.5</v>
      </c>
      <c r="G185" s="2">
        <f t="shared" si="21"/>
        <v>44.5</v>
      </c>
      <c r="H185" s="19" t="str">
        <f t="shared" si="22"/>
        <v>2.1-83</v>
      </c>
      <c r="I185" s="2" t="s">
        <v>460</v>
      </c>
    </row>
    <row r="186" spans="1:9" x14ac:dyDescent="0.25">
      <c r="A186" s="2">
        <v>84</v>
      </c>
      <c r="B186" s="2" t="s">
        <v>1273</v>
      </c>
      <c r="C186" s="2" t="s">
        <v>595</v>
      </c>
      <c r="D186" s="2">
        <v>26.39</v>
      </c>
      <c r="E186" s="2">
        <v>45.3</v>
      </c>
      <c r="F186" s="2">
        <v>45.3</v>
      </c>
      <c r="G186" s="2">
        <f t="shared" si="21"/>
        <v>45.3</v>
      </c>
      <c r="H186" s="19" t="str">
        <f t="shared" si="22"/>
        <v>2.1-84</v>
      </c>
      <c r="I186" s="2" t="s">
        <v>460</v>
      </c>
    </row>
    <row r="187" spans="1:9" x14ac:dyDescent="0.25">
      <c r="A187" s="2">
        <v>85</v>
      </c>
      <c r="B187" s="2" t="s">
        <v>1275</v>
      </c>
      <c r="C187" s="2" t="s">
        <v>595</v>
      </c>
      <c r="D187" s="2">
        <v>26.54</v>
      </c>
      <c r="E187" s="2">
        <v>46.2</v>
      </c>
      <c r="F187" s="2">
        <v>46.2</v>
      </c>
      <c r="G187" s="2">
        <f t="shared" si="21"/>
        <v>46.2</v>
      </c>
      <c r="H187" s="19" t="str">
        <f t="shared" si="22"/>
        <v>2.1-85</v>
      </c>
      <c r="I187" s="2" t="s">
        <v>460</v>
      </c>
    </row>
    <row r="188" spans="1:9" x14ac:dyDescent="0.25">
      <c r="A188" s="2">
        <v>86</v>
      </c>
      <c r="B188" s="2" t="s">
        <v>1274</v>
      </c>
      <c r="C188" s="2" t="s">
        <v>595</v>
      </c>
      <c r="D188" s="2">
        <v>28.05</v>
      </c>
      <c r="E188" s="2">
        <v>59.3</v>
      </c>
      <c r="F188" s="2">
        <v>59.3</v>
      </c>
      <c r="G188" s="2">
        <f t="shared" si="21"/>
        <v>59.3</v>
      </c>
      <c r="H188" s="19" t="str">
        <f t="shared" si="22"/>
        <v>2.1-86</v>
      </c>
      <c r="I188" s="2" t="s">
        <v>460</v>
      </c>
    </row>
    <row r="189" spans="1:9" x14ac:dyDescent="0.25">
      <c r="A189" s="2">
        <v>87</v>
      </c>
      <c r="B189" s="2" t="s">
        <v>1277</v>
      </c>
      <c r="C189" s="2" t="s">
        <v>595</v>
      </c>
      <c r="D189" s="2">
        <v>0</v>
      </c>
      <c r="E189" s="2">
        <v>68.2</v>
      </c>
      <c r="F189" s="2">
        <v>68.2</v>
      </c>
      <c r="G189" s="2">
        <f t="shared" si="21"/>
        <v>68.2</v>
      </c>
      <c r="H189" s="19" t="str">
        <f t="shared" si="22"/>
        <v>2.1-87</v>
      </c>
      <c r="I189" s="2" t="s">
        <v>460</v>
      </c>
    </row>
    <row r="190" spans="1:9" x14ac:dyDescent="0.25">
      <c r="A190" s="2">
        <v>88</v>
      </c>
      <c r="B190" s="2" t="s">
        <v>1278</v>
      </c>
      <c r="C190" s="2" t="s">
        <v>595</v>
      </c>
      <c r="D190" s="2">
        <v>31.7</v>
      </c>
      <c r="E190" s="2">
        <v>58.9</v>
      </c>
      <c r="F190" s="2">
        <v>58.9</v>
      </c>
      <c r="G190" s="2">
        <f t="shared" si="21"/>
        <v>58.9</v>
      </c>
      <c r="H190" s="19" t="str">
        <f t="shared" si="22"/>
        <v>2.1-88</v>
      </c>
      <c r="I190" s="2" t="s">
        <v>460</v>
      </c>
    </row>
    <row r="191" spans="1:9" x14ac:dyDescent="0.25">
      <c r="A191" s="2">
        <v>89</v>
      </c>
      <c r="B191" s="2" t="s">
        <v>1279</v>
      </c>
      <c r="C191" s="2" t="s">
        <v>595</v>
      </c>
      <c r="D191" s="2">
        <v>39.5</v>
      </c>
      <c r="E191" s="2">
        <v>78.8</v>
      </c>
      <c r="F191" s="2">
        <v>78.8</v>
      </c>
      <c r="G191" s="2">
        <f t="shared" si="21"/>
        <v>78.8</v>
      </c>
      <c r="H191" s="19" t="str">
        <f t="shared" si="22"/>
        <v>2.1-89</v>
      </c>
      <c r="I191" s="2" t="s">
        <v>460</v>
      </c>
    </row>
    <row r="192" spans="1:9" x14ac:dyDescent="0.25">
      <c r="A192" s="2">
        <v>90</v>
      </c>
      <c r="B192" s="2" t="s">
        <v>1280</v>
      </c>
      <c r="C192" s="2" t="s">
        <v>595</v>
      </c>
      <c r="D192" s="2">
        <v>47.2</v>
      </c>
      <c r="E192" s="2">
        <v>89.8</v>
      </c>
      <c r="F192" s="2">
        <v>89.8</v>
      </c>
      <c r="G192" s="2">
        <f t="shared" si="21"/>
        <v>89.8</v>
      </c>
      <c r="H192" s="19" t="str">
        <f t="shared" si="22"/>
        <v>2.1-90</v>
      </c>
      <c r="I192" s="2" t="s">
        <v>460</v>
      </c>
    </row>
    <row r="193" spans="1:9" x14ac:dyDescent="0.25">
      <c r="A193" s="2">
        <v>91</v>
      </c>
      <c r="B193" s="2" t="s">
        <v>1281</v>
      </c>
      <c r="C193" s="2" t="s">
        <v>595</v>
      </c>
      <c r="D193" s="2">
        <v>36.799999999999997</v>
      </c>
      <c r="E193" s="2">
        <v>67</v>
      </c>
      <c r="F193" s="2">
        <v>67</v>
      </c>
      <c r="G193" s="2">
        <f t="shared" si="21"/>
        <v>67</v>
      </c>
      <c r="H193" s="19" t="str">
        <f t="shared" si="22"/>
        <v>2.1-91</v>
      </c>
      <c r="I193" s="2" t="s">
        <v>460</v>
      </c>
    </row>
    <row r="194" spans="1:9" x14ac:dyDescent="0.25">
      <c r="A194" s="2">
        <v>92</v>
      </c>
      <c r="B194" s="2" t="s">
        <v>1282</v>
      </c>
      <c r="C194" s="2" t="s">
        <v>595</v>
      </c>
      <c r="D194" s="2">
        <v>90.5</v>
      </c>
      <c r="E194" s="2">
        <v>152</v>
      </c>
      <c r="F194" s="2">
        <v>152</v>
      </c>
      <c r="G194" s="2">
        <f t="shared" si="21"/>
        <v>152</v>
      </c>
      <c r="H194" s="19" t="str">
        <f t="shared" si="22"/>
        <v>2.1-92</v>
      </c>
      <c r="I194" s="2" t="s">
        <v>460</v>
      </c>
    </row>
    <row r="195" spans="1:9" x14ac:dyDescent="0.25">
      <c r="A195" s="2">
        <v>93</v>
      </c>
      <c r="B195" s="2" t="s">
        <v>1283</v>
      </c>
      <c r="C195" s="2" t="s">
        <v>595</v>
      </c>
      <c r="D195" s="2">
        <v>41.6</v>
      </c>
      <c r="E195" s="2">
        <v>71</v>
      </c>
      <c r="F195" s="2">
        <v>71</v>
      </c>
      <c r="G195" s="2">
        <f t="shared" si="21"/>
        <v>71</v>
      </c>
      <c r="H195" s="19" t="str">
        <f t="shared" si="22"/>
        <v>2.1-93</v>
      </c>
      <c r="I195" s="2" t="s">
        <v>460</v>
      </c>
    </row>
    <row r="196" spans="1:9" x14ac:dyDescent="0.25">
      <c r="A196" s="2">
        <v>94</v>
      </c>
      <c r="B196" s="2" t="s">
        <v>1284</v>
      </c>
      <c r="C196" s="2" t="s">
        <v>595</v>
      </c>
      <c r="D196" s="2">
        <v>123</v>
      </c>
      <c r="E196" s="2">
        <v>209</v>
      </c>
      <c r="F196" s="2">
        <v>209</v>
      </c>
      <c r="G196" s="2">
        <f t="shared" si="21"/>
        <v>209</v>
      </c>
      <c r="H196" s="19" t="str">
        <f t="shared" si="22"/>
        <v>2.1-94</v>
      </c>
      <c r="I196" s="2" t="s">
        <v>460</v>
      </c>
    </row>
    <row r="197" spans="1:9" x14ac:dyDescent="0.25">
      <c r="A197" s="2">
        <v>95</v>
      </c>
      <c r="B197" s="2" t="s">
        <v>1285</v>
      </c>
      <c r="C197" s="2" t="s">
        <v>595</v>
      </c>
      <c r="D197" s="2">
        <v>62.2</v>
      </c>
      <c r="E197" s="2">
        <v>106.5</v>
      </c>
      <c r="F197" s="2">
        <v>106.5</v>
      </c>
      <c r="G197" s="2">
        <f t="shared" si="21"/>
        <v>106.5</v>
      </c>
      <c r="H197" s="19" t="str">
        <f t="shared" si="22"/>
        <v>2.1-95</v>
      </c>
      <c r="I197" s="2" t="s">
        <v>460</v>
      </c>
    </row>
    <row r="198" spans="1:9" x14ac:dyDescent="0.25">
      <c r="A198" s="2">
        <v>96</v>
      </c>
      <c r="B198" s="2" t="s">
        <v>1287</v>
      </c>
      <c r="C198" s="2" t="s">
        <v>595</v>
      </c>
      <c r="D198" s="2">
        <v>77.5</v>
      </c>
      <c r="E198" s="2">
        <v>145</v>
      </c>
      <c r="F198" s="2">
        <v>145</v>
      </c>
      <c r="G198" s="2">
        <f t="shared" si="21"/>
        <v>145</v>
      </c>
      <c r="H198" s="19" t="str">
        <f t="shared" si="22"/>
        <v>2.1-96</v>
      </c>
      <c r="I198" s="2" t="s">
        <v>460</v>
      </c>
    </row>
    <row r="199" spans="1:9" x14ac:dyDescent="0.25">
      <c r="A199" s="2">
        <v>97</v>
      </c>
      <c r="B199" s="2" t="s">
        <v>1286</v>
      </c>
      <c r="C199" s="2" t="s">
        <v>595</v>
      </c>
      <c r="D199" s="2">
        <v>153</v>
      </c>
      <c r="E199" s="2">
        <v>278</v>
      </c>
      <c r="F199" s="2">
        <v>278</v>
      </c>
      <c r="G199" s="2">
        <f t="shared" si="21"/>
        <v>278</v>
      </c>
      <c r="H199" s="19" t="str">
        <f t="shared" si="22"/>
        <v>2.1-97</v>
      </c>
      <c r="I199" s="2" t="s">
        <v>460</v>
      </c>
    </row>
    <row r="200" spans="1:9" x14ac:dyDescent="0.25">
      <c r="A200" s="2">
        <v>98</v>
      </c>
      <c r="B200" s="2" t="s">
        <v>1288</v>
      </c>
      <c r="C200" s="2" t="s">
        <v>595</v>
      </c>
      <c r="D200" s="2">
        <v>77.099999999999994</v>
      </c>
      <c r="E200" s="2">
        <v>141</v>
      </c>
      <c r="F200" s="2">
        <v>141</v>
      </c>
      <c r="G200" s="2">
        <f t="shared" si="21"/>
        <v>141</v>
      </c>
      <c r="H200" s="19" t="str">
        <f t="shared" si="22"/>
        <v>2.1-98</v>
      </c>
      <c r="I200" s="2" t="s">
        <v>460</v>
      </c>
    </row>
    <row r="201" spans="1:9" x14ac:dyDescent="0.25">
      <c r="A201" s="2">
        <v>99</v>
      </c>
      <c r="B201" s="2" t="s">
        <v>1289</v>
      </c>
      <c r="C201" s="2" t="s">
        <v>595</v>
      </c>
      <c r="D201" s="2">
        <v>108</v>
      </c>
      <c r="E201" s="2">
        <v>201</v>
      </c>
      <c r="F201" s="2">
        <v>201</v>
      </c>
      <c r="G201" s="2">
        <f t="shared" si="21"/>
        <v>201</v>
      </c>
      <c r="H201" s="19" t="str">
        <f t="shared" si="22"/>
        <v>2.1-99</v>
      </c>
      <c r="I201" s="2" t="s">
        <v>460</v>
      </c>
    </row>
    <row r="202" spans="1:9" ht="20.25" thickBot="1" x14ac:dyDescent="0.3">
      <c r="A202" s="2">
        <v>100</v>
      </c>
      <c r="B202" s="2" t="s">
        <v>1290</v>
      </c>
      <c r="C202" s="2" t="s">
        <v>595</v>
      </c>
      <c r="D202" s="2">
        <v>183</v>
      </c>
      <c r="E202" s="2">
        <v>341</v>
      </c>
      <c r="F202" s="2">
        <v>341</v>
      </c>
      <c r="G202" s="2">
        <f t="shared" si="21"/>
        <v>341</v>
      </c>
      <c r="H202" s="19" t="str">
        <f t="shared" si="22"/>
        <v>2.1-100</v>
      </c>
      <c r="I202" s="2" t="s">
        <v>460</v>
      </c>
    </row>
    <row r="203" spans="1:9" ht="21" thickTop="1" thickBot="1" x14ac:dyDescent="0.3">
      <c r="A203" s="141"/>
      <c r="B203" s="141" t="s">
        <v>1291</v>
      </c>
      <c r="C203" s="141"/>
      <c r="D203" s="141"/>
      <c r="E203" s="141"/>
      <c r="F203" s="141"/>
      <c r="G203" s="141"/>
      <c r="H203" s="140"/>
      <c r="I203" s="140" t="s">
        <v>460</v>
      </c>
    </row>
    <row r="204" spans="1:9" ht="21" thickTop="1" thickBot="1" x14ac:dyDescent="0.3">
      <c r="A204" s="2">
        <v>101</v>
      </c>
      <c r="B204" s="2" t="s">
        <v>1292</v>
      </c>
      <c r="C204" s="2" t="s">
        <v>9</v>
      </c>
      <c r="D204" s="2">
        <v>1000</v>
      </c>
      <c r="E204" s="2">
        <v>2135.6</v>
      </c>
      <c r="F204" s="2">
        <v>2135.6</v>
      </c>
      <c r="G204" s="2">
        <f t="shared" si="21"/>
        <v>2135.6</v>
      </c>
      <c r="H204" s="19" t="str">
        <f t="shared" ref="H204" si="23">"2.1-"&amp;A204</f>
        <v>2.1-101</v>
      </c>
      <c r="I204" s="2" t="s">
        <v>460</v>
      </c>
    </row>
    <row r="205" spans="1:9" ht="21" thickTop="1" thickBot="1" x14ac:dyDescent="0.3">
      <c r="A205" s="141"/>
      <c r="B205" s="141" t="s">
        <v>1293</v>
      </c>
      <c r="C205" s="141"/>
      <c r="D205" s="141"/>
      <c r="E205" s="141"/>
      <c r="F205" s="141"/>
      <c r="G205" s="141"/>
      <c r="H205" s="140"/>
      <c r="I205" s="140" t="s">
        <v>460</v>
      </c>
    </row>
    <row r="206" spans="1:9" ht="20.25" thickTop="1" x14ac:dyDescent="0.25">
      <c r="A206" s="2">
        <v>102</v>
      </c>
      <c r="B206" s="2" t="s">
        <v>1270</v>
      </c>
      <c r="C206" s="2" t="s">
        <v>595</v>
      </c>
      <c r="D206" s="2">
        <v>16.7</v>
      </c>
      <c r="E206" s="2">
        <v>30.3</v>
      </c>
      <c r="F206" s="2">
        <v>30.3</v>
      </c>
      <c r="G206" s="2">
        <f t="shared" si="21"/>
        <v>30.3</v>
      </c>
      <c r="H206" s="19" t="str">
        <f t="shared" ref="H206" si="24">"2.1-"&amp;A206</f>
        <v>2.1-102</v>
      </c>
      <c r="I206" s="2" t="s">
        <v>460</v>
      </c>
    </row>
    <row r="207" spans="1:9" x14ac:dyDescent="0.25">
      <c r="A207" s="2">
        <v>103</v>
      </c>
      <c r="B207" s="2" t="s">
        <v>1294</v>
      </c>
      <c r="C207" s="2" t="s">
        <v>595</v>
      </c>
      <c r="D207" s="2">
        <v>23.9</v>
      </c>
      <c r="E207" s="2">
        <v>43.6</v>
      </c>
      <c r="F207" s="2">
        <v>43.6</v>
      </c>
      <c r="G207" s="2">
        <f t="shared" si="21"/>
        <v>43.6</v>
      </c>
      <c r="H207" s="19" t="str">
        <f t="shared" ref="H207:H231" si="25">"2.1-"&amp;A207</f>
        <v>2.1-103</v>
      </c>
      <c r="I207" s="2" t="s">
        <v>460</v>
      </c>
    </row>
    <row r="208" spans="1:9" x14ac:dyDescent="0.25">
      <c r="A208" s="2">
        <v>104</v>
      </c>
      <c r="B208" s="2" t="s">
        <v>1273</v>
      </c>
      <c r="C208" s="2" t="s">
        <v>595</v>
      </c>
      <c r="D208" s="2">
        <v>26.37</v>
      </c>
      <c r="E208" s="2">
        <v>49.4</v>
      </c>
      <c r="F208" s="2">
        <v>49.4</v>
      </c>
      <c r="G208" s="2">
        <f t="shared" si="21"/>
        <v>49.4</v>
      </c>
      <c r="H208" s="19" t="str">
        <f t="shared" si="25"/>
        <v>2.1-104</v>
      </c>
      <c r="I208" s="2" t="s">
        <v>460</v>
      </c>
    </row>
    <row r="209" spans="1:9" x14ac:dyDescent="0.25">
      <c r="A209" s="2">
        <v>105</v>
      </c>
      <c r="B209" s="2" t="s">
        <v>1295</v>
      </c>
      <c r="C209" s="2" t="s">
        <v>595</v>
      </c>
      <c r="D209" s="2">
        <v>41.6</v>
      </c>
      <c r="E209" s="2">
        <v>76.2</v>
      </c>
      <c r="F209" s="2">
        <v>76.2</v>
      </c>
      <c r="G209" s="2">
        <f t="shared" si="21"/>
        <v>76.2</v>
      </c>
      <c r="H209" s="19" t="str">
        <f t="shared" si="25"/>
        <v>2.1-105</v>
      </c>
      <c r="I209" s="2" t="s">
        <v>460</v>
      </c>
    </row>
    <row r="210" spans="1:9" x14ac:dyDescent="0.25">
      <c r="A210" s="2">
        <v>106</v>
      </c>
      <c r="B210" s="2" t="s">
        <v>1296</v>
      </c>
      <c r="C210" s="2" t="s">
        <v>595</v>
      </c>
      <c r="D210" s="2">
        <v>29.6</v>
      </c>
      <c r="E210" s="2">
        <v>54.1</v>
      </c>
      <c r="F210" s="2">
        <v>54.1</v>
      </c>
      <c r="G210" s="2">
        <f t="shared" si="21"/>
        <v>54.1</v>
      </c>
      <c r="H210" s="19" t="str">
        <f t="shared" si="25"/>
        <v>2.1-106</v>
      </c>
      <c r="I210" s="2" t="s">
        <v>460</v>
      </c>
    </row>
    <row r="211" spans="1:9" x14ac:dyDescent="0.25">
      <c r="A211" s="2">
        <v>107</v>
      </c>
      <c r="B211" s="2" t="s">
        <v>1297</v>
      </c>
      <c r="C211" s="2" t="s">
        <v>595</v>
      </c>
      <c r="D211" s="2">
        <v>46.7</v>
      </c>
      <c r="E211" s="2">
        <v>85.9</v>
      </c>
      <c r="F211" s="2">
        <v>85.9</v>
      </c>
      <c r="G211" s="2">
        <f t="shared" si="21"/>
        <v>85.9</v>
      </c>
      <c r="H211" s="19" t="str">
        <f t="shared" si="25"/>
        <v>2.1-107</v>
      </c>
      <c r="I211" s="2" t="s">
        <v>460</v>
      </c>
    </row>
    <row r="212" spans="1:9" x14ac:dyDescent="0.25">
      <c r="A212" s="2">
        <v>108</v>
      </c>
      <c r="B212" s="2" t="s">
        <v>1274</v>
      </c>
      <c r="C212" s="2" t="s">
        <v>595</v>
      </c>
      <c r="D212" s="2">
        <v>39.5</v>
      </c>
      <c r="E212" s="2">
        <v>72.400000000000006</v>
      </c>
      <c r="F212" s="2">
        <v>72.400000000000006</v>
      </c>
      <c r="G212" s="2">
        <f t="shared" si="21"/>
        <v>72.400000000000006</v>
      </c>
      <c r="H212" s="19" t="str">
        <f t="shared" si="25"/>
        <v>2.1-108</v>
      </c>
      <c r="I212" s="2" t="s">
        <v>460</v>
      </c>
    </row>
    <row r="213" spans="1:9" x14ac:dyDescent="0.25">
      <c r="A213" s="2">
        <v>109</v>
      </c>
      <c r="B213" s="2" t="s">
        <v>1276</v>
      </c>
      <c r="C213" s="2" t="s">
        <v>595</v>
      </c>
      <c r="D213" s="2">
        <v>52.3</v>
      </c>
      <c r="E213" s="2">
        <v>97.4</v>
      </c>
      <c r="F213" s="2">
        <v>97.4</v>
      </c>
      <c r="G213" s="2">
        <f t="shared" si="21"/>
        <v>97.4</v>
      </c>
      <c r="H213" s="19" t="str">
        <f t="shared" si="25"/>
        <v>2.1-109</v>
      </c>
      <c r="I213" s="2" t="s">
        <v>460</v>
      </c>
    </row>
    <row r="214" spans="1:9" x14ac:dyDescent="0.25">
      <c r="A214" s="2">
        <v>110</v>
      </c>
      <c r="B214" s="2" t="s">
        <v>1280</v>
      </c>
      <c r="C214" s="2" t="s">
        <v>595</v>
      </c>
      <c r="D214" s="2">
        <v>47.2</v>
      </c>
      <c r="E214" s="2">
        <v>86.8</v>
      </c>
      <c r="F214" s="2">
        <v>86.8</v>
      </c>
      <c r="G214" s="2">
        <f t="shared" si="21"/>
        <v>86.8</v>
      </c>
      <c r="H214" s="19" t="str">
        <f t="shared" si="25"/>
        <v>2.1-110</v>
      </c>
      <c r="I214" s="2" t="s">
        <v>460</v>
      </c>
    </row>
    <row r="215" spans="1:9" x14ac:dyDescent="0.25">
      <c r="A215" s="2">
        <v>111</v>
      </c>
      <c r="B215" s="2" t="s">
        <v>1298</v>
      </c>
      <c r="C215" s="2" t="s">
        <v>595</v>
      </c>
      <c r="D215" s="2">
        <v>70.099999999999994</v>
      </c>
      <c r="E215" s="2">
        <v>129.30000000000001</v>
      </c>
      <c r="F215" s="2">
        <v>129.30000000000001</v>
      </c>
      <c r="G215" s="2">
        <f t="shared" ref="G215:G231" si="26">(E215+F215)/2</f>
        <v>129.30000000000001</v>
      </c>
      <c r="H215" s="19" t="str">
        <f t="shared" si="25"/>
        <v>2.1-111</v>
      </c>
      <c r="I215" s="2" t="s">
        <v>460</v>
      </c>
    </row>
    <row r="216" spans="1:9" x14ac:dyDescent="0.25">
      <c r="A216" s="2">
        <v>112</v>
      </c>
      <c r="B216" s="2" t="s">
        <v>1299</v>
      </c>
      <c r="C216" s="2" t="s">
        <v>595</v>
      </c>
      <c r="D216" s="2">
        <v>54.9</v>
      </c>
      <c r="E216" s="2">
        <v>101.2</v>
      </c>
      <c r="F216" s="2">
        <v>101.2</v>
      </c>
      <c r="G216" s="2">
        <f t="shared" si="26"/>
        <v>101.2</v>
      </c>
      <c r="H216" s="19" t="str">
        <f t="shared" si="25"/>
        <v>2.1-112</v>
      </c>
      <c r="I216" s="2" t="s">
        <v>460</v>
      </c>
    </row>
    <row r="217" spans="1:9" x14ac:dyDescent="0.25">
      <c r="A217" s="2">
        <v>113</v>
      </c>
      <c r="B217" s="2" t="s">
        <v>1300</v>
      </c>
      <c r="C217" s="2" t="s">
        <v>595</v>
      </c>
      <c r="D217" s="2">
        <v>72.760000000000005</v>
      </c>
      <c r="E217" s="2">
        <v>134.9</v>
      </c>
      <c r="F217" s="2">
        <v>134.9</v>
      </c>
      <c r="G217" s="2">
        <f t="shared" si="26"/>
        <v>134.9</v>
      </c>
      <c r="H217" s="19" t="str">
        <f t="shared" si="25"/>
        <v>2.1-113</v>
      </c>
      <c r="I217" s="2" t="s">
        <v>460</v>
      </c>
    </row>
    <row r="218" spans="1:9" x14ac:dyDescent="0.25">
      <c r="A218" s="2">
        <v>114</v>
      </c>
      <c r="B218" s="2" t="s">
        <v>1301</v>
      </c>
      <c r="C218" s="2" t="s">
        <v>595</v>
      </c>
      <c r="D218" s="2">
        <v>51.9</v>
      </c>
      <c r="E218" s="2">
        <v>95.6</v>
      </c>
      <c r="F218" s="2">
        <v>95.6</v>
      </c>
      <c r="G218" s="2">
        <f t="shared" si="26"/>
        <v>95.6</v>
      </c>
      <c r="H218" s="19" t="str">
        <f t="shared" si="25"/>
        <v>2.1-114</v>
      </c>
      <c r="I218" s="2" t="s">
        <v>460</v>
      </c>
    </row>
    <row r="219" spans="1:9" x14ac:dyDescent="0.25">
      <c r="A219" s="2">
        <v>115</v>
      </c>
      <c r="B219" s="2" t="s">
        <v>1302</v>
      </c>
      <c r="C219" s="2" t="s">
        <v>595</v>
      </c>
      <c r="D219" s="2">
        <v>102.8</v>
      </c>
      <c r="E219" s="2">
        <v>190.6</v>
      </c>
      <c r="F219" s="2">
        <v>190.6</v>
      </c>
      <c r="G219" s="2">
        <f t="shared" si="26"/>
        <v>190.6</v>
      </c>
      <c r="H219" s="19" t="str">
        <f t="shared" si="25"/>
        <v>2.1-115</v>
      </c>
      <c r="I219" s="2" t="s">
        <v>460</v>
      </c>
    </row>
    <row r="220" spans="1:9" x14ac:dyDescent="0.25">
      <c r="A220" s="2">
        <v>116</v>
      </c>
      <c r="B220" s="2" t="s">
        <v>1303</v>
      </c>
      <c r="C220" s="2" t="s">
        <v>595</v>
      </c>
      <c r="D220" s="2">
        <v>62.4</v>
      </c>
      <c r="E220" s="2">
        <v>115.4</v>
      </c>
      <c r="F220" s="2">
        <v>115.4</v>
      </c>
      <c r="G220" s="2">
        <f t="shared" si="26"/>
        <v>115.4</v>
      </c>
      <c r="H220" s="19" t="str">
        <f t="shared" si="25"/>
        <v>2.1-116</v>
      </c>
      <c r="I220" s="2" t="s">
        <v>460</v>
      </c>
    </row>
    <row r="221" spans="1:9" x14ac:dyDescent="0.25">
      <c r="A221" s="2">
        <v>117</v>
      </c>
      <c r="B221" s="2" t="s">
        <v>1286</v>
      </c>
      <c r="C221" s="2" t="s">
        <v>595</v>
      </c>
      <c r="D221" s="2">
        <v>154.80000000000001</v>
      </c>
      <c r="E221" s="2">
        <v>287.39999999999998</v>
      </c>
      <c r="F221" s="2">
        <v>287.39999999999998</v>
      </c>
      <c r="G221" s="2">
        <f t="shared" si="26"/>
        <v>287.39999999999998</v>
      </c>
      <c r="H221" s="19" t="str">
        <f t="shared" si="25"/>
        <v>2.1-117</v>
      </c>
      <c r="I221" s="2" t="s">
        <v>460</v>
      </c>
    </row>
    <row r="222" spans="1:9" x14ac:dyDescent="0.25">
      <c r="A222" s="2">
        <v>118</v>
      </c>
      <c r="B222" s="2" t="s">
        <v>1288</v>
      </c>
      <c r="C222" s="2" t="s">
        <v>595</v>
      </c>
      <c r="D222" s="2">
        <v>77.8</v>
      </c>
      <c r="E222" s="2">
        <v>146.30000000000001</v>
      </c>
      <c r="F222" s="2">
        <v>146.30000000000001</v>
      </c>
      <c r="G222" s="2">
        <f t="shared" si="26"/>
        <v>146.30000000000001</v>
      </c>
      <c r="H222" s="19" t="str">
        <f t="shared" si="25"/>
        <v>2.1-118</v>
      </c>
      <c r="I222" s="2" t="s">
        <v>460</v>
      </c>
    </row>
    <row r="223" spans="1:9" x14ac:dyDescent="0.25">
      <c r="A223" s="2">
        <v>119</v>
      </c>
      <c r="B223" s="2" t="s">
        <v>1289</v>
      </c>
      <c r="C223" s="2" t="s">
        <v>595</v>
      </c>
      <c r="D223" s="2">
        <v>0</v>
      </c>
      <c r="E223" s="2">
        <v>224.5</v>
      </c>
      <c r="F223" s="2">
        <v>224.5</v>
      </c>
      <c r="G223" s="2">
        <f t="shared" si="26"/>
        <v>224.5</v>
      </c>
      <c r="H223" s="19" t="str">
        <f t="shared" si="25"/>
        <v>2.1-119</v>
      </c>
      <c r="I223" s="2" t="s">
        <v>460</v>
      </c>
    </row>
    <row r="224" spans="1:9" x14ac:dyDescent="0.25">
      <c r="A224" s="2">
        <v>120</v>
      </c>
      <c r="B224" s="2" t="s">
        <v>1290</v>
      </c>
      <c r="C224" s="2" t="s">
        <v>595</v>
      </c>
      <c r="D224" s="2">
        <v>184.7</v>
      </c>
      <c r="E224" s="2">
        <v>347.1</v>
      </c>
      <c r="F224" s="2">
        <v>347.1</v>
      </c>
      <c r="G224" s="2">
        <f t="shared" si="26"/>
        <v>347.1</v>
      </c>
      <c r="H224" s="19" t="str">
        <f t="shared" si="25"/>
        <v>2.1-120</v>
      </c>
      <c r="I224" s="2" t="s">
        <v>460</v>
      </c>
    </row>
    <row r="225" spans="1:9" x14ac:dyDescent="0.25">
      <c r="A225" s="2">
        <v>121</v>
      </c>
      <c r="B225" s="2" t="s">
        <v>1304</v>
      </c>
      <c r="C225" s="2" t="s">
        <v>595</v>
      </c>
      <c r="D225" s="2">
        <v>89.2</v>
      </c>
      <c r="E225" s="2">
        <v>166.9</v>
      </c>
      <c r="F225" s="2">
        <v>166.9</v>
      </c>
      <c r="G225" s="2">
        <f t="shared" si="26"/>
        <v>166.9</v>
      </c>
      <c r="H225" s="19" t="str">
        <f t="shared" si="25"/>
        <v>2.1-121</v>
      </c>
      <c r="I225" s="2" t="s">
        <v>460</v>
      </c>
    </row>
    <row r="226" spans="1:9" x14ac:dyDescent="0.25">
      <c r="A226" s="2">
        <v>122</v>
      </c>
      <c r="B226" s="2" t="s">
        <v>1305</v>
      </c>
      <c r="C226" s="2" t="s">
        <v>595</v>
      </c>
      <c r="D226" s="2">
        <v>211.6</v>
      </c>
      <c r="E226" s="2">
        <v>400.7</v>
      </c>
      <c r="F226" s="2">
        <v>400.7</v>
      </c>
      <c r="G226" s="2">
        <f t="shared" si="26"/>
        <v>400.7</v>
      </c>
      <c r="H226" s="19" t="str">
        <f t="shared" si="25"/>
        <v>2.1-122</v>
      </c>
      <c r="I226" s="2" t="s">
        <v>460</v>
      </c>
    </row>
    <row r="227" spans="1:9" x14ac:dyDescent="0.25">
      <c r="A227" s="2">
        <v>123</v>
      </c>
      <c r="B227" s="2" t="s">
        <v>1306</v>
      </c>
      <c r="C227" s="2" t="s">
        <v>595</v>
      </c>
      <c r="D227" s="2">
        <v>102.8</v>
      </c>
      <c r="E227" s="2">
        <v>194.7</v>
      </c>
      <c r="F227" s="2">
        <v>194.7</v>
      </c>
      <c r="G227" s="2">
        <f t="shared" si="26"/>
        <v>194.7</v>
      </c>
      <c r="H227" s="19" t="str">
        <f t="shared" si="25"/>
        <v>2.1-123</v>
      </c>
      <c r="I227" s="2" t="s">
        <v>460</v>
      </c>
    </row>
    <row r="228" spans="1:9" x14ac:dyDescent="0.25">
      <c r="A228" s="2">
        <v>124</v>
      </c>
      <c r="B228" s="2" t="s">
        <v>1307</v>
      </c>
      <c r="C228" s="2" t="s">
        <v>595</v>
      </c>
      <c r="D228" s="2">
        <v>241.6</v>
      </c>
      <c r="E228" s="2">
        <v>455.3</v>
      </c>
      <c r="F228" s="2">
        <v>455.3</v>
      </c>
      <c r="G228" s="2">
        <f t="shared" si="26"/>
        <v>455.3</v>
      </c>
      <c r="H228" s="19" t="str">
        <f t="shared" si="25"/>
        <v>2.1-124</v>
      </c>
      <c r="I228" s="2" t="s">
        <v>460</v>
      </c>
    </row>
    <row r="229" spans="1:9" x14ac:dyDescent="0.25">
      <c r="A229" s="2">
        <v>125</v>
      </c>
      <c r="B229" s="2" t="s">
        <v>1308</v>
      </c>
      <c r="C229" s="2" t="s">
        <v>595</v>
      </c>
      <c r="D229" s="2">
        <v>0</v>
      </c>
      <c r="E229" s="2">
        <v>414.1</v>
      </c>
      <c r="F229" s="2">
        <v>414.1</v>
      </c>
      <c r="G229" s="2">
        <f t="shared" si="26"/>
        <v>414.1</v>
      </c>
      <c r="H229" s="19" t="str">
        <f t="shared" si="25"/>
        <v>2.1-125</v>
      </c>
      <c r="I229" s="2" t="s">
        <v>460</v>
      </c>
    </row>
    <row r="230" spans="1:9" x14ac:dyDescent="0.25">
      <c r="A230" s="2">
        <v>126</v>
      </c>
      <c r="B230" s="2" t="s">
        <v>1309</v>
      </c>
      <c r="C230" s="2" t="s">
        <v>595</v>
      </c>
      <c r="D230" s="2">
        <v>241.8</v>
      </c>
      <c r="E230" s="2">
        <v>461.4</v>
      </c>
      <c r="F230" s="2">
        <v>461.4</v>
      </c>
      <c r="G230" s="2">
        <f t="shared" si="26"/>
        <v>461.4</v>
      </c>
      <c r="H230" s="19" t="str">
        <f t="shared" si="25"/>
        <v>2.1-126</v>
      </c>
      <c r="I230" s="2" t="s">
        <v>460</v>
      </c>
    </row>
    <row r="231" spans="1:9" ht="20.25" thickBot="1" x14ac:dyDescent="0.3">
      <c r="A231" s="2">
        <v>127</v>
      </c>
      <c r="B231" s="2" t="s">
        <v>1310</v>
      </c>
      <c r="C231" s="2" t="s">
        <v>595</v>
      </c>
      <c r="D231" s="2">
        <v>397.3</v>
      </c>
      <c r="E231" s="2">
        <v>763.2</v>
      </c>
      <c r="F231" s="2">
        <v>763.2</v>
      </c>
      <c r="G231" s="2">
        <f t="shared" si="26"/>
        <v>763.2</v>
      </c>
      <c r="H231" s="19" t="str">
        <f t="shared" si="25"/>
        <v>2.1-127</v>
      </c>
      <c r="I231" s="2" t="s">
        <v>460</v>
      </c>
    </row>
    <row r="232" spans="1:9" ht="21" thickTop="1" thickBot="1" x14ac:dyDescent="0.3">
      <c r="A232" s="141"/>
      <c r="B232" s="141" t="s">
        <v>1311</v>
      </c>
      <c r="C232" s="141"/>
      <c r="D232" s="141"/>
      <c r="E232" s="141"/>
      <c r="F232" s="141"/>
      <c r="G232" s="141"/>
      <c r="H232" s="140"/>
      <c r="I232" s="140" t="s">
        <v>460</v>
      </c>
    </row>
    <row r="233" spans="1:9" ht="20.25" thickTop="1" x14ac:dyDescent="0.25">
      <c r="A233" s="2">
        <v>126</v>
      </c>
      <c r="B233" s="2" t="s">
        <v>145</v>
      </c>
      <c r="C233" s="2" t="s">
        <v>9</v>
      </c>
      <c r="D233" s="2">
        <v>1000</v>
      </c>
      <c r="E233" s="2">
        <v>1726</v>
      </c>
      <c r="F233" s="2">
        <v>1726</v>
      </c>
      <c r="G233" s="2">
        <f t="shared" ref="G233:G239" si="27">(E233+F233)/2</f>
        <v>1726</v>
      </c>
      <c r="H233" s="19" t="str">
        <f t="shared" ref="H233:H239" si="28">"2.1-"&amp;A233</f>
        <v>2.1-126</v>
      </c>
      <c r="I233" s="2" t="str">
        <f t="shared" si="20"/>
        <v>ლ</v>
      </c>
    </row>
    <row r="234" spans="1:9" x14ac:dyDescent="0.25">
      <c r="A234" s="2">
        <v>127</v>
      </c>
      <c r="B234" s="2" t="s">
        <v>146</v>
      </c>
      <c r="C234" s="2" t="s">
        <v>9</v>
      </c>
      <c r="D234" s="2">
        <v>1000</v>
      </c>
      <c r="E234" s="2">
        <v>1747</v>
      </c>
      <c r="F234" s="2">
        <v>1747</v>
      </c>
      <c r="G234" s="2">
        <f t="shared" si="27"/>
        <v>1747</v>
      </c>
      <c r="H234" s="19" t="str">
        <f t="shared" si="28"/>
        <v>2.1-127</v>
      </c>
      <c r="I234" s="2" t="str">
        <f t="shared" si="20"/>
        <v>ლ</v>
      </c>
    </row>
    <row r="235" spans="1:9" x14ac:dyDescent="0.25">
      <c r="A235" s="2">
        <v>128</v>
      </c>
      <c r="B235" s="2" t="s">
        <v>147</v>
      </c>
      <c r="C235" s="2" t="s">
        <v>9</v>
      </c>
      <c r="D235" s="2">
        <v>1000</v>
      </c>
      <c r="E235" s="2">
        <v>1768</v>
      </c>
      <c r="F235" s="2">
        <v>1768</v>
      </c>
      <c r="G235" s="2">
        <f t="shared" si="27"/>
        <v>1768</v>
      </c>
      <c r="H235" s="19" t="str">
        <f t="shared" si="28"/>
        <v>2.1-128</v>
      </c>
      <c r="I235" s="2" t="str">
        <f t="shared" si="20"/>
        <v>ლ</v>
      </c>
    </row>
    <row r="236" spans="1:9" x14ac:dyDescent="0.25">
      <c r="A236" s="2">
        <v>129</v>
      </c>
      <c r="B236" s="2" t="s">
        <v>148</v>
      </c>
      <c r="C236" s="2" t="s">
        <v>9</v>
      </c>
      <c r="D236" s="2">
        <v>1000</v>
      </c>
      <c r="E236" s="2">
        <v>1778</v>
      </c>
      <c r="F236" s="2">
        <v>1778</v>
      </c>
      <c r="G236" s="2">
        <f t="shared" si="27"/>
        <v>1778</v>
      </c>
      <c r="H236" s="19" t="str">
        <f t="shared" si="28"/>
        <v>2.1-129</v>
      </c>
      <c r="I236" s="2" t="str">
        <f t="shared" si="20"/>
        <v>ლ</v>
      </c>
    </row>
    <row r="237" spans="1:9" x14ac:dyDescent="0.25">
      <c r="A237" s="2">
        <v>130</v>
      </c>
      <c r="B237" s="2" t="s">
        <v>149</v>
      </c>
      <c r="C237" s="2" t="s">
        <v>9</v>
      </c>
      <c r="D237" s="2">
        <v>1000</v>
      </c>
      <c r="E237" s="2">
        <v>1810</v>
      </c>
      <c r="F237" s="2">
        <v>1810</v>
      </c>
      <c r="G237" s="2">
        <f t="shared" si="27"/>
        <v>1810</v>
      </c>
      <c r="H237" s="19" t="str">
        <f t="shared" si="28"/>
        <v>2.1-130</v>
      </c>
      <c r="I237" s="2" t="str">
        <f t="shared" si="20"/>
        <v>ლ</v>
      </c>
    </row>
    <row r="238" spans="1:9" x14ac:dyDescent="0.25">
      <c r="A238" s="2">
        <v>131</v>
      </c>
      <c r="B238" s="2" t="s">
        <v>150</v>
      </c>
      <c r="C238" s="2" t="s">
        <v>9</v>
      </c>
      <c r="D238" s="2">
        <v>1000</v>
      </c>
      <c r="E238" s="2">
        <v>1830</v>
      </c>
      <c r="F238" s="2">
        <v>1830</v>
      </c>
      <c r="G238" s="2">
        <f t="shared" si="27"/>
        <v>1830</v>
      </c>
      <c r="H238" s="19" t="str">
        <f t="shared" si="28"/>
        <v>2.1-131</v>
      </c>
      <c r="I238" s="2" t="str">
        <f t="shared" si="20"/>
        <v>ლ</v>
      </c>
    </row>
    <row r="239" spans="1:9" ht="20.25" thickBot="1" x14ac:dyDescent="0.3">
      <c r="A239" s="2">
        <v>132</v>
      </c>
      <c r="B239" s="2" t="s">
        <v>151</v>
      </c>
      <c r="C239" s="2" t="s">
        <v>9</v>
      </c>
      <c r="D239" s="2">
        <v>1000</v>
      </c>
      <c r="E239" s="2">
        <v>1851</v>
      </c>
      <c r="F239" s="2">
        <v>1851</v>
      </c>
      <c r="G239" s="2">
        <f t="shared" si="27"/>
        <v>1851</v>
      </c>
      <c r="H239" s="19" t="str">
        <f t="shared" si="28"/>
        <v>2.1-132</v>
      </c>
      <c r="I239" s="2" t="str">
        <f t="shared" si="20"/>
        <v>ლ</v>
      </c>
    </row>
    <row r="240" spans="1:9" ht="21" thickTop="1" thickBot="1" x14ac:dyDescent="0.3">
      <c r="A240" s="4"/>
      <c r="B240" s="4" t="s">
        <v>152</v>
      </c>
      <c r="C240" s="4"/>
      <c r="D240" s="4"/>
      <c r="E240" s="4"/>
      <c r="F240" s="4"/>
      <c r="G240" s="4"/>
      <c r="H240" s="7"/>
      <c r="I240" s="7" t="s">
        <v>460</v>
      </c>
    </row>
    <row r="241" spans="1:9" ht="21" thickTop="1" thickBot="1" x14ac:dyDescent="0.3">
      <c r="A241" s="2">
        <v>1</v>
      </c>
      <c r="B241" s="2" t="s">
        <v>153</v>
      </c>
      <c r="C241" s="2" t="s">
        <v>9</v>
      </c>
      <c r="D241" s="2">
        <v>1000</v>
      </c>
      <c r="E241" s="2">
        <v>1870</v>
      </c>
      <c r="F241" s="2">
        <v>1870</v>
      </c>
      <c r="G241" s="2">
        <f>(E241+F241)/2</f>
        <v>1870</v>
      </c>
      <c r="H241" s="19" t="str">
        <f>"2.2-"&amp;A241</f>
        <v>2.2-1</v>
      </c>
      <c r="I241" s="2" t="str">
        <f>$I$240</f>
        <v>ლ</v>
      </c>
    </row>
    <row r="242" spans="1:9" ht="20.25" thickTop="1" x14ac:dyDescent="0.25">
      <c r="A242" s="63"/>
      <c r="B242" s="63" t="s">
        <v>912</v>
      </c>
      <c r="C242" s="63"/>
      <c r="D242" s="63"/>
      <c r="E242" s="63"/>
      <c r="F242" s="63"/>
      <c r="G242" s="63"/>
      <c r="H242" s="61"/>
      <c r="I242" s="61" t="s">
        <v>682</v>
      </c>
    </row>
    <row r="243" spans="1:9" x14ac:dyDescent="0.25">
      <c r="A243" s="2"/>
      <c r="B243" s="2" t="s">
        <v>25</v>
      </c>
      <c r="C243" s="2"/>
      <c r="D243" s="2"/>
      <c r="E243" s="2"/>
      <c r="F243" s="2"/>
      <c r="G243" s="2">
        <f>(E243+F243)/2</f>
        <v>0</v>
      </c>
      <c r="H243" s="2"/>
      <c r="I243" s="2" t="str">
        <f>$I$242</f>
        <v>სხ</v>
      </c>
    </row>
    <row r="244" spans="1:9" x14ac:dyDescent="0.25">
      <c r="A244" s="2">
        <v>110</v>
      </c>
      <c r="B244" s="2" t="s">
        <v>929</v>
      </c>
      <c r="C244" s="2" t="s">
        <v>14</v>
      </c>
      <c r="D244" s="2">
        <v>0</v>
      </c>
      <c r="E244" s="2">
        <v>4.2</v>
      </c>
      <c r="F244" s="2">
        <v>4.2</v>
      </c>
      <c r="G244" s="2">
        <f t="shared" ref="G244:G260" si="29">(E244+F244)/2</f>
        <v>4.2</v>
      </c>
      <c r="H244" s="19" t="str">
        <f t="shared" ref="H244:H281" si="30">"2.6-"&amp;A244</f>
        <v>2.6-110</v>
      </c>
      <c r="I244" s="2" t="str">
        <f t="shared" ref="I244:I282" si="31">$I$242</f>
        <v>სხ</v>
      </c>
    </row>
    <row r="245" spans="1:9" x14ac:dyDescent="0.25">
      <c r="A245" s="2">
        <v>111</v>
      </c>
      <c r="B245" s="2" t="s">
        <v>930</v>
      </c>
      <c r="C245" s="2" t="s">
        <v>14</v>
      </c>
      <c r="D245" s="2">
        <v>0</v>
      </c>
      <c r="E245" s="2">
        <v>5.0999999999999996</v>
      </c>
      <c r="F245" s="2">
        <v>5.0999999999999996</v>
      </c>
      <c r="G245" s="2">
        <f t="shared" si="29"/>
        <v>5.0999999999999996</v>
      </c>
      <c r="H245" s="19" t="str">
        <f t="shared" si="30"/>
        <v>2.6-111</v>
      </c>
      <c r="I245" s="2" t="str">
        <f t="shared" si="31"/>
        <v>სხ</v>
      </c>
    </row>
    <row r="246" spans="1:9" x14ac:dyDescent="0.25">
      <c r="A246" s="2">
        <v>112</v>
      </c>
      <c r="B246" s="2" t="s">
        <v>932</v>
      </c>
      <c r="C246" s="2" t="s">
        <v>14</v>
      </c>
      <c r="D246" s="2">
        <v>0</v>
      </c>
      <c r="E246" s="2">
        <v>5.9</v>
      </c>
      <c r="F246" s="2">
        <v>5.9</v>
      </c>
      <c r="G246" s="2">
        <f t="shared" ref="G246" si="32">(E246+F246)/2</f>
        <v>5.9</v>
      </c>
      <c r="H246" s="19" t="str">
        <f t="shared" si="30"/>
        <v>2.6-112</v>
      </c>
      <c r="I246" s="2" t="str">
        <f t="shared" si="31"/>
        <v>სხ</v>
      </c>
    </row>
    <row r="247" spans="1:9" x14ac:dyDescent="0.25">
      <c r="A247" s="2">
        <v>113</v>
      </c>
      <c r="B247" s="2" t="s">
        <v>931</v>
      </c>
      <c r="C247" s="2" t="s">
        <v>14</v>
      </c>
      <c r="D247" s="2">
        <v>0</v>
      </c>
      <c r="E247" s="2">
        <v>8.5</v>
      </c>
      <c r="F247" s="2">
        <v>8.5</v>
      </c>
      <c r="G247" s="2">
        <f t="shared" si="29"/>
        <v>8.5</v>
      </c>
      <c r="H247" s="19" t="str">
        <f t="shared" si="30"/>
        <v>2.6-113</v>
      </c>
      <c r="I247" s="2" t="str">
        <f t="shared" si="31"/>
        <v>სხ</v>
      </c>
    </row>
    <row r="248" spans="1:9" x14ac:dyDescent="0.25">
      <c r="A248" s="2">
        <v>114</v>
      </c>
      <c r="B248" s="2" t="s">
        <v>933</v>
      </c>
      <c r="C248" s="2" t="s">
        <v>14</v>
      </c>
      <c r="D248" s="2">
        <v>0</v>
      </c>
      <c r="E248" s="2">
        <v>11.9</v>
      </c>
      <c r="F248" s="2">
        <v>11.9</v>
      </c>
      <c r="G248" s="2">
        <f t="shared" si="29"/>
        <v>11.9</v>
      </c>
      <c r="H248" s="19" t="str">
        <f t="shared" si="30"/>
        <v>2.6-114</v>
      </c>
      <c r="I248" s="2" t="str">
        <f t="shared" si="31"/>
        <v>სხ</v>
      </c>
    </row>
    <row r="249" spans="1:9" x14ac:dyDescent="0.25">
      <c r="A249" s="2">
        <v>115</v>
      </c>
      <c r="B249" s="2" t="s">
        <v>934</v>
      </c>
      <c r="C249" s="2" t="s">
        <v>14</v>
      </c>
      <c r="D249" s="2">
        <v>0</v>
      </c>
      <c r="E249" s="2">
        <v>11</v>
      </c>
      <c r="F249" s="2">
        <v>11</v>
      </c>
      <c r="G249" s="2">
        <f t="shared" si="29"/>
        <v>11</v>
      </c>
      <c r="H249" s="19" t="str">
        <f t="shared" si="30"/>
        <v>2.6-115</v>
      </c>
      <c r="I249" s="2" t="str">
        <f t="shared" si="31"/>
        <v>სხ</v>
      </c>
    </row>
    <row r="250" spans="1:9" x14ac:dyDescent="0.25">
      <c r="A250" s="2">
        <v>116</v>
      </c>
      <c r="B250" s="2" t="s">
        <v>935</v>
      </c>
      <c r="C250" s="2" t="s">
        <v>14</v>
      </c>
      <c r="D250" s="2">
        <v>0</v>
      </c>
      <c r="E250" s="2">
        <v>16.100000000000001</v>
      </c>
      <c r="F250" s="2">
        <v>16.100000000000001</v>
      </c>
      <c r="G250" s="2">
        <f t="shared" si="29"/>
        <v>16.100000000000001</v>
      </c>
      <c r="H250" s="19" t="str">
        <f t="shared" si="30"/>
        <v>2.6-116</v>
      </c>
      <c r="I250" s="2" t="str">
        <f t="shared" si="31"/>
        <v>სხ</v>
      </c>
    </row>
    <row r="251" spans="1:9" x14ac:dyDescent="0.25">
      <c r="A251" s="2">
        <v>117</v>
      </c>
      <c r="B251" s="2" t="s">
        <v>936</v>
      </c>
      <c r="C251" s="2" t="s">
        <v>14</v>
      </c>
      <c r="D251" s="2">
        <v>0</v>
      </c>
      <c r="E251" s="2">
        <v>21.2</v>
      </c>
      <c r="F251" s="2">
        <v>21.2</v>
      </c>
      <c r="G251" s="2">
        <f t="shared" si="29"/>
        <v>21.2</v>
      </c>
      <c r="H251" s="19" t="str">
        <f t="shared" si="30"/>
        <v>2.6-117</v>
      </c>
      <c r="I251" s="2" t="str">
        <f t="shared" si="31"/>
        <v>სხ</v>
      </c>
    </row>
    <row r="252" spans="1:9" x14ac:dyDescent="0.25">
      <c r="A252" s="2">
        <v>118</v>
      </c>
      <c r="B252" s="2" t="s">
        <v>937</v>
      </c>
      <c r="C252" s="2" t="s">
        <v>14</v>
      </c>
      <c r="D252" s="2">
        <v>0</v>
      </c>
      <c r="E252" s="2">
        <v>25.4</v>
      </c>
      <c r="F252" s="2">
        <v>25.4</v>
      </c>
      <c r="G252" s="2">
        <f t="shared" si="29"/>
        <v>25.4</v>
      </c>
      <c r="H252" s="19" t="str">
        <f t="shared" si="30"/>
        <v>2.6-118</v>
      </c>
      <c r="I252" s="2" t="str">
        <f t="shared" si="31"/>
        <v>სხ</v>
      </c>
    </row>
    <row r="253" spans="1:9" x14ac:dyDescent="0.25">
      <c r="A253" s="2">
        <v>119</v>
      </c>
      <c r="B253" s="2" t="s">
        <v>938</v>
      </c>
      <c r="C253" s="2" t="s">
        <v>14</v>
      </c>
      <c r="D253" s="2">
        <v>0</v>
      </c>
      <c r="E253" s="2">
        <v>23.7</v>
      </c>
      <c r="F253" s="2">
        <v>23.7</v>
      </c>
      <c r="G253" s="2">
        <f t="shared" si="29"/>
        <v>23.7</v>
      </c>
      <c r="H253" s="19" t="str">
        <f t="shared" si="30"/>
        <v>2.6-119</v>
      </c>
      <c r="I253" s="2" t="str">
        <f t="shared" si="31"/>
        <v>სხ</v>
      </c>
    </row>
    <row r="254" spans="1:9" x14ac:dyDescent="0.25">
      <c r="A254" s="2">
        <v>120</v>
      </c>
      <c r="B254" s="2" t="s">
        <v>939</v>
      </c>
      <c r="C254" s="2" t="s">
        <v>14</v>
      </c>
      <c r="D254" s="2">
        <v>0</v>
      </c>
      <c r="E254" s="2">
        <v>28</v>
      </c>
      <c r="F254" s="2">
        <v>28</v>
      </c>
      <c r="G254" s="2">
        <f t="shared" si="29"/>
        <v>28</v>
      </c>
      <c r="H254" s="19" t="str">
        <f t="shared" si="30"/>
        <v>2.6-120</v>
      </c>
      <c r="I254" s="2" t="str">
        <f t="shared" si="31"/>
        <v>სხ</v>
      </c>
    </row>
    <row r="255" spans="1:9" x14ac:dyDescent="0.25">
      <c r="A255" s="2">
        <v>121</v>
      </c>
      <c r="B255" s="2" t="s">
        <v>942</v>
      </c>
      <c r="C255" s="2" t="s">
        <v>14</v>
      </c>
      <c r="D255" s="2">
        <v>0</v>
      </c>
      <c r="E255" s="2">
        <v>39.799999999999997</v>
      </c>
      <c r="F255" s="2">
        <v>39.799999999999997</v>
      </c>
      <c r="G255" s="2">
        <f t="shared" si="29"/>
        <v>39.799999999999997</v>
      </c>
      <c r="H255" s="19" t="str">
        <f t="shared" si="30"/>
        <v>2.6-121</v>
      </c>
      <c r="I255" s="2" t="str">
        <f t="shared" si="31"/>
        <v>სხ</v>
      </c>
    </row>
    <row r="256" spans="1:9" x14ac:dyDescent="0.25">
      <c r="A256" s="2">
        <v>122</v>
      </c>
      <c r="B256" s="2" t="s">
        <v>943</v>
      </c>
      <c r="C256" s="2" t="s">
        <v>14</v>
      </c>
      <c r="D256" s="2">
        <v>0</v>
      </c>
      <c r="E256" s="2">
        <v>55.1</v>
      </c>
      <c r="F256" s="2">
        <v>55.1</v>
      </c>
      <c r="G256" s="2">
        <f t="shared" si="29"/>
        <v>55.1</v>
      </c>
      <c r="H256" s="19" t="str">
        <f t="shared" si="30"/>
        <v>2.6-122</v>
      </c>
      <c r="I256" s="2" t="str">
        <f t="shared" si="31"/>
        <v>სხ</v>
      </c>
    </row>
    <row r="257" spans="1:9" x14ac:dyDescent="0.25">
      <c r="A257" s="2">
        <v>123</v>
      </c>
      <c r="B257" s="2" t="s">
        <v>944</v>
      </c>
      <c r="C257" s="2" t="s">
        <v>14</v>
      </c>
      <c r="D257" s="2">
        <v>0</v>
      </c>
      <c r="E257" s="2">
        <v>55.1</v>
      </c>
      <c r="F257" s="2">
        <v>55.1</v>
      </c>
      <c r="G257" s="2">
        <f t="shared" si="29"/>
        <v>55.1</v>
      </c>
      <c r="H257" s="19" t="str">
        <f t="shared" si="30"/>
        <v>2.6-123</v>
      </c>
      <c r="I257" s="2" t="str">
        <f t="shared" si="31"/>
        <v>სხ</v>
      </c>
    </row>
    <row r="258" spans="1:9" x14ac:dyDescent="0.25">
      <c r="A258" s="2">
        <v>124</v>
      </c>
      <c r="B258" s="2" t="s">
        <v>945</v>
      </c>
      <c r="C258" s="2" t="s">
        <v>14</v>
      </c>
      <c r="D258" s="2">
        <v>0</v>
      </c>
      <c r="E258" s="2">
        <v>76.3</v>
      </c>
      <c r="F258" s="2">
        <v>76.3</v>
      </c>
      <c r="G258" s="2">
        <f t="shared" si="29"/>
        <v>76.3</v>
      </c>
      <c r="H258" s="19" t="str">
        <f t="shared" si="30"/>
        <v>2.6-124</v>
      </c>
      <c r="I258" s="2" t="str">
        <f t="shared" si="31"/>
        <v>სხ</v>
      </c>
    </row>
    <row r="259" spans="1:9" x14ac:dyDescent="0.25">
      <c r="A259" s="2">
        <v>125</v>
      </c>
      <c r="B259" s="2" t="s">
        <v>940</v>
      </c>
      <c r="C259" s="2" t="s">
        <v>14</v>
      </c>
      <c r="D259" s="2">
        <v>0</v>
      </c>
      <c r="E259" s="2">
        <v>114.4</v>
      </c>
      <c r="F259" s="2">
        <v>114.4</v>
      </c>
      <c r="G259" s="2">
        <f t="shared" si="29"/>
        <v>114.4</v>
      </c>
      <c r="H259" s="19" t="str">
        <f t="shared" si="30"/>
        <v>2.6-125</v>
      </c>
      <c r="I259" s="2" t="str">
        <f t="shared" si="31"/>
        <v>სხ</v>
      </c>
    </row>
    <row r="260" spans="1:9" x14ac:dyDescent="0.25">
      <c r="A260" s="2">
        <v>126</v>
      </c>
      <c r="B260" s="2" t="s">
        <v>941</v>
      </c>
      <c r="C260" s="2" t="s">
        <v>14</v>
      </c>
      <c r="D260" s="2">
        <v>0</v>
      </c>
      <c r="E260" s="2">
        <v>144.1</v>
      </c>
      <c r="F260" s="2">
        <v>144.1</v>
      </c>
      <c r="G260" s="2">
        <f t="shared" si="29"/>
        <v>144.1</v>
      </c>
      <c r="H260" s="19" t="str">
        <f t="shared" si="30"/>
        <v>2.6-126</v>
      </c>
      <c r="I260" s="2" t="str">
        <f t="shared" si="31"/>
        <v>სხ</v>
      </c>
    </row>
    <row r="261" spans="1:9" x14ac:dyDescent="0.25">
      <c r="A261" s="2">
        <v>127</v>
      </c>
      <c r="B261" s="2" t="s">
        <v>946</v>
      </c>
      <c r="C261" s="2" t="s">
        <v>14</v>
      </c>
      <c r="D261" s="2">
        <v>0</v>
      </c>
      <c r="E261" s="2">
        <v>228.8</v>
      </c>
      <c r="F261" s="2">
        <v>228.8</v>
      </c>
      <c r="G261" s="2">
        <f t="shared" ref="G261" si="33">(E261+F261)/2</f>
        <v>228.8</v>
      </c>
      <c r="H261" s="19" t="str">
        <f t="shared" si="30"/>
        <v>2.6-127</v>
      </c>
      <c r="I261" s="2" t="str">
        <f t="shared" si="31"/>
        <v>სხ</v>
      </c>
    </row>
    <row r="262" spans="1:9" x14ac:dyDescent="0.25">
      <c r="A262" s="2">
        <v>128</v>
      </c>
      <c r="B262" s="2" t="s">
        <v>947</v>
      </c>
      <c r="C262" s="2" t="s">
        <v>14</v>
      </c>
      <c r="D262" s="2">
        <v>0</v>
      </c>
      <c r="E262" s="2">
        <v>178</v>
      </c>
      <c r="F262" s="2">
        <v>178</v>
      </c>
      <c r="G262" s="2">
        <f t="shared" ref="G262:G263" si="34">(E262+F262)/2</f>
        <v>178</v>
      </c>
      <c r="H262" s="19" t="str">
        <f t="shared" si="30"/>
        <v>2.6-128</v>
      </c>
      <c r="I262" s="2" t="str">
        <f t="shared" si="31"/>
        <v>სხ</v>
      </c>
    </row>
    <row r="263" spans="1:9" x14ac:dyDescent="0.25">
      <c r="A263" s="2">
        <v>129</v>
      </c>
      <c r="B263" s="2" t="s">
        <v>948</v>
      </c>
      <c r="C263" s="2" t="s">
        <v>14</v>
      </c>
      <c r="D263" s="2">
        <v>0</v>
      </c>
      <c r="E263" s="2">
        <v>271.2</v>
      </c>
      <c r="F263" s="2">
        <v>271.2</v>
      </c>
      <c r="G263" s="2">
        <f t="shared" si="34"/>
        <v>271.2</v>
      </c>
      <c r="H263" s="19" t="str">
        <f t="shared" si="30"/>
        <v>2.6-129</v>
      </c>
      <c r="I263" s="2" t="str">
        <f t="shared" si="31"/>
        <v>სხ</v>
      </c>
    </row>
    <row r="264" spans="1:9" x14ac:dyDescent="0.25">
      <c r="A264" s="2">
        <v>130</v>
      </c>
      <c r="B264" s="2" t="s">
        <v>949</v>
      </c>
      <c r="C264" s="2" t="s">
        <v>14</v>
      </c>
      <c r="D264" s="2">
        <v>0</v>
      </c>
      <c r="E264" s="2">
        <v>271.2</v>
      </c>
      <c r="F264" s="2">
        <v>271.2</v>
      </c>
      <c r="G264" s="2">
        <f t="shared" ref="G264:G265" si="35">(E264+F264)/2</f>
        <v>271.2</v>
      </c>
      <c r="H264" s="19" t="str">
        <f t="shared" si="30"/>
        <v>2.6-130</v>
      </c>
      <c r="I264" s="2" t="str">
        <f t="shared" si="31"/>
        <v>სხ</v>
      </c>
    </row>
    <row r="265" spans="1:9" x14ac:dyDescent="0.25">
      <c r="A265" s="2">
        <v>131</v>
      </c>
      <c r="B265" s="2" t="s">
        <v>950</v>
      </c>
      <c r="C265" s="2" t="s">
        <v>14</v>
      </c>
      <c r="D265" s="2">
        <v>0</v>
      </c>
      <c r="E265" s="2">
        <v>322</v>
      </c>
      <c r="F265" s="2">
        <v>322</v>
      </c>
      <c r="G265" s="2">
        <f t="shared" si="35"/>
        <v>322</v>
      </c>
      <c r="H265" s="19" t="str">
        <f t="shared" si="30"/>
        <v>2.6-131</v>
      </c>
      <c r="I265" s="2" t="str">
        <f t="shared" si="31"/>
        <v>სხ</v>
      </c>
    </row>
    <row r="266" spans="1:9" x14ac:dyDescent="0.25">
      <c r="A266" s="2">
        <v>132</v>
      </c>
      <c r="B266" s="2" t="s">
        <v>913</v>
      </c>
      <c r="C266" s="2" t="s">
        <v>14</v>
      </c>
      <c r="D266" s="2">
        <v>0</v>
      </c>
      <c r="E266" s="2">
        <v>7.1</v>
      </c>
      <c r="F266" s="2">
        <v>7.1</v>
      </c>
      <c r="G266" s="2">
        <f t="shared" ref="G266:G282" si="36">(E266+F266)/2</f>
        <v>7.1</v>
      </c>
      <c r="H266" s="19" t="str">
        <f t="shared" si="30"/>
        <v>2.6-132</v>
      </c>
      <c r="I266" s="2" t="str">
        <f t="shared" si="31"/>
        <v>სხ</v>
      </c>
    </row>
    <row r="267" spans="1:9" x14ac:dyDescent="0.25">
      <c r="A267" s="2">
        <v>133</v>
      </c>
      <c r="B267" s="2" t="s">
        <v>914</v>
      </c>
      <c r="C267" s="2" t="s">
        <v>14</v>
      </c>
      <c r="D267" s="2">
        <v>0</v>
      </c>
      <c r="E267" s="2">
        <v>7.1</v>
      </c>
      <c r="F267" s="2">
        <v>7.1</v>
      </c>
      <c r="G267" s="2">
        <f t="shared" ref="G267" si="37">(E267+F267)/2</f>
        <v>7.1</v>
      </c>
      <c r="H267" s="19" t="str">
        <f t="shared" si="30"/>
        <v>2.6-133</v>
      </c>
      <c r="I267" s="2" t="str">
        <f t="shared" si="31"/>
        <v>სხ</v>
      </c>
    </row>
    <row r="268" spans="1:9" x14ac:dyDescent="0.25">
      <c r="A268" s="2">
        <v>134</v>
      </c>
      <c r="B268" s="2" t="s">
        <v>915</v>
      </c>
      <c r="C268" s="2" t="s">
        <v>14</v>
      </c>
      <c r="D268" s="2">
        <v>0</v>
      </c>
      <c r="E268" s="2">
        <v>10.3</v>
      </c>
      <c r="F268" s="2">
        <v>10.3</v>
      </c>
      <c r="G268" s="2">
        <f t="shared" ref="G268:G271" si="38">(E268+F268)/2</f>
        <v>10.3</v>
      </c>
      <c r="H268" s="19" t="str">
        <f t="shared" si="30"/>
        <v>2.6-134</v>
      </c>
      <c r="I268" s="2" t="str">
        <f t="shared" si="31"/>
        <v>სხ</v>
      </c>
    </row>
    <row r="269" spans="1:9" x14ac:dyDescent="0.25">
      <c r="A269" s="2">
        <v>135</v>
      </c>
      <c r="B269" s="2" t="s">
        <v>916</v>
      </c>
      <c r="C269" s="2" t="s">
        <v>14</v>
      </c>
      <c r="D269" s="2">
        <v>0</v>
      </c>
      <c r="E269" s="2">
        <v>12.2</v>
      </c>
      <c r="F269" s="2">
        <v>12.2</v>
      </c>
      <c r="G269" s="2">
        <f t="shared" si="38"/>
        <v>12.2</v>
      </c>
      <c r="H269" s="19" t="str">
        <f t="shared" si="30"/>
        <v>2.6-135</v>
      </c>
      <c r="I269" s="2" t="str">
        <f t="shared" si="31"/>
        <v>სხ</v>
      </c>
    </row>
    <row r="270" spans="1:9" x14ac:dyDescent="0.25">
      <c r="A270" s="2">
        <v>136</v>
      </c>
      <c r="B270" s="2" t="s">
        <v>917</v>
      </c>
      <c r="C270" s="2" t="s">
        <v>14</v>
      </c>
      <c r="D270" s="2">
        <v>0</v>
      </c>
      <c r="E270" s="2">
        <v>19</v>
      </c>
      <c r="F270" s="2">
        <v>19</v>
      </c>
      <c r="G270" s="2">
        <f t="shared" si="38"/>
        <v>19</v>
      </c>
      <c r="H270" s="19" t="str">
        <f t="shared" si="30"/>
        <v>2.6-136</v>
      </c>
      <c r="I270" s="2" t="str">
        <f t="shared" si="31"/>
        <v>სხ</v>
      </c>
    </row>
    <row r="271" spans="1:9" x14ac:dyDescent="0.25">
      <c r="A271" s="2">
        <v>137</v>
      </c>
      <c r="B271" s="2" t="s">
        <v>918</v>
      </c>
      <c r="C271" s="2" t="s">
        <v>14</v>
      </c>
      <c r="D271" s="2">
        <v>0</v>
      </c>
      <c r="E271" s="2">
        <v>21.4</v>
      </c>
      <c r="F271" s="2">
        <v>21.4</v>
      </c>
      <c r="G271" s="2">
        <f t="shared" si="38"/>
        <v>21.4</v>
      </c>
      <c r="H271" s="19" t="str">
        <f t="shared" si="30"/>
        <v>2.6-137</v>
      </c>
      <c r="I271" s="2" t="str">
        <f t="shared" si="31"/>
        <v>სხ</v>
      </c>
    </row>
    <row r="272" spans="1:9" x14ac:dyDescent="0.25">
      <c r="A272" s="2">
        <v>138</v>
      </c>
      <c r="B272" s="2" t="s">
        <v>919</v>
      </c>
      <c r="C272" s="2" t="s">
        <v>14</v>
      </c>
      <c r="D272" s="2">
        <v>0</v>
      </c>
      <c r="E272" s="2">
        <v>29.8</v>
      </c>
      <c r="F272" s="2">
        <v>29.8</v>
      </c>
      <c r="G272" s="2">
        <f t="shared" ref="G272" si="39">(E272+F272)/2</f>
        <v>29.8</v>
      </c>
      <c r="H272" s="19" t="str">
        <f t="shared" si="30"/>
        <v>2.6-138</v>
      </c>
      <c r="I272" s="2" t="str">
        <f t="shared" si="31"/>
        <v>სხ</v>
      </c>
    </row>
    <row r="273" spans="1:9" x14ac:dyDescent="0.25">
      <c r="A273" s="2">
        <v>139</v>
      </c>
      <c r="B273" s="2" t="s">
        <v>920</v>
      </c>
      <c r="C273" s="2" t="s">
        <v>14</v>
      </c>
      <c r="D273" s="2">
        <v>0</v>
      </c>
      <c r="E273" s="2">
        <v>33.9</v>
      </c>
      <c r="F273" s="2">
        <v>33.9</v>
      </c>
      <c r="G273" s="2">
        <f t="shared" si="36"/>
        <v>33.9</v>
      </c>
      <c r="H273" s="19" t="str">
        <f t="shared" si="30"/>
        <v>2.6-139</v>
      </c>
      <c r="I273" s="2" t="str">
        <f t="shared" si="31"/>
        <v>სხ</v>
      </c>
    </row>
    <row r="274" spans="1:9" x14ac:dyDescent="0.25">
      <c r="A274" s="2">
        <v>140</v>
      </c>
      <c r="B274" s="2" t="s">
        <v>921</v>
      </c>
      <c r="C274" s="2" t="s">
        <v>14</v>
      </c>
      <c r="D274" s="2">
        <v>0</v>
      </c>
      <c r="E274" s="2">
        <v>38.700000000000003</v>
      </c>
      <c r="F274" s="2">
        <v>38.700000000000003</v>
      </c>
      <c r="G274" s="2">
        <f t="shared" si="36"/>
        <v>38.700000000000003</v>
      </c>
      <c r="H274" s="19" t="str">
        <f t="shared" si="30"/>
        <v>2.6-140</v>
      </c>
      <c r="I274" s="2" t="str">
        <f t="shared" si="31"/>
        <v>სხ</v>
      </c>
    </row>
    <row r="275" spans="1:9" x14ac:dyDescent="0.25">
      <c r="A275" s="2">
        <v>141</v>
      </c>
      <c r="B275" s="2" t="s">
        <v>922</v>
      </c>
      <c r="C275" s="2" t="s">
        <v>14</v>
      </c>
      <c r="D275" s="2">
        <v>0</v>
      </c>
      <c r="E275" s="2">
        <v>44</v>
      </c>
      <c r="F275" s="2">
        <v>44</v>
      </c>
      <c r="G275" s="2">
        <f t="shared" ref="G275:G276" si="40">(E275+F275)/2</f>
        <v>44</v>
      </c>
      <c r="H275" s="19" t="str">
        <f t="shared" si="30"/>
        <v>2.6-141</v>
      </c>
      <c r="I275" s="2" t="str">
        <f t="shared" si="31"/>
        <v>სხ</v>
      </c>
    </row>
    <row r="276" spans="1:9" x14ac:dyDescent="0.25">
      <c r="A276" s="2">
        <v>142</v>
      </c>
      <c r="B276" s="2" t="s">
        <v>923</v>
      </c>
      <c r="C276" s="2" t="s">
        <v>14</v>
      </c>
      <c r="D276" s="2">
        <v>0</v>
      </c>
      <c r="E276" s="2">
        <v>53.9</v>
      </c>
      <c r="F276" s="2">
        <v>53.9</v>
      </c>
      <c r="G276" s="2">
        <f t="shared" si="40"/>
        <v>53.9</v>
      </c>
      <c r="H276" s="19" t="str">
        <f t="shared" si="30"/>
        <v>2.6-142</v>
      </c>
      <c r="I276" s="2" t="str">
        <f t="shared" si="31"/>
        <v>სხ</v>
      </c>
    </row>
    <row r="277" spans="1:9" x14ac:dyDescent="0.25">
      <c r="A277" s="2">
        <v>143</v>
      </c>
      <c r="B277" s="2" t="s">
        <v>924</v>
      </c>
      <c r="C277" s="2" t="s">
        <v>14</v>
      </c>
      <c r="D277" s="2">
        <v>0</v>
      </c>
      <c r="E277" s="2">
        <v>61.2</v>
      </c>
      <c r="F277" s="2">
        <v>61.2</v>
      </c>
      <c r="G277" s="2">
        <f t="shared" ref="G277:G278" si="41">(E277+F277)/2</f>
        <v>61.2</v>
      </c>
      <c r="H277" s="19" t="str">
        <f t="shared" si="30"/>
        <v>2.6-143</v>
      </c>
      <c r="I277" s="2" t="str">
        <f t="shared" si="31"/>
        <v>სხ</v>
      </c>
    </row>
    <row r="278" spans="1:9" x14ac:dyDescent="0.25">
      <c r="A278" s="2">
        <v>144</v>
      </c>
      <c r="B278" s="2" t="s">
        <v>925</v>
      </c>
      <c r="C278" s="2" t="s">
        <v>14</v>
      </c>
      <c r="D278" s="2">
        <v>0</v>
      </c>
      <c r="E278" s="2">
        <v>93.2</v>
      </c>
      <c r="F278" s="2">
        <v>93.2</v>
      </c>
      <c r="G278" s="2">
        <f t="shared" si="41"/>
        <v>93.2</v>
      </c>
      <c r="H278" s="19" t="str">
        <f t="shared" si="30"/>
        <v>2.6-144</v>
      </c>
      <c r="I278" s="2" t="str">
        <f t="shared" si="31"/>
        <v>სხ</v>
      </c>
    </row>
    <row r="279" spans="1:9" x14ac:dyDescent="0.25">
      <c r="A279" s="2">
        <v>145</v>
      </c>
      <c r="B279" s="2" t="s">
        <v>926</v>
      </c>
      <c r="C279" s="2" t="s">
        <v>14</v>
      </c>
      <c r="D279" s="2">
        <v>0</v>
      </c>
      <c r="E279" s="2">
        <v>103.9</v>
      </c>
      <c r="F279" s="2">
        <v>103.9</v>
      </c>
      <c r="G279" s="2">
        <f t="shared" ref="G279:G280" si="42">(E279+F279)/2</f>
        <v>103.9</v>
      </c>
      <c r="H279" s="19" t="str">
        <f t="shared" si="30"/>
        <v>2.6-145</v>
      </c>
      <c r="I279" s="2" t="str">
        <f t="shared" si="31"/>
        <v>სხ</v>
      </c>
    </row>
    <row r="280" spans="1:9" x14ac:dyDescent="0.25">
      <c r="A280" s="2">
        <v>146</v>
      </c>
      <c r="B280" s="2" t="s">
        <v>927</v>
      </c>
      <c r="C280" s="2" t="s">
        <v>14</v>
      </c>
      <c r="D280" s="2">
        <v>0</v>
      </c>
      <c r="E280" s="2">
        <v>145.6</v>
      </c>
      <c r="F280" s="2">
        <v>145.6</v>
      </c>
      <c r="G280" s="2">
        <f t="shared" si="42"/>
        <v>145.6</v>
      </c>
      <c r="H280" s="19" t="str">
        <f t="shared" si="30"/>
        <v>2.6-146</v>
      </c>
      <c r="I280" s="2" t="str">
        <f t="shared" si="31"/>
        <v>სხ</v>
      </c>
    </row>
    <row r="281" spans="1:9" x14ac:dyDescent="0.25">
      <c r="A281" s="2">
        <v>147</v>
      </c>
      <c r="B281" s="2" t="s">
        <v>928</v>
      </c>
      <c r="C281" s="2" t="s">
        <v>14</v>
      </c>
      <c r="D281" s="2">
        <v>0</v>
      </c>
      <c r="E281" s="2">
        <v>163.6</v>
      </c>
      <c r="F281" s="2">
        <v>163.6</v>
      </c>
      <c r="G281" s="2">
        <f t="shared" ref="G281" si="43">(E281+F281)/2</f>
        <v>163.6</v>
      </c>
      <c r="H281" s="19" t="str">
        <f t="shared" si="30"/>
        <v>2.6-147</v>
      </c>
      <c r="I281" s="2" t="str">
        <f t="shared" si="31"/>
        <v>სხ</v>
      </c>
    </row>
    <row r="282" spans="1:9" x14ac:dyDescent="0.25">
      <c r="A282" s="2"/>
      <c r="B282" s="2"/>
      <c r="C282" s="2"/>
      <c r="D282" s="2"/>
      <c r="E282" s="2"/>
      <c r="F282" s="2"/>
      <c r="G282" s="2">
        <f t="shared" si="36"/>
        <v>0</v>
      </c>
      <c r="H282" s="2"/>
      <c r="I282" s="2" t="str">
        <f t="shared" si="31"/>
        <v>სხ</v>
      </c>
    </row>
    <row r="283" spans="1:9" ht="20.25" thickBot="1" x14ac:dyDescent="0.3">
      <c r="A283" s="64"/>
      <c r="B283" s="64" t="s">
        <v>280</v>
      </c>
      <c r="C283" s="64"/>
      <c r="D283" s="64"/>
      <c r="E283" s="64"/>
      <c r="F283" s="64"/>
      <c r="G283" s="64"/>
      <c r="H283" s="62"/>
      <c r="I283" s="62" t="s">
        <v>680</v>
      </c>
    </row>
    <row r="284" spans="1:9" ht="20.25" thickTop="1" x14ac:dyDescent="0.25">
      <c r="A284" s="2">
        <v>1</v>
      </c>
      <c r="B284" s="2" t="s">
        <v>281</v>
      </c>
      <c r="C284" s="2" t="s">
        <v>66</v>
      </c>
      <c r="D284" s="2">
        <v>3.6</v>
      </c>
      <c r="E284" s="2">
        <v>0.41</v>
      </c>
      <c r="F284" s="2">
        <v>0.41</v>
      </c>
      <c r="G284" s="2">
        <f>(E284+F284)/2</f>
        <v>0.41</v>
      </c>
      <c r="H284" s="19" t="str">
        <f>"4.1-"&amp;A284</f>
        <v>4.1-1</v>
      </c>
      <c r="I284" s="2" t="str">
        <f>$I$283</f>
        <v>აბ</v>
      </c>
    </row>
    <row r="285" spans="1:9" x14ac:dyDescent="0.25">
      <c r="A285" s="2"/>
      <c r="B285" s="2" t="s">
        <v>25</v>
      </c>
      <c r="C285" s="2"/>
      <c r="D285" s="2"/>
      <c r="E285" s="2"/>
      <c r="F285" s="2"/>
      <c r="G285" s="2"/>
      <c r="H285" s="19"/>
      <c r="I285" s="2"/>
    </row>
    <row r="286" spans="1:9" x14ac:dyDescent="0.25">
      <c r="A286" s="2">
        <v>24</v>
      </c>
      <c r="B286" s="2" t="s">
        <v>1041</v>
      </c>
      <c r="C286" s="2" t="s">
        <v>66</v>
      </c>
      <c r="D286" s="2">
        <v>0</v>
      </c>
      <c r="E286" s="2">
        <v>1.4</v>
      </c>
      <c r="F286" s="2">
        <v>1.4</v>
      </c>
      <c r="G286" s="2">
        <v>1.4</v>
      </c>
      <c r="H286" s="19" t="str">
        <f>"4.1-"&amp;A286</f>
        <v>4.1-24</v>
      </c>
      <c r="I286" s="2" t="str">
        <f>$I$283</f>
        <v>აბ</v>
      </c>
    </row>
    <row r="287" spans="1:9" x14ac:dyDescent="0.25">
      <c r="A287" s="2"/>
      <c r="B287" s="2" t="s">
        <v>25</v>
      </c>
      <c r="C287" s="2"/>
      <c r="D287" s="2"/>
      <c r="E287" s="2"/>
      <c r="F287" s="2"/>
      <c r="G287" s="2"/>
      <c r="H287" s="19"/>
      <c r="I287" s="2" t="str">
        <f t="shared" ref="I287:I290" si="44">$I$283</f>
        <v>აბ</v>
      </c>
    </row>
    <row r="288" spans="1:9" x14ac:dyDescent="0.25">
      <c r="A288" s="2">
        <v>34</v>
      </c>
      <c r="B288" s="2" t="s">
        <v>282</v>
      </c>
      <c r="C288" s="2" t="s">
        <v>66</v>
      </c>
      <c r="D288" s="2">
        <v>0</v>
      </c>
      <c r="E288" s="2">
        <v>1</v>
      </c>
      <c r="F288" s="2">
        <v>1</v>
      </c>
      <c r="G288" s="2">
        <f>(E288+F288)/2</f>
        <v>1</v>
      </c>
      <c r="H288" s="19" t="str">
        <f>"4.1-"&amp;A288</f>
        <v>4.1-34</v>
      </c>
      <c r="I288" s="2" t="str">
        <f t="shared" si="44"/>
        <v>აბ</v>
      </c>
    </row>
    <row r="289" spans="1:9" x14ac:dyDescent="0.25">
      <c r="A289" s="2">
        <v>34</v>
      </c>
      <c r="B289" s="2" t="s">
        <v>283</v>
      </c>
      <c r="C289" s="2" t="s">
        <v>66</v>
      </c>
      <c r="D289" s="2">
        <v>0</v>
      </c>
      <c r="E289" s="2">
        <v>1.1499999999999999</v>
      </c>
      <c r="F289" s="2">
        <v>1.1499999999999999</v>
      </c>
      <c r="G289" s="2">
        <f>(E289+F289)/2</f>
        <v>1.1499999999999999</v>
      </c>
      <c r="H289" s="19" t="str">
        <f>"4.1-"&amp;A289</f>
        <v>4.1-34</v>
      </c>
      <c r="I289" s="2" t="str">
        <f t="shared" si="44"/>
        <v>აბ</v>
      </c>
    </row>
    <row r="290" spans="1:9" ht="20.25" thickBot="1" x14ac:dyDescent="0.3">
      <c r="A290" s="2"/>
      <c r="B290" s="2" t="s">
        <v>25</v>
      </c>
      <c r="C290" s="2"/>
      <c r="D290" s="2"/>
      <c r="E290" s="2"/>
      <c r="F290" s="2"/>
      <c r="G290" s="2"/>
      <c r="H290" s="19"/>
      <c r="I290" s="2" t="str">
        <f t="shared" si="44"/>
        <v>აბ</v>
      </c>
    </row>
    <row r="291" spans="1:9" ht="21" thickTop="1" thickBot="1" x14ac:dyDescent="0.3">
      <c r="A291" s="4"/>
      <c r="B291" s="4" t="s">
        <v>284</v>
      </c>
      <c r="C291" s="4"/>
      <c r="D291" s="4"/>
      <c r="E291" s="4"/>
      <c r="F291" s="4"/>
      <c r="G291" s="4"/>
      <c r="H291" s="7"/>
      <c r="I291" s="7" t="s">
        <v>680</v>
      </c>
    </row>
    <row r="292" spans="1:9" ht="20.25" thickTop="1" x14ac:dyDescent="0.25">
      <c r="A292" s="2"/>
      <c r="B292" s="2" t="s">
        <v>25</v>
      </c>
      <c r="C292" s="2"/>
      <c r="D292" s="2"/>
      <c r="E292" s="2"/>
      <c r="F292" s="2"/>
      <c r="G292" s="2">
        <f>(E292+F292)/2</f>
        <v>0</v>
      </c>
      <c r="H292" s="19"/>
      <c r="I292" s="2" t="str">
        <f>$I$291</f>
        <v>აბ</v>
      </c>
    </row>
    <row r="293" spans="1:9" x14ac:dyDescent="0.25">
      <c r="A293" s="2">
        <v>70</v>
      </c>
      <c r="B293" s="2" t="s">
        <v>285</v>
      </c>
      <c r="C293" s="2" t="s">
        <v>66</v>
      </c>
      <c r="D293" s="2">
        <v>5</v>
      </c>
      <c r="E293" s="2">
        <v>0.5</v>
      </c>
      <c r="F293" s="2">
        <v>0.5</v>
      </c>
      <c r="G293" s="2">
        <f>(E293+F293)/2</f>
        <v>0.5</v>
      </c>
      <c r="H293" s="19" t="str">
        <f>"4.1-"&amp;A293</f>
        <v>4.1-70</v>
      </c>
      <c r="I293" s="2" t="str">
        <f t="shared" ref="I293:I294" si="45">$I$291</f>
        <v>აბ</v>
      </c>
    </row>
    <row r="294" spans="1:9" ht="20.25" thickBot="1" x14ac:dyDescent="0.3">
      <c r="A294" s="2"/>
      <c r="B294" s="2" t="s">
        <v>25</v>
      </c>
      <c r="C294" s="2"/>
      <c r="D294" s="2"/>
      <c r="E294" s="2"/>
      <c r="F294" s="2"/>
      <c r="G294" s="2">
        <f>(E294+F294)/2</f>
        <v>0</v>
      </c>
      <c r="H294" s="19"/>
      <c r="I294" s="2" t="str">
        <f t="shared" si="45"/>
        <v>აბ</v>
      </c>
    </row>
    <row r="295" spans="1:9" ht="21" thickTop="1" thickBot="1" x14ac:dyDescent="0.3">
      <c r="A295" s="4"/>
      <c r="B295" s="4" t="s">
        <v>286</v>
      </c>
      <c r="C295" s="4"/>
      <c r="D295" s="4"/>
      <c r="E295" s="4"/>
      <c r="F295" s="4"/>
      <c r="G295" s="4"/>
      <c r="H295" s="7"/>
      <c r="I295" s="7" t="s">
        <v>680</v>
      </c>
    </row>
    <row r="296" spans="1:9" ht="20.25" thickTop="1" x14ac:dyDescent="0.25">
      <c r="A296" s="2">
        <v>91</v>
      </c>
      <c r="B296" s="2" t="s">
        <v>287</v>
      </c>
      <c r="C296" s="2" t="s">
        <v>14</v>
      </c>
      <c r="D296" s="2">
        <v>275</v>
      </c>
      <c r="E296" s="2">
        <v>50</v>
      </c>
      <c r="F296" s="2">
        <v>50</v>
      </c>
      <c r="G296" s="2">
        <f t="shared" ref="G296:G317" si="46">(E296+F296)/2</f>
        <v>50</v>
      </c>
      <c r="H296" s="19" t="str">
        <f>"4.1-"&amp;A296</f>
        <v>4.1-91</v>
      </c>
      <c r="I296" s="2" t="str">
        <f>$I$295</f>
        <v>აბ</v>
      </c>
    </row>
    <row r="297" spans="1:9" x14ac:dyDescent="0.25">
      <c r="A297" s="2">
        <v>92</v>
      </c>
      <c r="B297" s="2" t="s">
        <v>288</v>
      </c>
      <c r="C297" s="2" t="s">
        <v>14</v>
      </c>
      <c r="D297" s="2">
        <v>425</v>
      </c>
      <c r="E297" s="2">
        <v>62</v>
      </c>
      <c r="F297" s="2">
        <v>62</v>
      </c>
      <c r="G297" s="2">
        <f t="shared" si="46"/>
        <v>62</v>
      </c>
      <c r="H297" s="19" t="str">
        <f t="shared" ref="H297:H351" si="47">"4.1-"&amp;A297</f>
        <v>4.1-92</v>
      </c>
      <c r="I297" s="2" t="str">
        <f t="shared" ref="I297:I352" si="48">$I$295</f>
        <v>აბ</v>
      </c>
    </row>
    <row r="298" spans="1:9" x14ac:dyDescent="0.25">
      <c r="A298" s="2">
        <v>93</v>
      </c>
      <c r="B298" s="2" t="s">
        <v>289</v>
      </c>
      <c r="C298" s="2" t="s">
        <v>14</v>
      </c>
      <c r="D298" s="2">
        <v>575</v>
      </c>
      <c r="E298" s="2">
        <v>84</v>
      </c>
      <c r="F298" s="2">
        <v>84</v>
      </c>
      <c r="G298" s="2">
        <f t="shared" si="46"/>
        <v>84</v>
      </c>
      <c r="H298" s="19" t="str">
        <f t="shared" si="47"/>
        <v>4.1-93</v>
      </c>
      <c r="I298" s="2" t="str">
        <f t="shared" si="48"/>
        <v>აბ</v>
      </c>
    </row>
    <row r="299" spans="1:9" x14ac:dyDescent="0.25">
      <c r="A299" s="2">
        <v>94</v>
      </c>
      <c r="B299" s="2" t="s">
        <v>290</v>
      </c>
      <c r="C299" s="2" t="s">
        <v>14</v>
      </c>
      <c r="D299" s="2">
        <v>700</v>
      </c>
      <c r="E299" s="2">
        <v>93</v>
      </c>
      <c r="F299" s="2">
        <v>93</v>
      </c>
      <c r="G299" s="2">
        <f t="shared" si="46"/>
        <v>93</v>
      </c>
      <c r="H299" s="19" t="str">
        <f t="shared" si="47"/>
        <v>4.1-94</v>
      </c>
      <c r="I299" s="2" t="str">
        <f t="shared" si="48"/>
        <v>აბ</v>
      </c>
    </row>
    <row r="300" spans="1:9" x14ac:dyDescent="0.25">
      <c r="A300" s="2">
        <v>95</v>
      </c>
      <c r="B300" s="2" t="s">
        <v>291</v>
      </c>
      <c r="C300" s="2" t="s">
        <v>14</v>
      </c>
      <c r="D300" s="2">
        <v>850</v>
      </c>
      <c r="E300" s="2">
        <v>102</v>
      </c>
      <c r="F300" s="2">
        <v>102</v>
      </c>
      <c r="G300" s="2">
        <f t="shared" si="46"/>
        <v>102</v>
      </c>
      <c r="H300" s="19" t="str">
        <f t="shared" si="47"/>
        <v>4.1-95</v>
      </c>
      <c r="I300" s="2" t="str">
        <f t="shared" si="48"/>
        <v>აბ</v>
      </c>
    </row>
    <row r="301" spans="1:9" x14ac:dyDescent="0.25">
      <c r="A301" s="2">
        <v>96</v>
      </c>
      <c r="B301" s="2" t="s">
        <v>292</v>
      </c>
      <c r="C301" s="2" t="s">
        <v>14</v>
      </c>
      <c r="D301" s="2">
        <v>1100</v>
      </c>
      <c r="E301" s="2">
        <v>113</v>
      </c>
      <c r="F301" s="2">
        <v>113</v>
      </c>
      <c r="G301" s="2">
        <f t="shared" si="46"/>
        <v>113</v>
      </c>
      <c r="H301" s="19" t="str">
        <f t="shared" si="47"/>
        <v>4.1-96</v>
      </c>
      <c r="I301" s="2" t="str">
        <f t="shared" si="48"/>
        <v>აბ</v>
      </c>
    </row>
    <row r="302" spans="1:9" x14ac:dyDescent="0.25">
      <c r="A302" s="2">
        <v>97</v>
      </c>
      <c r="B302" s="2" t="s">
        <v>293</v>
      </c>
      <c r="C302" s="2" t="s">
        <v>14</v>
      </c>
      <c r="D302" s="2">
        <v>1325</v>
      </c>
      <c r="E302" s="2">
        <v>124</v>
      </c>
      <c r="F302" s="2">
        <v>124</v>
      </c>
      <c r="G302" s="2">
        <f t="shared" si="46"/>
        <v>124</v>
      </c>
      <c r="H302" s="19" t="str">
        <f t="shared" si="47"/>
        <v>4.1-97</v>
      </c>
      <c r="I302" s="2" t="str">
        <f t="shared" si="48"/>
        <v>აბ</v>
      </c>
    </row>
    <row r="303" spans="1:9" x14ac:dyDescent="0.25">
      <c r="A303" s="2">
        <v>98</v>
      </c>
      <c r="B303" s="2" t="s">
        <v>294</v>
      </c>
      <c r="C303" s="2" t="s">
        <v>14</v>
      </c>
      <c r="D303" s="2">
        <v>2075</v>
      </c>
      <c r="E303" s="2">
        <v>136</v>
      </c>
      <c r="F303" s="2">
        <v>136</v>
      </c>
      <c r="G303" s="2">
        <f t="shared" si="46"/>
        <v>136</v>
      </c>
      <c r="H303" s="19" t="str">
        <f t="shared" si="47"/>
        <v>4.1-98</v>
      </c>
      <c r="I303" s="2" t="str">
        <f t="shared" si="48"/>
        <v>აბ</v>
      </c>
    </row>
    <row r="304" spans="1:9" x14ac:dyDescent="0.25">
      <c r="A304" s="2">
        <v>99</v>
      </c>
      <c r="B304" s="2" t="s">
        <v>295</v>
      </c>
      <c r="C304" s="2" t="s">
        <v>14</v>
      </c>
      <c r="D304" s="2">
        <v>3100</v>
      </c>
      <c r="E304" s="2">
        <v>237</v>
      </c>
      <c r="F304" s="2">
        <v>237</v>
      </c>
      <c r="G304" s="2">
        <f t="shared" si="46"/>
        <v>237</v>
      </c>
      <c r="H304" s="19" t="str">
        <f t="shared" si="47"/>
        <v>4.1-99</v>
      </c>
      <c r="I304" s="2" t="str">
        <f t="shared" si="48"/>
        <v>აბ</v>
      </c>
    </row>
    <row r="305" spans="1:9" x14ac:dyDescent="0.25">
      <c r="A305" s="2">
        <v>100</v>
      </c>
      <c r="B305" s="2" t="s">
        <v>296</v>
      </c>
      <c r="C305" s="2" t="s">
        <v>66</v>
      </c>
      <c r="D305" s="2">
        <v>0</v>
      </c>
      <c r="E305" s="2">
        <v>68</v>
      </c>
      <c r="F305" s="2">
        <v>68</v>
      </c>
      <c r="G305" s="2">
        <f t="shared" si="46"/>
        <v>68</v>
      </c>
      <c r="H305" s="19" t="str">
        <f t="shared" si="47"/>
        <v>4.1-100</v>
      </c>
      <c r="I305" s="2" t="str">
        <f t="shared" si="48"/>
        <v>აბ</v>
      </c>
    </row>
    <row r="306" spans="1:9" x14ac:dyDescent="0.25">
      <c r="A306" s="2">
        <v>101</v>
      </c>
      <c r="B306" s="2" t="s">
        <v>297</v>
      </c>
      <c r="C306" s="2" t="s">
        <v>66</v>
      </c>
      <c r="D306" s="2">
        <v>0</v>
      </c>
      <c r="E306" s="2">
        <v>92</v>
      </c>
      <c r="F306" s="2">
        <v>92</v>
      </c>
      <c r="G306" s="2">
        <f t="shared" si="46"/>
        <v>92</v>
      </c>
      <c r="H306" s="19" t="str">
        <f t="shared" si="47"/>
        <v>4.1-101</v>
      </c>
      <c r="I306" s="2" t="str">
        <f t="shared" si="48"/>
        <v>აბ</v>
      </c>
    </row>
    <row r="307" spans="1:9" x14ac:dyDescent="0.25">
      <c r="A307" s="2">
        <v>102</v>
      </c>
      <c r="B307" s="2" t="s">
        <v>298</v>
      </c>
      <c r="C307" s="2" t="s">
        <v>66</v>
      </c>
      <c r="D307" s="2">
        <v>0</v>
      </c>
      <c r="E307" s="2">
        <v>153</v>
      </c>
      <c r="F307" s="2">
        <v>153</v>
      </c>
      <c r="G307" s="2">
        <f t="shared" si="46"/>
        <v>153</v>
      </c>
      <c r="H307" s="19" t="str">
        <f t="shared" si="47"/>
        <v>4.1-102</v>
      </c>
      <c r="I307" s="2" t="str">
        <f t="shared" si="48"/>
        <v>აბ</v>
      </c>
    </row>
    <row r="308" spans="1:9" x14ac:dyDescent="0.25">
      <c r="A308" s="2">
        <v>103</v>
      </c>
      <c r="B308" s="2" t="s">
        <v>299</v>
      </c>
      <c r="C308" s="2" t="s">
        <v>66</v>
      </c>
      <c r="D308" s="2">
        <v>0</v>
      </c>
      <c r="E308" s="2">
        <v>229</v>
      </c>
      <c r="F308" s="2">
        <v>229</v>
      </c>
      <c r="G308" s="2">
        <f t="shared" si="46"/>
        <v>229</v>
      </c>
      <c r="H308" s="19" t="str">
        <f t="shared" si="47"/>
        <v>4.1-103</v>
      </c>
      <c r="I308" s="2" t="str">
        <f t="shared" si="48"/>
        <v>აბ</v>
      </c>
    </row>
    <row r="309" spans="1:9" x14ac:dyDescent="0.25">
      <c r="A309" s="2">
        <v>104</v>
      </c>
      <c r="B309" s="2" t="s">
        <v>300</v>
      </c>
      <c r="C309" s="2" t="s">
        <v>66</v>
      </c>
      <c r="D309" s="2">
        <v>0</v>
      </c>
      <c r="E309" s="2">
        <v>220</v>
      </c>
      <c r="F309" s="2">
        <v>220</v>
      </c>
      <c r="G309" s="2">
        <f t="shared" si="46"/>
        <v>220</v>
      </c>
      <c r="H309" s="19" t="str">
        <f t="shared" si="47"/>
        <v>4.1-104</v>
      </c>
      <c r="I309" s="2" t="str">
        <f t="shared" si="48"/>
        <v>აბ</v>
      </c>
    </row>
    <row r="310" spans="1:9" x14ac:dyDescent="0.25">
      <c r="A310" s="2">
        <v>105</v>
      </c>
      <c r="B310" s="2" t="s">
        <v>301</v>
      </c>
      <c r="C310" s="2" t="s">
        <v>66</v>
      </c>
      <c r="D310" s="2">
        <v>0</v>
      </c>
      <c r="E310" s="2">
        <v>276</v>
      </c>
      <c r="F310" s="2">
        <v>276</v>
      </c>
      <c r="G310" s="2">
        <f t="shared" si="46"/>
        <v>276</v>
      </c>
      <c r="H310" s="19" t="str">
        <f t="shared" si="47"/>
        <v>4.1-105</v>
      </c>
      <c r="I310" s="2" t="str">
        <f t="shared" si="48"/>
        <v>აბ</v>
      </c>
    </row>
    <row r="311" spans="1:9" x14ac:dyDescent="0.25">
      <c r="A311" s="2">
        <v>106</v>
      </c>
      <c r="B311" s="2" t="s">
        <v>958</v>
      </c>
      <c r="C311" s="2" t="s">
        <v>66</v>
      </c>
      <c r="D311" s="2">
        <v>0</v>
      </c>
      <c r="E311" s="2">
        <v>141</v>
      </c>
      <c r="F311" s="2">
        <v>141</v>
      </c>
      <c r="G311" s="2">
        <f t="shared" si="46"/>
        <v>141</v>
      </c>
      <c r="H311" s="19" t="str">
        <f t="shared" ref="H311:H317" si="49">"4.1-"&amp;A311</f>
        <v>4.1-106</v>
      </c>
      <c r="I311" s="2" t="str">
        <f t="shared" si="48"/>
        <v>აბ</v>
      </c>
    </row>
    <row r="312" spans="1:9" x14ac:dyDescent="0.25">
      <c r="A312" s="2">
        <v>107</v>
      </c>
      <c r="B312" s="2" t="s">
        <v>959</v>
      </c>
      <c r="C312" s="2" t="s">
        <v>66</v>
      </c>
      <c r="D312" s="2">
        <v>0</v>
      </c>
      <c r="E312" s="2">
        <v>280</v>
      </c>
      <c r="F312" s="2">
        <v>280</v>
      </c>
      <c r="G312" s="2">
        <f t="shared" si="46"/>
        <v>280</v>
      </c>
      <c r="H312" s="19" t="str">
        <f t="shared" si="49"/>
        <v>4.1-107</v>
      </c>
      <c r="I312" s="2" t="str">
        <f t="shared" si="48"/>
        <v>აბ</v>
      </c>
    </row>
    <row r="313" spans="1:9" x14ac:dyDescent="0.25">
      <c r="A313" s="2">
        <v>108</v>
      </c>
      <c r="B313" s="2" t="s">
        <v>960</v>
      </c>
      <c r="C313" s="2" t="s">
        <v>66</v>
      </c>
      <c r="D313" s="2">
        <v>0</v>
      </c>
      <c r="E313" s="2">
        <v>263</v>
      </c>
      <c r="F313" s="2">
        <v>263</v>
      </c>
      <c r="G313" s="2">
        <f t="shared" si="46"/>
        <v>263</v>
      </c>
      <c r="H313" s="19" t="str">
        <f t="shared" si="49"/>
        <v>4.1-108</v>
      </c>
      <c r="I313" s="2" t="str">
        <f t="shared" si="48"/>
        <v>აბ</v>
      </c>
    </row>
    <row r="314" spans="1:9" x14ac:dyDescent="0.25">
      <c r="A314" s="2">
        <v>109</v>
      </c>
      <c r="B314" s="2" t="s">
        <v>961</v>
      </c>
      <c r="C314" s="2" t="s">
        <v>66</v>
      </c>
      <c r="D314" s="2">
        <v>0</v>
      </c>
      <c r="E314" s="2">
        <v>322</v>
      </c>
      <c r="F314" s="2">
        <v>322</v>
      </c>
      <c r="G314" s="2">
        <f t="shared" si="46"/>
        <v>322</v>
      </c>
      <c r="H314" s="19" t="str">
        <f t="shared" si="49"/>
        <v>4.1-109</v>
      </c>
      <c r="I314" s="2" t="str">
        <f t="shared" si="48"/>
        <v>აბ</v>
      </c>
    </row>
    <row r="315" spans="1:9" x14ac:dyDescent="0.25">
      <c r="A315" s="2">
        <v>110</v>
      </c>
      <c r="B315" s="2" t="s">
        <v>962</v>
      </c>
      <c r="C315" s="2" t="s">
        <v>66</v>
      </c>
      <c r="D315" s="2">
        <v>0</v>
      </c>
      <c r="E315" s="2">
        <v>390</v>
      </c>
      <c r="F315" s="2">
        <v>390</v>
      </c>
      <c r="G315" s="2">
        <f t="shared" si="46"/>
        <v>390</v>
      </c>
      <c r="H315" s="19" t="str">
        <f t="shared" si="49"/>
        <v>4.1-110</v>
      </c>
      <c r="I315" s="2" t="str">
        <f t="shared" si="48"/>
        <v>აბ</v>
      </c>
    </row>
    <row r="316" spans="1:9" x14ac:dyDescent="0.25">
      <c r="A316" s="2">
        <v>111</v>
      </c>
      <c r="B316" s="2" t="s">
        <v>963</v>
      </c>
      <c r="C316" s="2" t="s">
        <v>66</v>
      </c>
      <c r="D316" s="2">
        <v>0</v>
      </c>
      <c r="E316" s="2">
        <v>483</v>
      </c>
      <c r="F316" s="2">
        <v>483</v>
      </c>
      <c r="G316" s="2">
        <f t="shared" si="46"/>
        <v>483</v>
      </c>
      <c r="H316" s="19" t="str">
        <f t="shared" si="49"/>
        <v>4.1-111</v>
      </c>
      <c r="I316" s="2" t="str">
        <f t="shared" si="48"/>
        <v>აბ</v>
      </c>
    </row>
    <row r="317" spans="1:9" x14ac:dyDescent="0.25">
      <c r="A317" s="2">
        <v>112</v>
      </c>
      <c r="B317" s="2" t="s">
        <v>964</v>
      </c>
      <c r="C317" s="2" t="s">
        <v>66</v>
      </c>
      <c r="D317" s="2">
        <v>0</v>
      </c>
      <c r="E317" s="2">
        <v>669</v>
      </c>
      <c r="F317" s="2">
        <v>669</v>
      </c>
      <c r="G317" s="2">
        <f t="shared" si="46"/>
        <v>669</v>
      </c>
      <c r="H317" s="19" t="str">
        <f t="shared" si="49"/>
        <v>4.1-112</v>
      </c>
      <c r="I317" s="2" t="str">
        <f t="shared" si="48"/>
        <v>აბ</v>
      </c>
    </row>
    <row r="318" spans="1:9" x14ac:dyDescent="0.25">
      <c r="A318" s="2">
        <v>113</v>
      </c>
      <c r="B318" s="2" t="s">
        <v>965</v>
      </c>
      <c r="C318" s="2" t="s">
        <v>66</v>
      </c>
      <c r="D318" s="2">
        <v>0</v>
      </c>
      <c r="E318" s="2">
        <v>297</v>
      </c>
      <c r="F318" s="2">
        <v>297</v>
      </c>
      <c r="G318" s="2">
        <f t="shared" ref="G318:G322" si="50">(E318+F318)/2</f>
        <v>297</v>
      </c>
      <c r="H318" s="19" t="str">
        <f t="shared" ref="H318:H322" si="51">"4.1-"&amp;A318</f>
        <v>4.1-113</v>
      </c>
      <c r="I318" s="2" t="str">
        <f t="shared" si="48"/>
        <v>აბ</v>
      </c>
    </row>
    <row r="319" spans="1:9" x14ac:dyDescent="0.25">
      <c r="A319" s="2">
        <v>114</v>
      </c>
      <c r="B319" s="2" t="s">
        <v>966</v>
      </c>
      <c r="C319" s="2" t="s">
        <v>66</v>
      </c>
      <c r="D319" s="2">
        <v>0</v>
      </c>
      <c r="E319" s="2">
        <v>347</v>
      </c>
      <c r="F319" s="2">
        <v>347</v>
      </c>
      <c r="G319" s="2">
        <f t="shared" si="50"/>
        <v>347</v>
      </c>
      <c r="H319" s="19" t="str">
        <f t="shared" si="51"/>
        <v>4.1-114</v>
      </c>
      <c r="I319" s="2" t="str">
        <f t="shared" si="48"/>
        <v>აბ</v>
      </c>
    </row>
    <row r="320" spans="1:9" x14ac:dyDescent="0.25">
      <c r="A320" s="2">
        <v>115</v>
      </c>
      <c r="B320" s="2" t="s">
        <v>967</v>
      </c>
      <c r="C320" s="2" t="s">
        <v>66</v>
      </c>
      <c r="D320" s="2">
        <v>0</v>
      </c>
      <c r="E320" s="2">
        <v>390</v>
      </c>
      <c r="F320" s="2">
        <v>390</v>
      </c>
      <c r="G320" s="2">
        <f t="shared" si="50"/>
        <v>390</v>
      </c>
      <c r="H320" s="19" t="str">
        <f t="shared" si="51"/>
        <v>4.1-115</v>
      </c>
      <c r="I320" s="2" t="str">
        <f t="shared" si="48"/>
        <v>აბ</v>
      </c>
    </row>
    <row r="321" spans="1:9" x14ac:dyDescent="0.25">
      <c r="A321" s="2">
        <v>116</v>
      </c>
      <c r="B321" s="2" t="s">
        <v>968</v>
      </c>
      <c r="C321" s="2" t="s">
        <v>66</v>
      </c>
      <c r="D321" s="2">
        <v>0</v>
      </c>
      <c r="E321" s="2">
        <v>496</v>
      </c>
      <c r="F321" s="2">
        <v>496</v>
      </c>
      <c r="G321" s="2">
        <f t="shared" si="50"/>
        <v>496</v>
      </c>
      <c r="H321" s="19" t="str">
        <f t="shared" si="51"/>
        <v>4.1-116</v>
      </c>
      <c r="I321" s="2" t="str">
        <f t="shared" si="48"/>
        <v>აბ</v>
      </c>
    </row>
    <row r="322" spans="1:9" x14ac:dyDescent="0.25">
      <c r="A322" s="2">
        <v>117</v>
      </c>
      <c r="B322" s="2" t="s">
        <v>969</v>
      </c>
      <c r="C322" s="2" t="s">
        <v>66</v>
      </c>
      <c r="D322" s="2">
        <v>0</v>
      </c>
      <c r="E322" s="2">
        <v>678</v>
      </c>
      <c r="F322" s="2">
        <v>678</v>
      </c>
      <c r="G322" s="2">
        <f t="shared" si="50"/>
        <v>678</v>
      </c>
      <c r="H322" s="19" t="str">
        <f t="shared" si="51"/>
        <v>4.1-117</v>
      </c>
      <c r="I322" s="2" t="str">
        <f t="shared" si="48"/>
        <v>აბ</v>
      </c>
    </row>
    <row r="323" spans="1:9" x14ac:dyDescent="0.25">
      <c r="A323" s="2">
        <v>118</v>
      </c>
      <c r="B323" s="2" t="s">
        <v>302</v>
      </c>
      <c r="C323" s="2" t="s">
        <v>303</v>
      </c>
      <c r="D323" s="2">
        <v>0</v>
      </c>
      <c r="E323" s="2">
        <v>214</v>
      </c>
      <c r="F323" s="2">
        <v>214</v>
      </c>
      <c r="G323" s="2">
        <f t="shared" ref="G323:G335" si="52">(E323+F323)/2</f>
        <v>214</v>
      </c>
      <c r="H323" s="19" t="str">
        <f t="shared" si="47"/>
        <v>4.1-118</v>
      </c>
      <c r="I323" s="2" t="str">
        <f t="shared" si="48"/>
        <v>აბ</v>
      </c>
    </row>
    <row r="324" spans="1:9" x14ac:dyDescent="0.25">
      <c r="A324" s="2">
        <v>119</v>
      </c>
      <c r="B324" s="2" t="s">
        <v>304</v>
      </c>
      <c r="C324" s="2" t="s">
        <v>303</v>
      </c>
      <c r="D324" s="2">
        <v>0</v>
      </c>
      <c r="E324" s="2">
        <v>316</v>
      </c>
      <c r="F324" s="2">
        <v>316</v>
      </c>
      <c r="G324" s="2">
        <f t="shared" si="52"/>
        <v>316</v>
      </c>
      <c r="H324" s="19" t="str">
        <f t="shared" si="47"/>
        <v>4.1-119</v>
      </c>
      <c r="I324" s="2" t="str">
        <f t="shared" si="48"/>
        <v>აბ</v>
      </c>
    </row>
    <row r="325" spans="1:9" x14ac:dyDescent="0.25">
      <c r="A325" s="2">
        <v>120</v>
      </c>
      <c r="B325" s="2" t="s">
        <v>305</v>
      </c>
      <c r="C325" s="2" t="s">
        <v>303</v>
      </c>
      <c r="D325" s="2">
        <v>0</v>
      </c>
      <c r="E325" s="2">
        <v>220</v>
      </c>
      <c r="F325" s="2">
        <v>220</v>
      </c>
      <c r="G325" s="2">
        <f t="shared" si="52"/>
        <v>220</v>
      </c>
      <c r="H325" s="19" t="str">
        <f t="shared" si="47"/>
        <v>4.1-120</v>
      </c>
      <c r="I325" s="2" t="str">
        <f t="shared" si="48"/>
        <v>აბ</v>
      </c>
    </row>
    <row r="326" spans="1:9" x14ac:dyDescent="0.25">
      <c r="A326" s="2">
        <v>121</v>
      </c>
      <c r="B326" s="2" t="s">
        <v>306</v>
      </c>
      <c r="C326" s="2" t="s">
        <v>303</v>
      </c>
      <c r="D326" s="2">
        <v>0</v>
      </c>
      <c r="E326" s="2">
        <v>292</v>
      </c>
      <c r="F326" s="2">
        <v>292</v>
      </c>
      <c r="G326" s="2">
        <f t="shared" si="52"/>
        <v>292</v>
      </c>
      <c r="H326" s="19" t="str">
        <f t="shared" si="47"/>
        <v>4.1-121</v>
      </c>
      <c r="I326" s="2" t="str">
        <f t="shared" si="48"/>
        <v>აბ</v>
      </c>
    </row>
    <row r="327" spans="1:9" x14ac:dyDescent="0.25">
      <c r="A327" s="2">
        <v>122</v>
      </c>
      <c r="B327" s="2" t="s">
        <v>307</v>
      </c>
      <c r="C327" s="2" t="s">
        <v>303</v>
      </c>
      <c r="D327" s="2">
        <v>0</v>
      </c>
      <c r="E327" s="2">
        <v>303</v>
      </c>
      <c r="F327" s="2">
        <v>303</v>
      </c>
      <c r="G327" s="2">
        <f t="shared" si="52"/>
        <v>303</v>
      </c>
      <c r="H327" s="19" t="str">
        <f t="shared" si="47"/>
        <v>4.1-122</v>
      </c>
      <c r="I327" s="2" t="str">
        <f t="shared" si="48"/>
        <v>აბ</v>
      </c>
    </row>
    <row r="328" spans="1:9" x14ac:dyDescent="0.25">
      <c r="A328" s="2">
        <v>123</v>
      </c>
      <c r="B328" s="2" t="s">
        <v>308</v>
      </c>
      <c r="C328" s="2" t="s">
        <v>303</v>
      </c>
      <c r="D328" s="2">
        <v>0</v>
      </c>
      <c r="E328" s="2">
        <v>251</v>
      </c>
      <c r="F328" s="2">
        <v>251</v>
      </c>
      <c r="G328" s="2">
        <f t="shared" si="52"/>
        <v>251</v>
      </c>
      <c r="H328" s="19" t="str">
        <f t="shared" si="47"/>
        <v>4.1-123</v>
      </c>
      <c r="I328" s="2" t="str">
        <f t="shared" si="48"/>
        <v>აბ</v>
      </c>
    </row>
    <row r="329" spans="1:9" x14ac:dyDescent="0.25">
      <c r="A329" s="2">
        <v>124</v>
      </c>
      <c r="B329" s="2" t="s">
        <v>309</v>
      </c>
      <c r="C329" s="2" t="s">
        <v>303</v>
      </c>
      <c r="D329" s="2">
        <v>0</v>
      </c>
      <c r="E329" s="2">
        <v>233</v>
      </c>
      <c r="F329" s="2">
        <v>233</v>
      </c>
      <c r="G329" s="2">
        <f t="shared" si="52"/>
        <v>233</v>
      </c>
      <c r="H329" s="19" t="str">
        <f t="shared" si="47"/>
        <v>4.1-124</v>
      </c>
      <c r="I329" s="2" t="str">
        <f t="shared" si="48"/>
        <v>აბ</v>
      </c>
    </row>
    <row r="330" spans="1:9" x14ac:dyDescent="0.25">
      <c r="A330" s="2"/>
      <c r="B330" s="2" t="s">
        <v>25</v>
      </c>
      <c r="C330" s="2"/>
      <c r="D330" s="2"/>
      <c r="E330" s="2"/>
      <c r="F330" s="2"/>
      <c r="G330" s="2"/>
      <c r="H330" s="19"/>
      <c r="I330" s="2"/>
    </row>
    <row r="331" spans="1:9" x14ac:dyDescent="0.25">
      <c r="A331" s="2">
        <v>136</v>
      </c>
      <c r="B331" s="2" t="s">
        <v>970</v>
      </c>
      <c r="C331" s="2" t="s">
        <v>66</v>
      </c>
      <c r="D331" s="2">
        <v>0</v>
      </c>
      <c r="E331" s="2">
        <v>122</v>
      </c>
      <c r="F331" s="2">
        <v>122</v>
      </c>
      <c r="G331" s="2">
        <f t="shared" si="52"/>
        <v>122</v>
      </c>
      <c r="H331" s="19" t="str">
        <f t="shared" ref="H331:H335" si="53">"4.1-"&amp;A331</f>
        <v>4.1-136</v>
      </c>
      <c r="I331" s="2" t="str">
        <f t="shared" si="48"/>
        <v>აბ</v>
      </c>
    </row>
    <row r="332" spans="1:9" x14ac:dyDescent="0.25">
      <c r="A332" s="2">
        <v>137</v>
      </c>
      <c r="B332" s="2" t="s">
        <v>971</v>
      </c>
      <c r="C332" s="2" t="s">
        <v>66</v>
      </c>
      <c r="D332" s="2">
        <v>0</v>
      </c>
      <c r="E332" s="2">
        <v>152.5</v>
      </c>
      <c r="F332" s="2">
        <v>152.5</v>
      </c>
      <c r="G332" s="2">
        <f t="shared" si="52"/>
        <v>152.5</v>
      </c>
      <c r="H332" s="19" t="str">
        <f t="shared" si="53"/>
        <v>4.1-137</v>
      </c>
      <c r="I332" s="2" t="str">
        <f t="shared" si="48"/>
        <v>აბ</v>
      </c>
    </row>
    <row r="333" spans="1:9" x14ac:dyDescent="0.25">
      <c r="A333" s="2">
        <v>138</v>
      </c>
      <c r="B333" s="2" t="s">
        <v>972</v>
      </c>
      <c r="C333" s="2" t="s">
        <v>66</v>
      </c>
      <c r="D333" s="2">
        <v>0</v>
      </c>
      <c r="E333" s="2">
        <v>240.7</v>
      </c>
      <c r="F333" s="2">
        <v>240.7</v>
      </c>
      <c r="G333" s="2">
        <f t="shared" si="52"/>
        <v>240.7</v>
      </c>
      <c r="H333" s="19" t="str">
        <f t="shared" si="53"/>
        <v>4.1-138</v>
      </c>
      <c r="I333" s="2" t="str">
        <f t="shared" si="48"/>
        <v>აბ</v>
      </c>
    </row>
    <row r="334" spans="1:9" x14ac:dyDescent="0.25">
      <c r="A334" s="2">
        <v>139</v>
      </c>
      <c r="B334" s="2" t="s">
        <v>973</v>
      </c>
      <c r="C334" s="2" t="s">
        <v>66</v>
      </c>
      <c r="D334" s="2">
        <v>0</v>
      </c>
      <c r="E334" s="2">
        <v>164.4</v>
      </c>
      <c r="F334" s="2">
        <v>164.4</v>
      </c>
      <c r="G334" s="2">
        <f t="shared" si="52"/>
        <v>164.4</v>
      </c>
      <c r="H334" s="19" t="str">
        <f t="shared" si="53"/>
        <v>4.1-139</v>
      </c>
      <c r="I334" s="2" t="str">
        <f t="shared" si="48"/>
        <v>აბ</v>
      </c>
    </row>
    <row r="335" spans="1:9" x14ac:dyDescent="0.25">
      <c r="A335" s="2">
        <v>140</v>
      </c>
      <c r="B335" s="2" t="s">
        <v>974</v>
      </c>
      <c r="C335" s="2" t="s">
        <v>66</v>
      </c>
      <c r="D335" s="2">
        <v>0</v>
      </c>
      <c r="E335" s="2">
        <v>128</v>
      </c>
      <c r="F335" s="2">
        <v>128</v>
      </c>
      <c r="G335" s="2">
        <f t="shared" si="52"/>
        <v>128</v>
      </c>
      <c r="H335" s="19" t="str">
        <f t="shared" si="53"/>
        <v>4.1-140</v>
      </c>
      <c r="I335" s="2" t="str">
        <f t="shared" si="48"/>
        <v>აბ</v>
      </c>
    </row>
    <row r="336" spans="1:9" x14ac:dyDescent="0.25">
      <c r="A336" s="2"/>
      <c r="B336" s="2" t="s">
        <v>25</v>
      </c>
      <c r="C336" s="2"/>
      <c r="D336" s="2"/>
      <c r="E336" s="2"/>
      <c r="F336" s="2"/>
      <c r="G336" s="2"/>
      <c r="H336" s="19"/>
      <c r="I336" s="2"/>
    </row>
    <row r="337" spans="1:9" x14ac:dyDescent="0.25">
      <c r="A337" s="2">
        <v>149</v>
      </c>
      <c r="B337" s="2" t="s">
        <v>1158</v>
      </c>
      <c r="C337" s="2" t="s">
        <v>66</v>
      </c>
      <c r="D337" s="2">
        <v>0</v>
      </c>
      <c r="E337" s="2">
        <v>225</v>
      </c>
      <c r="F337" s="2">
        <v>225</v>
      </c>
      <c r="G337" s="2">
        <f t="shared" ref="G337:G338" si="54">(E337+F337)/2</f>
        <v>225</v>
      </c>
      <c r="H337" s="19" t="str">
        <f t="shared" ref="H337:H338" si="55">"4.1-"&amp;A337</f>
        <v>4.1-149</v>
      </c>
      <c r="I337" s="2" t="str">
        <f t="shared" ref="I337:I339" si="56">$I$293</f>
        <v>აბ</v>
      </c>
    </row>
    <row r="338" spans="1:9" x14ac:dyDescent="0.25">
      <c r="A338" s="2">
        <v>150</v>
      </c>
      <c r="B338" s="2" t="s">
        <v>1159</v>
      </c>
      <c r="C338" s="2" t="s">
        <v>66</v>
      </c>
      <c r="D338" s="2">
        <v>0</v>
      </c>
      <c r="E338" s="2">
        <v>252</v>
      </c>
      <c r="F338" s="2">
        <v>252</v>
      </c>
      <c r="G338" s="2">
        <f t="shared" si="54"/>
        <v>252</v>
      </c>
      <c r="H338" s="19" t="str">
        <f t="shared" si="55"/>
        <v>4.1-150</v>
      </c>
      <c r="I338" s="2" t="str">
        <f t="shared" si="56"/>
        <v>აბ</v>
      </c>
    </row>
    <row r="339" spans="1:9" x14ac:dyDescent="0.25">
      <c r="A339" s="2"/>
      <c r="B339" s="2" t="s">
        <v>25</v>
      </c>
      <c r="C339" s="2"/>
      <c r="D339" s="2"/>
      <c r="E339" s="2"/>
      <c r="F339" s="2"/>
      <c r="G339" s="2"/>
      <c r="H339" s="19"/>
      <c r="I339" s="2" t="str">
        <f t="shared" si="56"/>
        <v>აბ</v>
      </c>
    </row>
    <row r="340" spans="1:9" x14ac:dyDescent="0.25">
      <c r="A340" s="2">
        <v>160</v>
      </c>
      <c r="B340" s="2" t="s">
        <v>310</v>
      </c>
      <c r="C340" s="2" t="s">
        <v>66</v>
      </c>
      <c r="D340" s="2">
        <v>0</v>
      </c>
      <c r="E340" s="2">
        <v>680</v>
      </c>
      <c r="F340" s="2">
        <v>990</v>
      </c>
      <c r="G340" s="2">
        <f>(E340+F340)/2</f>
        <v>835</v>
      </c>
      <c r="H340" s="19" t="str">
        <f t="shared" si="47"/>
        <v>4.1-160</v>
      </c>
      <c r="I340" s="2" t="str">
        <f t="shared" si="48"/>
        <v>აბ</v>
      </c>
    </row>
    <row r="341" spans="1:9" x14ac:dyDescent="0.25">
      <c r="A341" s="2">
        <v>161</v>
      </c>
      <c r="B341" s="2" t="s">
        <v>311</v>
      </c>
      <c r="C341" s="2" t="s">
        <v>312</v>
      </c>
      <c r="D341" s="2">
        <v>2500</v>
      </c>
      <c r="E341" s="2">
        <v>290</v>
      </c>
      <c r="F341" s="2">
        <v>310</v>
      </c>
      <c r="G341" s="2">
        <f>(E341+F341)/2</f>
        <v>300</v>
      </c>
      <c r="H341" s="19" t="str">
        <f t="shared" si="47"/>
        <v>4.1-161</v>
      </c>
      <c r="I341" s="2" t="str">
        <f t="shared" si="48"/>
        <v>აბ</v>
      </c>
    </row>
    <row r="342" spans="1:9" x14ac:dyDescent="0.25">
      <c r="A342" s="2"/>
      <c r="B342" s="2" t="s">
        <v>25</v>
      </c>
      <c r="C342" s="2"/>
      <c r="D342" s="2"/>
      <c r="E342" s="2"/>
      <c r="F342" s="2"/>
      <c r="G342" s="2"/>
      <c r="H342" s="19"/>
      <c r="I342" s="2" t="str">
        <f t="shared" si="48"/>
        <v>აბ</v>
      </c>
    </row>
    <row r="343" spans="1:9" x14ac:dyDescent="0.25">
      <c r="A343" s="2">
        <v>163</v>
      </c>
      <c r="B343" s="2" t="s">
        <v>313</v>
      </c>
      <c r="C343" s="2" t="s">
        <v>14</v>
      </c>
      <c r="D343" s="2">
        <v>0</v>
      </c>
      <c r="E343" s="2">
        <v>52.7</v>
      </c>
      <c r="F343" s="2">
        <v>52.7</v>
      </c>
      <c r="G343" s="2">
        <f>(E343+F343)/2</f>
        <v>52.7</v>
      </c>
      <c r="H343" s="19" t="str">
        <f t="shared" si="47"/>
        <v>4.1-163</v>
      </c>
      <c r="I343" s="2" t="str">
        <f t="shared" si="48"/>
        <v>აბ</v>
      </c>
    </row>
    <row r="344" spans="1:9" x14ac:dyDescent="0.25">
      <c r="A344" s="2">
        <v>164</v>
      </c>
      <c r="B344" s="2" t="s">
        <v>314</v>
      </c>
      <c r="C344" s="2" t="s">
        <v>14</v>
      </c>
      <c r="D344" s="6">
        <f>0.2*0.1*2500</f>
        <v>50.000000000000007</v>
      </c>
      <c r="E344" s="2">
        <v>12</v>
      </c>
      <c r="F344" s="2">
        <v>12</v>
      </c>
      <c r="G344" s="2">
        <f>(E344+F344)/2</f>
        <v>12</v>
      </c>
      <c r="H344" s="19" t="str">
        <f t="shared" si="47"/>
        <v>4.1-164</v>
      </c>
      <c r="I344" s="2" t="str">
        <f t="shared" si="48"/>
        <v>აბ</v>
      </c>
    </row>
    <row r="345" spans="1:9" x14ac:dyDescent="0.25">
      <c r="A345" s="2">
        <v>165</v>
      </c>
      <c r="B345" s="2" t="s">
        <v>315</v>
      </c>
      <c r="C345" s="2" t="s">
        <v>14</v>
      </c>
      <c r="D345" s="6">
        <f>0.3*0.15*2500</f>
        <v>112.5</v>
      </c>
      <c r="E345" s="2">
        <v>20</v>
      </c>
      <c r="F345" s="2">
        <v>20</v>
      </c>
      <c r="G345" s="2">
        <f>(E345+F345)/2</f>
        <v>20</v>
      </c>
      <c r="H345" s="19" t="str">
        <f t="shared" si="47"/>
        <v>4.1-165</v>
      </c>
      <c r="I345" s="2" t="str">
        <f t="shared" si="48"/>
        <v>აბ</v>
      </c>
    </row>
    <row r="346" spans="1:9" x14ac:dyDescent="0.25">
      <c r="A346" s="2">
        <v>166</v>
      </c>
      <c r="B346" s="2" t="s">
        <v>316</v>
      </c>
      <c r="C346" s="2" t="s">
        <v>14</v>
      </c>
      <c r="D346" s="2">
        <v>0</v>
      </c>
      <c r="E346" s="2">
        <v>31</v>
      </c>
      <c r="F346" s="2">
        <v>31</v>
      </c>
      <c r="G346" s="2">
        <f>(E346+F346)/2</f>
        <v>31</v>
      </c>
      <c r="H346" s="19" t="str">
        <f t="shared" si="47"/>
        <v>4.1-166</v>
      </c>
      <c r="I346" s="2" t="str">
        <f t="shared" si="48"/>
        <v>აბ</v>
      </c>
    </row>
    <row r="347" spans="1:9" x14ac:dyDescent="0.25">
      <c r="A347" s="2"/>
      <c r="B347" s="2" t="s">
        <v>25</v>
      </c>
      <c r="C347" s="2"/>
      <c r="D347" s="2"/>
      <c r="E347" s="2"/>
      <c r="F347" s="2"/>
      <c r="G347" s="2"/>
      <c r="H347" s="19"/>
      <c r="I347" s="2" t="str">
        <f t="shared" si="48"/>
        <v>აბ</v>
      </c>
    </row>
    <row r="348" spans="1:9" x14ac:dyDescent="0.25">
      <c r="A348" s="2">
        <v>173</v>
      </c>
      <c r="B348" s="2" t="s">
        <v>317</v>
      </c>
      <c r="C348" s="2" t="s">
        <v>14</v>
      </c>
      <c r="D348" s="2">
        <v>0</v>
      </c>
      <c r="E348" s="2">
        <v>97</v>
      </c>
      <c r="F348" s="2">
        <v>97</v>
      </c>
      <c r="G348" s="2">
        <f>(E348+F348)/2</f>
        <v>97</v>
      </c>
      <c r="H348" s="19" t="str">
        <f t="shared" si="47"/>
        <v>4.1-173</v>
      </c>
      <c r="I348" s="2" t="str">
        <f t="shared" si="48"/>
        <v>აბ</v>
      </c>
    </row>
    <row r="349" spans="1:9" x14ac:dyDescent="0.25">
      <c r="A349" s="2"/>
      <c r="B349" s="2" t="s">
        <v>25</v>
      </c>
      <c r="C349" s="2"/>
      <c r="D349" s="2"/>
      <c r="E349" s="2"/>
      <c r="F349" s="2"/>
      <c r="G349" s="2"/>
      <c r="H349" s="19"/>
      <c r="I349" s="2" t="str">
        <f t="shared" si="48"/>
        <v>აბ</v>
      </c>
    </row>
    <row r="350" spans="1:9" x14ac:dyDescent="0.25">
      <c r="A350" s="2">
        <v>175</v>
      </c>
      <c r="B350" s="2" t="s">
        <v>807</v>
      </c>
      <c r="C350" s="2" t="s">
        <v>66</v>
      </c>
      <c r="D350" s="2">
        <f>0.23*0.12*2400*0.5</f>
        <v>33.119999999999997</v>
      </c>
      <c r="E350" s="2">
        <v>5.2</v>
      </c>
      <c r="F350" s="2">
        <v>5.2</v>
      </c>
      <c r="G350" s="2">
        <v>5.2</v>
      </c>
      <c r="H350" s="19" t="str">
        <f t="shared" si="47"/>
        <v>4.1-175</v>
      </c>
      <c r="I350" s="2" t="str">
        <f t="shared" si="48"/>
        <v>აბ</v>
      </c>
    </row>
    <row r="351" spans="1:9" x14ac:dyDescent="0.25">
      <c r="A351" s="2">
        <v>176</v>
      </c>
      <c r="B351" s="2" t="s">
        <v>806</v>
      </c>
      <c r="C351" s="2" t="s">
        <v>66</v>
      </c>
      <c r="D351" s="2">
        <f>0.3*0.15*2400*0.7</f>
        <v>75.599999999999994</v>
      </c>
      <c r="E351" s="2">
        <v>7.8</v>
      </c>
      <c r="F351" s="2">
        <v>7.8</v>
      </c>
      <c r="G351" s="2">
        <v>7.8</v>
      </c>
      <c r="H351" s="19" t="str">
        <f t="shared" si="47"/>
        <v>4.1-176</v>
      </c>
      <c r="I351" s="2" t="str">
        <f t="shared" si="48"/>
        <v>აბ</v>
      </c>
    </row>
    <row r="352" spans="1:9" ht="20.25" thickBot="1" x14ac:dyDescent="0.3">
      <c r="A352" s="2"/>
      <c r="B352" s="2" t="s">
        <v>25</v>
      </c>
      <c r="C352" s="2"/>
      <c r="D352" s="2"/>
      <c r="E352" s="2"/>
      <c r="F352" s="2"/>
      <c r="G352" s="2"/>
      <c r="H352" s="19"/>
      <c r="I352" s="2" t="str">
        <f t="shared" si="48"/>
        <v>აბ</v>
      </c>
    </row>
    <row r="353" spans="1:9" ht="21" thickTop="1" thickBot="1" x14ac:dyDescent="0.3">
      <c r="A353" s="4"/>
      <c r="B353" s="4" t="s">
        <v>318</v>
      </c>
      <c r="C353" s="4"/>
      <c r="D353" s="4"/>
      <c r="E353" s="4"/>
      <c r="F353" s="4"/>
      <c r="G353" s="4"/>
      <c r="H353" s="7"/>
      <c r="I353" s="7" t="s">
        <v>683</v>
      </c>
    </row>
    <row r="354" spans="1:9" ht="20.25" thickTop="1" x14ac:dyDescent="0.25">
      <c r="A354" s="2">
        <v>177</v>
      </c>
      <c r="B354" s="2" t="s">
        <v>374</v>
      </c>
      <c r="C354" s="2" t="s">
        <v>9</v>
      </c>
      <c r="D354" s="2">
        <v>1000</v>
      </c>
      <c r="E354" s="2">
        <v>164</v>
      </c>
      <c r="F354" s="2">
        <v>164</v>
      </c>
      <c r="G354" s="2">
        <f t="shared" ref="G354:G363" si="57">(E354+F354)/2</f>
        <v>164</v>
      </c>
      <c r="H354" s="19" t="str">
        <f t="shared" ref="H354:H416" si="58">"4.1-"&amp;A354</f>
        <v>4.1-177</v>
      </c>
      <c r="I354" s="2" t="s">
        <v>680</v>
      </c>
    </row>
    <row r="355" spans="1:9" x14ac:dyDescent="0.25">
      <c r="A355" s="2">
        <v>178</v>
      </c>
      <c r="B355" s="2" t="s">
        <v>375</v>
      </c>
      <c r="C355" s="2" t="s">
        <v>9</v>
      </c>
      <c r="D355" s="2">
        <v>1000</v>
      </c>
      <c r="E355" s="2">
        <v>172</v>
      </c>
      <c r="F355" s="2">
        <v>172</v>
      </c>
      <c r="G355" s="2">
        <f t="shared" si="57"/>
        <v>172</v>
      </c>
      <c r="H355" s="19" t="str">
        <f t="shared" si="58"/>
        <v>4.1-178</v>
      </c>
      <c r="I355" s="2" t="str">
        <f>$I$354</f>
        <v>აბ</v>
      </c>
    </row>
    <row r="356" spans="1:9" x14ac:dyDescent="0.25">
      <c r="A356" s="2">
        <v>179</v>
      </c>
      <c r="B356" s="2" t="s">
        <v>376</v>
      </c>
      <c r="C356" s="2" t="s">
        <v>9</v>
      </c>
      <c r="D356" s="2">
        <v>1000</v>
      </c>
      <c r="E356" s="2">
        <v>179.5</v>
      </c>
      <c r="F356" s="2">
        <v>179.5</v>
      </c>
      <c r="G356" s="2">
        <f t="shared" si="57"/>
        <v>179.5</v>
      </c>
      <c r="H356" s="19" t="str">
        <f t="shared" si="58"/>
        <v>4.1-179</v>
      </c>
      <c r="I356" s="2" t="str">
        <f t="shared" ref="I356:I367" si="59">$I$354</f>
        <v>აბ</v>
      </c>
    </row>
    <row r="357" spans="1:9" x14ac:dyDescent="0.25">
      <c r="A357" s="2">
        <v>180</v>
      </c>
      <c r="B357" s="2" t="s">
        <v>377</v>
      </c>
      <c r="C357" s="2" t="s">
        <v>9</v>
      </c>
      <c r="D357" s="2">
        <v>1000</v>
      </c>
      <c r="E357" s="2">
        <v>179.5</v>
      </c>
      <c r="F357" s="2">
        <v>179.5</v>
      </c>
      <c r="G357" s="2">
        <f t="shared" si="57"/>
        <v>179.5</v>
      </c>
      <c r="H357" s="19" t="str">
        <f t="shared" si="58"/>
        <v>4.1-180</v>
      </c>
      <c r="I357" s="2" t="str">
        <f t="shared" si="59"/>
        <v>აბ</v>
      </c>
    </row>
    <row r="358" spans="1:9" x14ac:dyDescent="0.25">
      <c r="A358" s="2">
        <v>181</v>
      </c>
      <c r="B358" s="2" t="s">
        <v>378</v>
      </c>
      <c r="C358" s="2" t="s">
        <v>9</v>
      </c>
      <c r="D358" s="2">
        <v>1000</v>
      </c>
      <c r="E358" s="2">
        <v>166</v>
      </c>
      <c r="F358" s="2">
        <v>166</v>
      </c>
      <c r="G358" s="2">
        <f t="shared" si="57"/>
        <v>166</v>
      </c>
      <c r="H358" s="19" t="str">
        <f t="shared" si="58"/>
        <v>4.1-181</v>
      </c>
      <c r="I358" s="2" t="str">
        <f t="shared" si="59"/>
        <v>აბ</v>
      </c>
    </row>
    <row r="359" spans="1:9" x14ac:dyDescent="0.25">
      <c r="A359" s="2">
        <v>182</v>
      </c>
      <c r="B359" s="2" t="s">
        <v>379</v>
      </c>
      <c r="C359" s="2" t="s">
        <v>9</v>
      </c>
      <c r="D359" s="2">
        <v>1000</v>
      </c>
      <c r="E359" s="2">
        <v>142.5</v>
      </c>
      <c r="F359" s="2">
        <v>142.5</v>
      </c>
      <c r="G359" s="2">
        <f t="shared" si="57"/>
        <v>142.5</v>
      </c>
      <c r="H359" s="19" t="str">
        <f t="shared" si="58"/>
        <v>4.1-182</v>
      </c>
      <c r="I359" s="2" t="str">
        <f t="shared" si="59"/>
        <v>აბ</v>
      </c>
    </row>
    <row r="360" spans="1:9" x14ac:dyDescent="0.25">
      <c r="A360" s="2">
        <v>183</v>
      </c>
      <c r="B360" s="2" t="s">
        <v>319</v>
      </c>
      <c r="C360" s="2" t="s">
        <v>9</v>
      </c>
      <c r="D360" s="2">
        <v>1000</v>
      </c>
      <c r="E360" s="2">
        <v>186</v>
      </c>
      <c r="F360" s="2">
        <v>186</v>
      </c>
      <c r="G360" s="2">
        <f t="shared" si="57"/>
        <v>186</v>
      </c>
      <c r="H360" s="19" t="str">
        <f t="shared" si="58"/>
        <v>4.1-183</v>
      </c>
      <c r="I360" s="2" t="str">
        <f t="shared" si="59"/>
        <v>აბ</v>
      </c>
    </row>
    <row r="361" spans="1:9" x14ac:dyDescent="0.25">
      <c r="A361" s="2">
        <v>184</v>
      </c>
      <c r="B361" s="2" t="s">
        <v>320</v>
      </c>
      <c r="C361" s="2" t="s">
        <v>9</v>
      </c>
      <c r="D361" s="2">
        <v>1000</v>
      </c>
      <c r="E361" s="2">
        <v>138.5</v>
      </c>
      <c r="F361" s="2">
        <v>138.5</v>
      </c>
      <c r="G361" s="2">
        <f t="shared" si="57"/>
        <v>138.5</v>
      </c>
      <c r="H361" s="19" t="str">
        <f t="shared" si="58"/>
        <v>4.1-184</v>
      </c>
      <c r="I361" s="2" t="str">
        <f t="shared" si="59"/>
        <v>აბ</v>
      </c>
    </row>
    <row r="362" spans="1:9" x14ac:dyDescent="0.25">
      <c r="A362" s="2">
        <v>185</v>
      </c>
      <c r="B362" s="2" t="s">
        <v>380</v>
      </c>
      <c r="C362" s="2" t="s">
        <v>9</v>
      </c>
      <c r="D362" s="2">
        <v>1000</v>
      </c>
      <c r="E362" s="2">
        <v>183</v>
      </c>
      <c r="F362" s="2">
        <v>183</v>
      </c>
      <c r="G362" s="2">
        <f t="shared" si="57"/>
        <v>183</v>
      </c>
      <c r="H362" s="19" t="str">
        <f t="shared" si="58"/>
        <v>4.1-185</v>
      </c>
      <c r="I362" s="2" t="str">
        <f t="shared" si="59"/>
        <v>აბ</v>
      </c>
    </row>
    <row r="363" spans="1:9" x14ac:dyDescent="0.25">
      <c r="A363" s="2">
        <v>186</v>
      </c>
      <c r="B363" s="2" t="s">
        <v>381</v>
      </c>
      <c r="C363" s="2" t="s">
        <v>9</v>
      </c>
      <c r="D363" s="2">
        <v>1000</v>
      </c>
      <c r="E363" s="2">
        <v>173</v>
      </c>
      <c r="F363" s="2">
        <v>173</v>
      </c>
      <c r="G363" s="2">
        <f t="shared" si="57"/>
        <v>173</v>
      </c>
      <c r="H363" s="19" t="str">
        <f t="shared" si="58"/>
        <v>4.1-186</v>
      </c>
      <c r="I363" s="2" t="str">
        <f t="shared" si="59"/>
        <v>აბ</v>
      </c>
    </row>
    <row r="364" spans="1:9" x14ac:dyDescent="0.25">
      <c r="A364" s="2"/>
      <c r="B364" s="2" t="s">
        <v>25</v>
      </c>
      <c r="C364" s="2"/>
      <c r="D364" s="2"/>
      <c r="E364" s="2"/>
      <c r="F364" s="2"/>
      <c r="G364" s="2"/>
      <c r="H364" s="19"/>
      <c r="I364" s="2" t="str">
        <f t="shared" si="59"/>
        <v>აბ</v>
      </c>
    </row>
    <row r="365" spans="1:9" x14ac:dyDescent="0.25">
      <c r="A365" s="2">
        <v>207</v>
      </c>
      <c r="B365" s="2" t="s">
        <v>321</v>
      </c>
      <c r="C365" s="2" t="s">
        <v>28</v>
      </c>
      <c r="D365" s="2">
        <v>1</v>
      </c>
      <c r="E365" s="2">
        <v>0.85</v>
      </c>
      <c r="F365" s="2">
        <v>0.85</v>
      </c>
      <c r="G365" s="2">
        <f>(E365+F365)/2</f>
        <v>0.85</v>
      </c>
      <c r="H365" s="19" t="str">
        <f t="shared" si="58"/>
        <v>4.1-207</v>
      </c>
      <c r="I365" s="2" t="str">
        <f t="shared" si="59"/>
        <v>აბ</v>
      </c>
    </row>
    <row r="366" spans="1:9" x14ac:dyDescent="0.25">
      <c r="A366" s="2"/>
      <c r="B366" s="2" t="s">
        <v>25</v>
      </c>
      <c r="C366" s="2"/>
      <c r="D366" s="2"/>
      <c r="E366" s="2"/>
      <c r="F366" s="2"/>
      <c r="G366" s="2"/>
      <c r="H366" s="19"/>
      <c r="I366" s="2" t="str">
        <f t="shared" si="59"/>
        <v>აბ</v>
      </c>
    </row>
    <row r="367" spans="1:9" x14ac:dyDescent="0.25">
      <c r="A367" s="2">
        <v>213</v>
      </c>
      <c r="B367" s="2" t="s">
        <v>322</v>
      </c>
      <c r="C367" s="2" t="s">
        <v>9</v>
      </c>
      <c r="D367" s="2">
        <v>1000</v>
      </c>
      <c r="E367" s="2">
        <v>72</v>
      </c>
      <c r="F367" s="2">
        <v>72</v>
      </c>
      <c r="G367" s="2">
        <f>(E367+F367)/2</f>
        <v>72</v>
      </c>
      <c r="H367" s="19" t="str">
        <f t="shared" si="58"/>
        <v>4.1-213</v>
      </c>
      <c r="I367" s="2" t="str">
        <f t="shared" si="59"/>
        <v>აბ</v>
      </c>
    </row>
    <row r="368" spans="1:9" x14ac:dyDescent="0.25">
      <c r="A368" s="2"/>
      <c r="B368" s="2" t="s">
        <v>25</v>
      </c>
      <c r="C368" s="2"/>
      <c r="D368" s="2"/>
      <c r="E368" s="2"/>
      <c r="F368" s="2"/>
      <c r="G368" s="2"/>
      <c r="H368" s="19"/>
      <c r="I368" s="2" t="str">
        <f>I353</f>
        <v>ინ</v>
      </c>
    </row>
    <row r="369" spans="1:9" x14ac:dyDescent="0.25">
      <c r="A369" s="2">
        <v>216</v>
      </c>
      <c r="B369" s="2" t="s">
        <v>323</v>
      </c>
      <c r="C369" s="2" t="s">
        <v>312</v>
      </c>
      <c r="D369" s="2">
        <v>1700</v>
      </c>
      <c r="E369" s="2">
        <v>28</v>
      </c>
      <c r="F369" s="2">
        <v>28</v>
      </c>
      <c r="G369" s="2">
        <f>(E369+F369)/2</f>
        <v>28</v>
      </c>
      <c r="H369" s="19" t="str">
        <f t="shared" si="58"/>
        <v>4.1-216</v>
      </c>
      <c r="I369" s="2" t="str">
        <f>$I$353</f>
        <v>ინ</v>
      </c>
    </row>
    <row r="370" spans="1:9" x14ac:dyDescent="0.25">
      <c r="A370" s="2"/>
      <c r="B370" s="2" t="s">
        <v>25</v>
      </c>
      <c r="C370" s="2"/>
      <c r="D370" s="2"/>
      <c r="E370" s="2"/>
      <c r="F370" s="2"/>
      <c r="G370" s="2"/>
      <c r="H370" s="19"/>
      <c r="I370" s="2" t="str">
        <f t="shared" ref="I370:I416" si="60">$I$353</f>
        <v>ინ</v>
      </c>
    </row>
    <row r="371" spans="1:9" x14ac:dyDescent="0.25">
      <c r="A371" s="2">
        <v>220</v>
      </c>
      <c r="B371" s="2" t="s">
        <v>324</v>
      </c>
      <c r="C371" s="2" t="s">
        <v>312</v>
      </c>
      <c r="D371" s="2">
        <v>600</v>
      </c>
      <c r="E371" s="2">
        <v>38</v>
      </c>
      <c r="F371" s="2">
        <v>38</v>
      </c>
      <c r="G371" s="2">
        <f>(E371+F371)/2</f>
        <v>38</v>
      </c>
      <c r="H371" s="19" t="str">
        <f t="shared" si="58"/>
        <v>4.1-220</v>
      </c>
      <c r="I371" s="2" t="str">
        <f t="shared" si="60"/>
        <v>ინ</v>
      </c>
    </row>
    <row r="372" spans="1:9" x14ac:dyDescent="0.25">
      <c r="A372" s="2"/>
      <c r="B372" s="2" t="s">
        <v>25</v>
      </c>
      <c r="C372" s="2"/>
      <c r="D372" s="2"/>
      <c r="E372" s="2"/>
      <c r="F372" s="2"/>
      <c r="G372" s="2"/>
      <c r="H372" s="19"/>
      <c r="I372" s="2" t="str">
        <f t="shared" si="60"/>
        <v>ინ</v>
      </c>
    </row>
    <row r="373" spans="1:9" x14ac:dyDescent="0.25">
      <c r="A373" s="2">
        <v>222</v>
      </c>
      <c r="B373" s="2" t="s">
        <v>325</v>
      </c>
      <c r="C373" s="2" t="s">
        <v>312</v>
      </c>
      <c r="D373" s="2">
        <v>1450</v>
      </c>
      <c r="E373" s="2">
        <v>33</v>
      </c>
      <c r="F373" s="2">
        <v>33</v>
      </c>
      <c r="G373" s="2">
        <f t="shared" ref="G373:G416" si="61">(E373+F373)/2</f>
        <v>33</v>
      </c>
      <c r="H373" s="19" t="str">
        <f t="shared" si="58"/>
        <v>4.1-222</v>
      </c>
      <c r="I373" s="2" t="str">
        <f t="shared" si="60"/>
        <v>ინ</v>
      </c>
    </row>
    <row r="374" spans="1:9" x14ac:dyDescent="0.25">
      <c r="A374" s="2">
        <v>223</v>
      </c>
      <c r="B374" s="2" t="s">
        <v>326</v>
      </c>
      <c r="C374" s="2" t="s">
        <v>312</v>
      </c>
      <c r="D374" s="2">
        <v>1500</v>
      </c>
      <c r="E374" s="2">
        <v>29</v>
      </c>
      <c r="F374" s="2">
        <v>29</v>
      </c>
      <c r="G374" s="2">
        <f t="shared" si="61"/>
        <v>29</v>
      </c>
      <c r="H374" s="19" t="str">
        <f t="shared" si="58"/>
        <v>4.1-223</v>
      </c>
      <c r="I374" s="2" t="str">
        <f t="shared" si="60"/>
        <v>ინ</v>
      </c>
    </row>
    <row r="375" spans="1:9" x14ac:dyDescent="0.25">
      <c r="A375" s="2">
        <v>224</v>
      </c>
      <c r="B375" s="2" t="s">
        <v>327</v>
      </c>
      <c r="C375" s="2" t="s">
        <v>312</v>
      </c>
      <c r="D375" s="2">
        <v>1500</v>
      </c>
      <c r="E375" s="2">
        <v>26</v>
      </c>
      <c r="F375" s="2">
        <v>26</v>
      </c>
      <c r="G375" s="2">
        <f t="shared" si="61"/>
        <v>26</v>
      </c>
      <c r="H375" s="19" t="str">
        <f t="shared" si="58"/>
        <v>4.1-224</v>
      </c>
      <c r="I375" s="2" t="str">
        <f t="shared" si="60"/>
        <v>ინ</v>
      </c>
    </row>
    <row r="376" spans="1:9" x14ac:dyDescent="0.25">
      <c r="A376" s="2">
        <v>225</v>
      </c>
      <c r="B376" s="2" t="s">
        <v>328</v>
      </c>
      <c r="C376" s="2" t="s">
        <v>312</v>
      </c>
      <c r="D376" s="2">
        <v>1500</v>
      </c>
      <c r="E376" s="2">
        <v>38</v>
      </c>
      <c r="F376" s="2">
        <v>38</v>
      </c>
      <c r="G376" s="2">
        <f t="shared" si="61"/>
        <v>38</v>
      </c>
      <c r="H376" s="19" t="str">
        <f t="shared" si="58"/>
        <v>4.1-225</v>
      </c>
      <c r="I376" s="2" t="str">
        <f t="shared" si="60"/>
        <v>ინ</v>
      </c>
    </row>
    <row r="377" spans="1:9" x14ac:dyDescent="0.25">
      <c r="A377" s="2">
        <v>226</v>
      </c>
      <c r="B377" s="2" t="s">
        <v>329</v>
      </c>
      <c r="C377" s="2" t="s">
        <v>312</v>
      </c>
      <c r="D377" s="2">
        <v>1500</v>
      </c>
      <c r="E377" s="2">
        <v>28</v>
      </c>
      <c r="F377" s="2">
        <v>28</v>
      </c>
      <c r="G377" s="2">
        <f t="shared" si="61"/>
        <v>28</v>
      </c>
      <c r="H377" s="19" t="str">
        <f t="shared" si="58"/>
        <v>4.1-226</v>
      </c>
      <c r="I377" s="2" t="str">
        <f t="shared" si="60"/>
        <v>ინ</v>
      </c>
    </row>
    <row r="378" spans="1:9" x14ac:dyDescent="0.25">
      <c r="A378" s="2">
        <v>227</v>
      </c>
      <c r="B378" s="2" t="s">
        <v>330</v>
      </c>
      <c r="C378" s="2" t="s">
        <v>312</v>
      </c>
      <c r="D378" s="2">
        <v>1550</v>
      </c>
      <c r="E378" s="2">
        <v>21</v>
      </c>
      <c r="F378" s="2">
        <v>22</v>
      </c>
      <c r="G378" s="2">
        <f t="shared" si="61"/>
        <v>21.5</v>
      </c>
      <c r="H378" s="19" t="str">
        <f t="shared" si="58"/>
        <v>4.1-227</v>
      </c>
      <c r="I378" s="2" t="str">
        <f t="shared" si="60"/>
        <v>ინ</v>
      </c>
    </row>
    <row r="379" spans="1:9" x14ac:dyDescent="0.25">
      <c r="A379" s="2">
        <v>228</v>
      </c>
      <c r="B379" s="2" t="s">
        <v>331</v>
      </c>
      <c r="C379" s="2" t="s">
        <v>312</v>
      </c>
      <c r="D379" s="2">
        <v>1550</v>
      </c>
      <c r="E379" s="2">
        <v>12.7</v>
      </c>
      <c r="F379" s="2">
        <v>12.7</v>
      </c>
      <c r="G379" s="2">
        <f t="shared" si="61"/>
        <v>12.7</v>
      </c>
      <c r="H379" s="19" t="str">
        <f t="shared" si="58"/>
        <v>4.1-228</v>
      </c>
      <c r="I379" s="2" t="str">
        <f t="shared" si="60"/>
        <v>ინ</v>
      </c>
    </row>
    <row r="380" spans="1:9" x14ac:dyDescent="0.25">
      <c r="A380" s="2">
        <v>229</v>
      </c>
      <c r="B380" s="2" t="s">
        <v>332</v>
      </c>
      <c r="C380" s="2" t="s">
        <v>312</v>
      </c>
      <c r="D380" s="2">
        <v>1600</v>
      </c>
      <c r="E380" s="2">
        <v>9</v>
      </c>
      <c r="F380" s="2">
        <v>10.5</v>
      </c>
      <c r="G380" s="2">
        <f t="shared" si="61"/>
        <v>9.75</v>
      </c>
      <c r="H380" s="19" t="str">
        <f t="shared" si="58"/>
        <v>4.1-229</v>
      </c>
      <c r="I380" s="2" t="str">
        <f t="shared" si="60"/>
        <v>ინ</v>
      </c>
    </row>
    <row r="381" spans="1:9" x14ac:dyDescent="0.25">
      <c r="A381" s="2">
        <v>230</v>
      </c>
      <c r="B381" s="2" t="s">
        <v>333</v>
      </c>
      <c r="C381" s="2" t="s">
        <v>312</v>
      </c>
      <c r="D381" s="2">
        <v>2000</v>
      </c>
      <c r="E381" s="2">
        <v>15</v>
      </c>
      <c r="F381" s="2">
        <v>15</v>
      </c>
      <c r="G381" s="2">
        <f t="shared" si="61"/>
        <v>15</v>
      </c>
      <c r="H381" s="19" t="str">
        <f t="shared" si="58"/>
        <v>4.1-230</v>
      </c>
      <c r="I381" s="2" t="str">
        <f t="shared" si="60"/>
        <v>ინ</v>
      </c>
    </row>
    <row r="382" spans="1:9" x14ac:dyDescent="0.25">
      <c r="A382" s="2">
        <v>231</v>
      </c>
      <c r="B382" s="2" t="s">
        <v>334</v>
      </c>
      <c r="C382" s="2" t="s">
        <v>312</v>
      </c>
      <c r="D382" s="6">
        <v>1600</v>
      </c>
      <c r="E382" s="2">
        <v>18</v>
      </c>
      <c r="F382" s="2">
        <v>18</v>
      </c>
      <c r="G382" s="2">
        <f t="shared" si="61"/>
        <v>18</v>
      </c>
      <c r="H382" s="19" t="str">
        <f t="shared" si="58"/>
        <v>4.1-231</v>
      </c>
      <c r="I382" s="2" t="str">
        <f t="shared" si="60"/>
        <v>ინ</v>
      </c>
    </row>
    <row r="383" spans="1:9" x14ac:dyDescent="0.25">
      <c r="A383" s="2">
        <v>232</v>
      </c>
      <c r="B383" s="2" t="s">
        <v>335</v>
      </c>
      <c r="C383" s="2" t="s">
        <v>312</v>
      </c>
      <c r="D383" s="6">
        <v>1600</v>
      </c>
      <c r="E383" s="2">
        <v>15</v>
      </c>
      <c r="F383" s="2">
        <v>15</v>
      </c>
      <c r="G383" s="2">
        <f t="shared" si="61"/>
        <v>15</v>
      </c>
      <c r="H383" s="19" t="str">
        <f t="shared" si="58"/>
        <v>4.1-232</v>
      </c>
      <c r="I383" s="2" t="str">
        <f t="shared" si="60"/>
        <v>ინ</v>
      </c>
    </row>
    <row r="384" spans="1:9" x14ac:dyDescent="0.25">
      <c r="A384" s="2">
        <v>233</v>
      </c>
      <c r="B384" s="2" t="s">
        <v>336</v>
      </c>
      <c r="C384" s="2" t="s">
        <v>312</v>
      </c>
      <c r="D384" s="6">
        <v>1600</v>
      </c>
      <c r="E384" s="2">
        <v>20</v>
      </c>
      <c r="F384" s="2">
        <v>25</v>
      </c>
      <c r="G384" s="2">
        <f t="shared" si="61"/>
        <v>22.5</v>
      </c>
      <c r="H384" s="19" t="str">
        <f t="shared" si="58"/>
        <v>4.1-233</v>
      </c>
      <c r="I384" s="2" t="str">
        <f t="shared" si="60"/>
        <v>ინ</v>
      </c>
    </row>
    <row r="385" spans="1:9" x14ac:dyDescent="0.25">
      <c r="A385" s="2">
        <v>234</v>
      </c>
      <c r="B385" s="2" t="s">
        <v>337</v>
      </c>
      <c r="C385" s="2" t="s">
        <v>312</v>
      </c>
      <c r="D385" s="2">
        <v>1000</v>
      </c>
      <c r="E385" s="2">
        <v>17</v>
      </c>
      <c r="F385" s="2">
        <v>17</v>
      </c>
      <c r="G385" s="2">
        <f t="shared" si="61"/>
        <v>17</v>
      </c>
      <c r="H385" s="19" t="str">
        <f t="shared" si="58"/>
        <v>4.1-234</v>
      </c>
      <c r="I385" s="2" t="str">
        <f t="shared" si="60"/>
        <v>ინ</v>
      </c>
    </row>
    <row r="386" spans="1:9" x14ac:dyDescent="0.25">
      <c r="A386" s="2">
        <v>235</v>
      </c>
      <c r="B386" s="2" t="s">
        <v>338</v>
      </c>
      <c r="C386" s="2" t="s">
        <v>312</v>
      </c>
      <c r="D386" s="2">
        <v>1600</v>
      </c>
      <c r="E386" s="2">
        <v>16.3</v>
      </c>
      <c r="F386" s="2">
        <v>16.3</v>
      </c>
      <c r="G386" s="2">
        <f t="shared" si="61"/>
        <v>16.3</v>
      </c>
      <c r="H386" s="19" t="str">
        <f t="shared" si="58"/>
        <v>4.1-235</v>
      </c>
      <c r="I386" s="2" t="str">
        <f t="shared" si="60"/>
        <v>ინ</v>
      </c>
    </row>
    <row r="387" spans="1:9" x14ac:dyDescent="0.25">
      <c r="A387" s="2">
        <v>236</v>
      </c>
      <c r="B387" s="2" t="s">
        <v>339</v>
      </c>
      <c r="C387" s="2" t="s">
        <v>312</v>
      </c>
      <c r="D387" s="2">
        <v>1600</v>
      </c>
      <c r="E387" s="2">
        <v>15.8</v>
      </c>
      <c r="F387" s="2">
        <v>15.8</v>
      </c>
      <c r="G387" s="2">
        <f t="shared" si="61"/>
        <v>15.8</v>
      </c>
      <c r="H387" s="19" t="str">
        <f t="shared" si="58"/>
        <v>4.1-236</v>
      </c>
      <c r="I387" s="2" t="str">
        <f t="shared" si="60"/>
        <v>ინ</v>
      </c>
    </row>
    <row r="388" spans="1:9" x14ac:dyDescent="0.25">
      <c r="A388" s="2">
        <v>237</v>
      </c>
      <c r="B388" s="2" t="s">
        <v>340</v>
      </c>
      <c r="C388" s="2" t="s">
        <v>312</v>
      </c>
      <c r="D388" s="2">
        <v>1600</v>
      </c>
      <c r="E388" s="2">
        <v>14.8</v>
      </c>
      <c r="F388" s="2">
        <v>14.8</v>
      </c>
      <c r="G388" s="2">
        <f t="shared" si="61"/>
        <v>14.8</v>
      </c>
      <c r="H388" s="19" t="str">
        <f t="shared" si="58"/>
        <v>4.1-237</v>
      </c>
      <c r="I388" s="2" t="str">
        <f t="shared" si="60"/>
        <v>ინ</v>
      </c>
    </row>
    <row r="389" spans="1:9" x14ac:dyDescent="0.25">
      <c r="A389" s="2">
        <v>238</v>
      </c>
      <c r="B389" s="2" t="s">
        <v>341</v>
      </c>
      <c r="C389" s="2" t="s">
        <v>312</v>
      </c>
      <c r="D389" s="2">
        <v>1600</v>
      </c>
      <c r="E389" s="2">
        <v>14.5</v>
      </c>
      <c r="F389" s="2">
        <v>14.5</v>
      </c>
      <c r="G389" s="2">
        <f t="shared" si="61"/>
        <v>14.5</v>
      </c>
      <c r="H389" s="19" t="str">
        <f t="shared" si="58"/>
        <v>4.1-238</v>
      </c>
      <c r="I389" s="2" t="str">
        <f t="shared" si="60"/>
        <v>ინ</v>
      </c>
    </row>
    <row r="390" spans="1:9" x14ac:dyDescent="0.25">
      <c r="A390" s="2">
        <v>239</v>
      </c>
      <c r="B390" s="2" t="s">
        <v>342</v>
      </c>
      <c r="C390" s="2" t="s">
        <v>312</v>
      </c>
      <c r="D390" s="2">
        <v>1600</v>
      </c>
      <c r="E390" s="2">
        <v>13.4</v>
      </c>
      <c r="F390" s="2">
        <v>13.4</v>
      </c>
      <c r="G390" s="2">
        <f t="shared" si="61"/>
        <v>13.4</v>
      </c>
      <c r="H390" s="19" t="str">
        <f t="shared" si="58"/>
        <v>4.1-239</v>
      </c>
      <c r="I390" s="2" t="str">
        <f t="shared" si="60"/>
        <v>ინ</v>
      </c>
    </row>
    <row r="391" spans="1:9" x14ac:dyDescent="0.25">
      <c r="A391" s="2">
        <v>240</v>
      </c>
      <c r="B391" s="2" t="s">
        <v>343</v>
      </c>
      <c r="C391" s="2" t="s">
        <v>312</v>
      </c>
      <c r="D391" s="2">
        <v>1600</v>
      </c>
      <c r="E391" s="2">
        <v>16.2</v>
      </c>
      <c r="F391" s="2">
        <v>16.2</v>
      </c>
      <c r="G391" s="2">
        <f t="shared" si="61"/>
        <v>16.2</v>
      </c>
      <c r="H391" s="19" t="str">
        <f t="shared" si="58"/>
        <v>4.1-240</v>
      </c>
      <c r="I391" s="2" t="str">
        <f t="shared" si="60"/>
        <v>ინ</v>
      </c>
    </row>
    <row r="392" spans="1:9" x14ac:dyDescent="0.25">
      <c r="A392" s="2">
        <v>241</v>
      </c>
      <c r="B392" s="2" t="s">
        <v>344</v>
      </c>
      <c r="C392" s="2" t="s">
        <v>312</v>
      </c>
      <c r="D392" s="2">
        <v>1600</v>
      </c>
      <c r="E392" s="2">
        <v>15.1</v>
      </c>
      <c r="F392" s="2">
        <v>15.1</v>
      </c>
      <c r="G392" s="2">
        <f t="shared" si="61"/>
        <v>15.1</v>
      </c>
      <c r="H392" s="19" t="str">
        <f t="shared" si="58"/>
        <v>4.1-241</v>
      </c>
      <c r="I392" s="2" t="str">
        <f t="shared" si="60"/>
        <v>ინ</v>
      </c>
    </row>
    <row r="393" spans="1:9" x14ac:dyDescent="0.25">
      <c r="A393" s="2">
        <v>242</v>
      </c>
      <c r="B393" s="2" t="s">
        <v>345</v>
      </c>
      <c r="C393" s="2" t="s">
        <v>312</v>
      </c>
      <c r="D393" s="2">
        <v>1600</v>
      </c>
      <c r="E393" s="2">
        <v>14.8</v>
      </c>
      <c r="F393" s="2">
        <v>14.8</v>
      </c>
      <c r="G393" s="2">
        <f t="shared" si="61"/>
        <v>14.8</v>
      </c>
      <c r="H393" s="19" t="str">
        <f t="shared" si="58"/>
        <v>4.1-242</v>
      </c>
      <c r="I393" s="2" t="str">
        <f t="shared" si="60"/>
        <v>ინ</v>
      </c>
    </row>
    <row r="394" spans="1:9" x14ac:dyDescent="0.25">
      <c r="A394" s="2">
        <v>243</v>
      </c>
      <c r="B394" s="2" t="s">
        <v>346</v>
      </c>
      <c r="C394" s="2" t="s">
        <v>312</v>
      </c>
      <c r="D394" s="2">
        <v>1600</v>
      </c>
      <c r="E394" s="2">
        <v>14.5</v>
      </c>
      <c r="F394" s="2">
        <v>14.5</v>
      </c>
      <c r="G394" s="2">
        <f t="shared" si="61"/>
        <v>14.5</v>
      </c>
      <c r="H394" s="19" t="str">
        <f t="shared" si="58"/>
        <v>4.1-243</v>
      </c>
      <c r="I394" s="2" t="str">
        <f t="shared" si="60"/>
        <v>ინ</v>
      </c>
    </row>
    <row r="395" spans="1:9" x14ac:dyDescent="0.25">
      <c r="A395" s="2">
        <v>244</v>
      </c>
      <c r="B395" s="2" t="s">
        <v>347</v>
      </c>
      <c r="C395" s="2" t="s">
        <v>312</v>
      </c>
      <c r="D395" s="2">
        <v>1600</v>
      </c>
      <c r="E395" s="2">
        <v>14.3</v>
      </c>
      <c r="F395" s="2">
        <v>14.3</v>
      </c>
      <c r="G395" s="2">
        <f t="shared" si="61"/>
        <v>14.3</v>
      </c>
      <c r="H395" s="19" t="str">
        <f t="shared" si="58"/>
        <v>4.1-244</v>
      </c>
      <c r="I395" s="2" t="str">
        <f t="shared" si="60"/>
        <v>ინ</v>
      </c>
    </row>
    <row r="396" spans="1:9" x14ac:dyDescent="0.25">
      <c r="A396" s="2">
        <v>245</v>
      </c>
      <c r="B396" s="2" t="s">
        <v>348</v>
      </c>
      <c r="C396" s="2" t="s">
        <v>312</v>
      </c>
      <c r="D396" s="2">
        <v>1600</v>
      </c>
      <c r="E396" s="2">
        <v>15</v>
      </c>
      <c r="F396" s="2">
        <v>15</v>
      </c>
      <c r="G396" s="2">
        <f t="shared" si="61"/>
        <v>15</v>
      </c>
      <c r="H396" s="19" t="str">
        <f t="shared" si="58"/>
        <v>4.1-245</v>
      </c>
      <c r="I396" s="2" t="str">
        <f t="shared" si="60"/>
        <v>ინ</v>
      </c>
    </row>
    <row r="397" spans="1:9" x14ac:dyDescent="0.25">
      <c r="A397" s="2">
        <v>246</v>
      </c>
      <c r="B397" s="2" t="s">
        <v>349</v>
      </c>
      <c r="C397" s="2" t="s">
        <v>312</v>
      </c>
      <c r="D397" s="2">
        <v>1600</v>
      </c>
      <c r="E397" s="2">
        <v>14.5</v>
      </c>
      <c r="F397" s="2">
        <v>14.5</v>
      </c>
      <c r="G397" s="2">
        <f t="shared" si="61"/>
        <v>14.5</v>
      </c>
      <c r="H397" s="19" t="str">
        <f t="shared" si="58"/>
        <v>4.1-246</v>
      </c>
      <c r="I397" s="2" t="str">
        <f t="shared" si="60"/>
        <v>ინ</v>
      </c>
    </row>
    <row r="398" spans="1:9" x14ac:dyDescent="0.25">
      <c r="A398" s="2">
        <v>247</v>
      </c>
      <c r="B398" s="2" t="s">
        <v>350</v>
      </c>
      <c r="C398" s="2" t="s">
        <v>312</v>
      </c>
      <c r="D398" s="2">
        <v>1600</v>
      </c>
      <c r="E398" s="2">
        <v>13.9</v>
      </c>
      <c r="F398" s="2">
        <v>13.9</v>
      </c>
      <c r="G398" s="2">
        <f t="shared" si="61"/>
        <v>13.9</v>
      </c>
      <c r="H398" s="19" t="str">
        <f t="shared" si="58"/>
        <v>4.1-247</v>
      </c>
      <c r="I398" s="2" t="str">
        <f t="shared" si="60"/>
        <v>ინ</v>
      </c>
    </row>
    <row r="399" spans="1:9" x14ac:dyDescent="0.25">
      <c r="A399" s="2">
        <v>248</v>
      </c>
      <c r="B399" s="2" t="s">
        <v>351</v>
      </c>
      <c r="C399" s="2" t="s">
        <v>312</v>
      </c>
      <c r="D399" s="2">
        <v>1600</v>
      </c>
      <c r="E399" s="2">
        <v>13.6</v>
      </c>
      <c r="F399" s="2">
        <v>13.6</v>
      </c>
      <c r="G399" s="2">
        <f t="shared" si="61"/>
        <v>13.6</v>
      </c>
      <c r="H399" s="19" t="str">
        <f t="shared" si="58"/>
        <v>4.1-248</v>
      </c>
      <c r="I399" s="2" t="str">
        <f t="shared" si="60"/>
        <v>ინ</v>
      </c>
    </row>
    <row r="400" spans="1:9" x14ac:dyDescent="0.25">
      <c r="A400" s="2">
        <v>249</v>
      </c>
      <c r="B400" s="2" t="s">
        <v>352</v>
      </c>
      <c r="C400" s="2" t="s">
        <v>312</v>
      </c>
      <c r="D400" s="2">
        <v>1600</v>
      </c>
      <c r="E400" s="2">
        <v>13.3</v>
      </c>
      <c r="F400" s="2">
        <v>13.3</v>
      </c>
      <c r="G400" s="2">
        <f t="shared" si="61"/>
        <v>13.3</v>
      </c>
      <c r="H400" s="19" t="str">
        <f t="shared" si="58"/>
        <v>4.1-249</v>
      </c>
      <c r="I400" s="2" t="str">
        <f t="shared" si="60"/>
        <v>ინ</v>
      </c>
    </row>
    <row r="401" spans="1:9" x14ac:dyDescent="0.25">
      <c r="A401" s="2">
        <v>250</v>
      </c>
      <c r="B401" s="2" t="s">
        <v>353</v>
      </c>
      <c r="C401" s="2" t="s">
        <v>312</v>
      </c>
      <c r="D401" s="2">
        <v>1000</v>
      </c>
      <c r="E401" s="2">
        <v>17</v>
      </c>
      <c r="F401" s="2">
        <v>17</v>
      </c>
      <c r="G401" s="2">
        <f t="shared" si="61"/>
        <v>17</v>
      </c>
      <c r="H401" s="19" t="str">
        <f t="shared" si="58"/>
        <v>4.1-250</v>
      </c>
      <c r="I401" s="2" t="str">
        <f t="shared" si="60"/>
        <v>ინ</v>
      </c>
    </row>
    <row r="402" spans="1:9" x14ac:dyDescent="0.25">
      <c r="A402" s="2">
        <v>251</v>
      </c>
      <c r="B402" s="2" t="s">
        <v>354</v>
      </c>
      <c r="C402" s="2" t="s">
        <v>312</v>
      </c>
      <c r="D402" s="2">
        <v>1600</v>
      </c>
      <c r="E402" s="2">
        <v>15.3</v>
      </c>
      <c r="F402" s="2">
        <v>15.3</v>
      </c>
      <c r="G402" s="2">
        <f t="shared" si="61"/>
        <v>15.3</v>
      </c>
      <c r="H402" s="19" t="str">
        <f t="shared" si="58"/>
        <v>4.1-251</v>
      </c>
      <c r="I402" s="2" t="str">
        <f t="shared" si="60"/>
        <v>ინ</v>
      </c>
    </row>
    <row r="403" spans="1:9" x14ac:dyDescent="0.25">
      <c r="A403" s="2">
        <v>252</v>
      </c>
      <c r="B403" s="2" t="s">
        <v>355</v>
      </c>
      <c r="C403" s="2" t="s">
        <v>312</v>
      </c>
      <c r="D403" s="2">
        <v>1600</v>
      </c>
      <c r="E403" s="2">
        <v>14.5</v>
      </c>
      <c r="F403" s="2">
        <v>14.5</v>
      </c>
      <c r="G403" s="2">
        <f t="shared" si="61"/>
        <v>14.5</v>
      </c>
      <c r="H403" s="19" t="str">
        <f t="shared" si="58"/>
        <v>4.1-252</v>
      </c>
      <c r="I403" s="2" t="str">
        <f t="shared" si="60"/>
        <v>ინ</v>
      </c>
    </row>
    <row r="404" spans="1:9" x14ac:dyDescent="0.25">
      <c r="A404" s="2">
        <v>253</v>
      </c>
      <c r="B404" s="2" t="s">
        <v>356</v>
      </c>
      <c r="C404" s="2" t="s">
        <v>312</v>
      </c>
      <c r="D404" s="2">
        <v>1600</v>
      </c>
      <c r="E404" s="2">
        <v>13.3</v>
      </c>
      <c r="F404" s="2">
        <v>13.3</v>
      </c>
      <c r="G404" s="2">
        <f t="shared" si="61"/>
        <v>13.3</v>
      </c>
      <c r="H404" s="19" t="str">
        <f t="shared" si="58"/>
        <v>4.1-253</v>
      </c>
      <c r="I404" s="2" t="str">
        <f t="shared" si="60"/>
        <v>ინ</v>
      </c>
    </row>
    <row r="405" spans="1:9" x14ac:dyDescent="0.25">
      <c r="A405" s="2">
        <v>254</v>
      </c>
      <c r="B405" s="2" t="s">
        <v>357</v>
      </c>
      <c r="C405" s="2" t="s">
        <v>312</v>
      </c>
      <c r="D405" s="2">
        <v>1600</v>
      </c>
      <c r="E405" s="2">
        <v>18.899999999999999</v>
      </c>
      <c r="F405" s="2">
        <v>18.899999999999999</v>
      </c>
      <c r="G405" s="2">
        <f t="shared" si="61"/>
        <v>18.899999999999999</v>
      </c>
      <c r="H405" s="19" t="str">
        <f t="shared" si="58"/>
        <v>4.1-254</v>
      </c>
      <c r="I405" s="2" t="str">
        <f t="shared" si="60"/>
        <v>ინ</v>
      </c>
    </row>
    <row r="406" spans="1:9" x14ac:dyDescent="0.25">
      <c r="A406" s="2">
        <v>255</v>
      </c>
      <c r="B406" s="2" t="s">
        <v>358</v>
      </c>
      <c r="C406" s="2" t="s">
        <v>312</v>
      </c>
      <c r="D406" s="2">
        <v>1600</v>
      </c>
      <c r="E406" s="2">
        <v>16.7</v>
      </c>
      <c r="F406" s="2">
        <v>16.7</v>
      </c>
      <c r="G406" s="2">
        <f t="shared" si="61"/>
        <v>16.7</v>
      </c>
      <c r="H406" s="19" t="str">
        <f t="shared" si="58"/>
        <v>4.1-255</v>
      </c>
      <c r="I406" s="2" t="str">
        <f t="shared" si="60"/>
        <v>ინ</v>
      </c>
    </row>
    <row r="407" spans="1:9" x14ac:dyDescent="0.25">
      <c r="A407" s="2">
        <v>256</v>
      </c>
      <c r="B407" s="2" t="s">
        <v>359</v>
      </c>
      <c r="C407" s="2" t="s">
        <v>312</v>
      </c>
      <c r="D407" s="2">
        <v>1600</v>
      </c>
      <c r="E407" s="2">
        <v>15.1</v>
      </c>
      <c r="F407" s="2">
        <v>15.1</v>
      </c>
      <c r="G407" s="2">
        <f t="shared" si="61"/>
        <v>15.1</v>
      </c>
      <c r="H407" s="19" t="str">
        <f t="shared" si="58"/>
        <v>4.1-256</v>
      </c>
      <c r="I407" s="2" t="str">
        <f t="shared" si="60"/>
        <v>ინ</v>
      </c>
    </row>
    <row r="408" spans="1:9" x14ac:dyDescent="0.25">
      <c r="A408" s="2">
        <v>257</v>
      </c>
      <c r="B408" s="2" t="s">
        <v>360</v>
      </c>
      <c r="C408" s="2" t="s">
        <v>312</v>
      </c>
      <c r="D408" s="2">
        <v>1600</v>
      </c>
      <c r="E408" s="2">
        <v>14.1</v>
      </c>
      <c r="F408" s="2">
        <v>14.1</v>
      </c>
      <c r="G408" s="2">
        <f t="shared" si="61"/>
        <v>14.1</v>
      </c>
      <c r="H408" s="19" t="str">
        <f t="shared" si="58"/>
        <v>4.1-257</v>
      </c>
      <c r="I408" s="2" t="str">
        <f t="shared" si="60"/>
        <v>ინ</v>
      </c>
    </row>
    <row r="409" spans="1:9" x14ac:dyDescent="0.25">
      <c r="A409" s="2">
        <v>258</v>
      </c>
      <c r="B409" s="2" t="s">
        <v>361</v>
      </c>
      <c r="C409" s="2" t="s">
        <v>312</v>
      </c>
      <c r="D409" s="2">
        <v>1600</v>
      </c>
      <c r="E409" s="2">
        <v>13.6</v>
      </c>
      <c r="F409" s="2">
        <v>13.6</v>
      </c>
      <c r="G409" s="2">
        <f t="shared" si="61"/>
        <v>13.6</v>
      </c>
      <c r="H409" s="19" t="str">
        <f t="shared" si="58"/>
        <v>4.1-258</v>
      </c>
      <c r="I409" s="2" t="str">
        <f t="shared" si="60"/>
        <v>ინ</v>
      </c>
    </row>
    <row r="410" spans="1:9" x14ac:dyDescent="0.25">
      <c r="A410" s="2">
        <v>259</v>
      </c>
      <c r="B410" s="2" t="s">
        <v>362</v>
      </c>
      <c r="C410" s="2" t="s">
        <v>312</v>
      </c>
      <c r="D410" s="2">
        <v>1600</v>
      </c>
      <c r="E410" s="2">
        <v>13.3</v>
      </c>
      <c r="F410" s="2">
        <v>13.3</v>
      </c>
      <c r="G410" s="2">
        <f t="shared" si="61"/>
        <v>13.3</v>
      </c>
      <c r="H410" s="19" t="str">
        <f t="shared" si="58"/>
        <v>4.1-259</v>
      </c>
      <c r="I410" s="2" t="str">
        <f t="shared" si="60"/>
        <v>ინ</v>
      </c>
    </row>
    <row r="411" spans="1:9" x14ac:dyDescent="0.25">
      <c r="A411" s="2">
        <v>260</v>
      </c>
      <c r="B411" s="2" t="s">
        <v>363</v>
      </c>
      <c r="C411" s="2" t="s">
        <v>312</v>
      </c>
      <c r="D411" s="2">
        <v>1600</v>
      </c>
      <c r="E411" s="2">
        <v>15.3</v>
      </c>
      <c r="F411" s="2">
        <v>15.3</v>
      </c>
      <c r="G411" s="2">
        <f t="shared" si="61"/>
        <v>15.3</v>
      </c>
      <c r="H411" s="19" t="str">
        <f t="shared" si="58"/>
        <v>4.1-260</v>
      </c>
      <c r="I411" s="2" t="str">
        <f t="shared" si="60"/>
        <v>ინ</v>
      </c>
    </row>
    <row r="412" spans="1:9" x14ac:dyDescent="0.25">
      <c r="A412" s="2">
        <v>261</v>
      </c>
      <c r="B412" s="2" t="s">
        <v>364</v>
      </c>
      <c r="C412" s="2" t="s">
        <v>312</v>
      </c>
      <c r="D412" s="2">
        <v>1600</v>
      </c>
      <c r="E412" s="2">
        <v>14.6</v>
      </c>
      <c r="F412" s="2">
        <v>14.6</v>
      </c>
      <c r="G412" s="2">
        <f t="shared" si="61"/>
        <v>14.6</v>
      </c>
      <c r="H412" s="19" t="str">
        <f t="shared" si="58"/>
        <v>4.1-261</v>
      </c>
      <c r="I412" s="2" t="str">
        <f t="shared" si="60"/>
        <v>ინ</v>
      </c>
    </row>
    <row r="413" spans="1:9" x14ac:dyDescent="0.25">
      <c r="A413" s="2">
        <v>262</v>
      </c>
      <c r="B413" s="2" t="s">
        <v>365</v>
      </c>
      <c r="C413" s="2" t="s">
        <v>312</v>
      </c>
      <c r="D413" s="2">
        <v>1600</v>
      </c>
      <c r="E413" s="2">
        <v>14</v>
      </c>
      <c r="F413" s="2">
        <v>14</v>
      </c>
      <c r="G413" s="2">
        <f t="shared" si="61"/>
        <v>14</v>
      </c>
      <c r="H413" s="19" t="str">
        <f t="shared" si="58"/>
        <v>4.1-262</v>
      </c>
      <c r="I413" s="2" t="str">
        <f t="shared" si="60"/>
        <v>ინ</v>
      </c>
    </row>
    <row r="414" spans="1:9" x14ac:dyDescent="0.25">
      <c r="A414" s="2">
        <v>263</v>
      </c>
      <c r="B414" s="2" t="s">
        <v>366</v>
      </c>
      <c r="C414" s="2" t="s">
        <v>312</v>
      </c>
      <c r="D414" s="2">
        <v>1600</v>
      </c>
      <c r="E414" s="2">
        <v>13.6</v>
      </c>
      <c r="F414" s="2">
        <v>13.6</v>
      </c>
      <c r="G414" s="2">
        <f t="shared" si="61"/>
        <v>13.6</v>
      </c>
      <c r="H414" s="19" t="str">
        <f t="shared" si="58"/>
        <v>4.1-263</v>
      </c>
      <c r="I414" s="2" t="str">
        <f t="shared" si="60"/>
        <v>ინ</v>
      </c>
    </row>
    <row r="415" spans="1:9" x14ac:dyDescent="0.25">
      <c r="A415" s="2">
        <v>264</v>
      </c>
      <c r="B415" s="2" t="s">
        <v>367</v>
      </c>
      <c r="C415" s="2" t="s">
        <v>312</v>
      </c>
      <c r="D415" s="2">
        <v>1600</v>
      </c>
      <c r="E415" s="2">
        <v>13.4</v>
      </c>
      <c r="F415" s="2">
        <v>13.4</v>
      </c>
      <c r="G415" s="2">
        <f t="shared" si="61"/>
        <v>13.4</v>
      </c>
      <c r="H415" s="19" t="str">
        <f t="shared" si="58"/>
        <v>4.1-264</v>
      </c>
      <c r="I415" s="2" t="str">
        <f t="shared" si="60"/>
        <v>ინ</v>
      </c>
    </row>
    <row r="416" spans="1:9" ht="20.25" thickBot="1" x14ac:dyDescent="0.3">
      <c r="A416" s="2">
        <v>265</v>
      </c>
      <c r="B416" s="2" t="s">
        <v>368</v>
      </c>
      <c r="C416" s="2" t="s">
        <v>312</v>
      </c>
      <c r="D416" s="2">
        <v>1600</v>
      </c>
      <c r="E416" s="2">
        <v>19</v>
      </c>
      <c r="F416" s="2">
        <v>19</v>
      </c>
      <c r="G416" s="2">
        <f t="shared" si="61"/>
        <v>19</v>
      </c>
      <c r="H416" s="19" t="str">
        <f t="shared" si="58"/>
        <v>4.1-265</v>
      </c>
      <c r="I416" s="2" t="str">
        <f t="shared" si="60"/>
        <v>ინ</v>
      </c>
    </row>
    <row r="417" spans="1:9" ht="21" thickTop="1" thickBot="1" x14ac:dyDescent="0.3">
      <c r="A417" s="4"/>
      <c r="B417" s="4" t="s">
        <v>369</v>
      </c>
      <c r="C417" s="4"/>
      <c r="D417" s="4"/>
      <c r="E417" s="4"/>
      <c r="F417" s="4"/>
      <c r="G417" s="4"/>
      <c r="H417" s="7"/>
      <c r="I417" s="7" t="s">
        <v>680</v>
      </c>
    </row>
    <row r="418" spans="1:9" ht="20.25" thickTop="1" x14ac:dyDescent="0.25">
      <c r="A418" s="2"/>
      <c r="B418" s="2" t="s">
        <v>25</v>
      </c>
      <c r="C418" s="2"/>
      <c r="D418" s="2"/>
      <c r="E418" s="2"/>
      <c r="F418" s="2"/>
      <c r="G418" s="2"/>
      <c r="H418" s="19"/>
      <c r="I418" s="2" t="str">
        <f>$I$417</f>
        <v>აბ</v>
      </c>
    </row>
    <row r="419" spans="1:9" x14ac:dyDescent="0.25">
      <c r="A419" s="2">
        <v>322</v>
      </c>
      <c r="B419" s="2" t="s">
        <v>815</v>
      </c>
      <c r="C419" s="2" t="s">
        <v>99</v>
      </c>
      <c r="D419" s="2">
        <v>0</v>
      </c>
      <c r="E419" s="2">
        <v>35</v>
      </c>
      <c r="F419" s="2">
        <v>40</v>
      </c>
      <c r="G419" s="2">
        <f>(E419+F419)/2</f>
        <v>37.5</v>
      </c>
      <c r="H419" s="19" t="str">
        <f>"4.1-"&amp;A419</f>
        <v>4.1-322</v>
      </c>
      <c r="I419" s="2" t="str">
        <f>$I$417</f>
        <v>აბ</v>
      </c>
    </row>
    <row r="420" spans="1:9" x14ac:dyDescent="0.25">
      <c r="A420" s="2">
        <v>331</v>
      </c>
      <c r="B420" s="2" t="s">
        <v>370</v>
      </c>
      <c r="C420" s="2" t="s">
        <v>14</v>
      </c>
      <c r="D420" s="2">
        <v>50</v>
      </c>
      <c r="E420" s="2">
        <v>21</v>
      </c>
      <c r="F420" s="2">
        <v>23</v>
      </c>
      <c r="G420" s="2">
        <f>(E420+F420)/2</f>
        <v>22</v>
      </c>
      <c r="H420" s="19" t="str">
        <f>"4.1-"&amp;A420</f>
        <v>4.1-331</v>
      </c>
      <c r="I420" s="2" t="str">
        <f t="shared" ref="I420:I425" si="62">$I$417</f>
        <v>აბ</v>
      </c>
    </row>
    <row r="421" spans="1:9" x14ac:dyDescent="0.25">
      <c r="A421" s="2">
        <v>332</v>
      </c>
      <c r="B421" s="2" t="s">
        <v>371</v>
      </c>
      <c r="C421" s="2" t="s">
        <v>14</v>
      </c>
      <c r="D421" s="2">
        <v>90</v>
      </c>
      <c r="E421" s="2">
        <v>22</v>
      </c>
      <c r="F421" s="2">
        <v>27</v>
      </c>
      <c r="G421" s="2">
        <f>(E421+F421)/2</f>
        <v>24.5</v>
      </c>
      <c r="H421" s="19" t="str">
        <f>"4.1-"&amp;A421</f>
        <v>4.1-332</v>
      </c>
      <c r="I421" s="2" t="str">
        <f t="shared" si="62"/>
        <v>აბ</v>
      </c>
    </row>
    <row r="422" spans="1:9" x14ac:dyDescent="0.25">
      <c r="A422" s="2">
        <v>333</v>
      </c>
      <c r="B422" s="2" t="s">
        <v>372</v>
      </c>
      <c r="C422" s="2" t="s">
        <v>66</v>
      </c>
      <c r="D422" s="2">
        <v>28</v>
      </c>
      <c r="E422" s="2">
        <v>24</v>
      </c>
      <c r="F422" s="2">
        <v>28</v>
      </c>
      <c r="G422" s="2">
        <f>(E422+F422)/2</f>
        <v>26</v>
      </c>
      <c r="H422" s="19" t="str">
        <f>"4.1-"&amp;A422</f>
        <v>4.1-333</v>
      </c>
      <c r="I422" s="2" t="str">
        <f t="shared" si="62"/>
        <v>აბ</v>
      </c>
    </row>
    <row r="423" spans="1:9" x14ac:dyDescent="0.25">
      <c r="A423" s="2"/>
      <c r="B423" s="2" t="s">
        <v>25</v>
      </c>
      <c r="C423" s="2"/>
      <c r="D423" s="2"/>
      <c r="E423" s="2"/>
      <c r="F423" s="2"/>
      <c r="G423" s="2"/>
      <c r="H423" s="19"/>
      <c r="I423" s="2"/>
    </row>
    <row r="424" spans="1:9" x14ac:dyDescent="0.25">
      <c r="A424" s="2">
        <v>335</v>
      </c>
      <c r="B424" s="2" t="s">
        <v>816</v>
      </c>
      <c r="C424" s="2" t="s">
        <v>99</v>
      </c>
      <c r="D424" s="2">
        <v>25</v>
      </c>
      <c r="E424" s="2">
        <v>13</v>
      </c>
      <c r="F424" s="2">
        <v>17</v>
      </c>
      <c r="G424" s="2">
        <f>(E424+F424)/2</f>
        <v>15</v>
      </c>
      <c r="H424" s="19" t="str">
        <f>"4.1-"&amp;A424</f>
        <v>4.1-335</v>
      </c>
      <c r="I424" s="2" t="str">
        <f t="shared" si="62"/>
        <v>აბ</v>
      </c>
    </row>
    <row r="425" spans="1:9" ht="20.25" thickBot="1" x14ac:dyDescent="0.3">
      <c r="A425" s="2"/>
      <c r="B425" s="2" t="s">
        <v>25</v>
      </c>
      <c r="C425" s="2"/>
      <c r="D425" s="2"/>
      <c r="E425" s="2"/>
      <c r="F425" s="2"/>
      <c r="G425" s="2"/>
      <c r="H425" s="19"/>
      <c r="I425" s="2" t="str">
        <f t="shared" si="62"/>
        <v>აბ</v>
      </c>
    </row>
    <row r="426" spans="1:9" ht="21" thickTop="1" thickBot="1" x14ac:dyDescent="0.3">
      <c r="A426" s="4"/>
      <c r="B426" s="4" t="s">
        <v>373</v>
      </c>
      <c r="C426" s="4"/>
      <c r="D426" s="4"/>
      <c r="E426" s="4"/>
      <c r="F426" s="4"/>
      <c r="G426" s="4"/>
      <c r="H426" s="7"/>
      <c r="I426" s="7" t="s">
        <v>679</v>
      </c>
    </row>
    <row r="427" spans="1:9" ht="20.25" thickTop="1" x14ac:dyDescent="0.25">
      <c r="A427" s="2">
        <v>338</v>
      </c>
      <c r="B427" s="2" t="s">
        <v>382</v>
      </c>
      <c r="C427" s="2" t="s">
        <v>312</v>
      </c>
      <c r="D427" s="2">
        <v>2400</v>
      </c>
      <c r="E427" s="2">
        <v>87</v>
      </c>
      <c r="F427" s="2">
        <v>87</v>
      </c>
      <c r="G427" s="2">
        <f t="shared" ref="G427:G436" si="63">(E427+F427)/2</f>
        <v>87</v>
      </c>
      <c r="H427" s="19" t="str">
        <f t="shared" ref="H427:H438" si="64">"4.1-"&amp;A427</f>
        <v>4.1-338</v>
      </c>
      <c r="I427" s="2" t="str">
        <f>$I$426</f>
        <v>მბ</v>
      </c>
    </row>
    <row r="428" spans="1:9" x14ac:dyDescent="0.25">
      <c r="A428" s="2">
        <v>339</v>
      </c>
      <c r="B428" s="2" t="s">
        <v>383</v>
      </c>
      <c r="C428" s="2" t="s">
        <v>312</v>
      </c>
      <c r="D428" s="2">
        <v>2400</v>
      </c>
      <c r="E428" s="2">
        <v>89</v>
      </c>
      <c r="F428" s="2">
        <v>89</v>
      </c>
      <c r="G428" s="2">
        <f t="shared" si="63"/>
        <v>89</v>
      </c>
      <c r="H428" s="19" t="str">
        <f t="shared" si="64"/>
        <v>4.1-339</v>
      </c>
      <c r="I428" s="2" t="str">
        <f t="shared" ref="I428:I439" si="65">$I$426</f>
        <v>მბ</v>
      </c>
    </row>
    <row r="429" spans="1:9" x14ac:dyDescent="0.25">
      <c r="A429" s="2">
        <v>340</v>
      </c>
      <c r="B429" s="2" t="s">
        <v>384</v>
      </c>
      <c r="C429" s="2" t="s">
        <v>312</v>
      </c>
      <c r="D429" s="2">
        <v>2400</v>
      </c>
      <c r="E429" s="2">
        <v>93</v>
      </c>
      <c r="F429" s="2">
        <v>93</v>
      </c>
      <c r="G429" s="2">
        <f t="shared" si="63"/>
        <v>93</v>
      </c>
      <c r="H429" s="19" t="str">
        <f t="shared" si="64"/>
        <v>4.1-340</v>
      </c>
      <c r="I429" s="2" t="str">
        <f t="shared" si="65"/>
        <v>მბ</v>
      </c>
    </row>
    <row r="430" spans="1:9" x14ac:dyDescent="0.25">
      <c r="A430" s="2">
        <v>341</v>
      </c>
      <c r="B430" s="2" t="s">
        <v>385</v>
      </c>
      <c r="C430" s="2" t="s">
        <v>312</v>
      </c>
      <c r="D430" s="2">
        <v>2400</v>
      </c>
      <c r="E430" s="2">
        <v>97</v>
      </c>
      <c r="F430" s="2">
        <v>97</v>
      </c>
      <c r="G430" s="2">
        <f t="shared" si="63"/>
        <v>97</v>
      </c>
      <c r="H430" s="19" t="str">
        <f t="shared" si="64"/>
        <v>4.1-341</v>
      </c>
      <c r="I430" s="2" t="str">
        <f t="shared" si="65"/>
        <v>მბ</v>
      </c>
    </row>
    <row r="431" spans="1:9" x14ac:dyDescent="0.25">
      <c r="A431" s="2">
        <v>342</v>
      </c>
      <c r="B431" s="2" t="s">
        <v>386</v>
      </c>
      <c r="C431" s="2" t="s">
        <v>312</v>
      </c>
      <c r="D431" s="2">
        <v>2400</v>
      </c>
      <c r="E431" s="2">
        <v>102</v>
      </c>
      <c r="F431" s="2">
        <v>102</v>
      </c>
      <c r="G431" s="2">
        <f t="shared" si="63"/>
        <v>102</v>
      </c>
      <c r="H431" s="19" t="str">
        <f t="shared" si="64"/>
        <v>4.1-342</v>
      </c>
      <c r="I431" s="2" t="str">
        <f t="shared" si="65"/>
        <v>მბ</v>
      </c>
    </row>
    <row r="432" spans="1:9" x14ac:dyDescent="0.25">
      <c r="A432" s="2">
        <v>343</v>
      </c>
      <c r="B432" s="2" t="s">
        <v>387</v>
      </c>
      <c r="C432" s="2" t="s">
        <v>312</v>
      </c>
      <c r="D432" s="2">
        <v>2400</v>
      </c>
      <c r="E432" s="2">
        <v>106</v>
      </c>
      <c r="F432" s="2">
        <v>106</v>
      </c>
      <c r="G432" s="2">
        <f t="shared" si="63"/>
        <v>106</v>
      </c>
      <c r="H432" s="19" t="str">
        <f t="shared" si="64"/>
        <v>4.1-343</v>
      </c>
      <c r="I432" s="2" t="str">
        <f t="shared" si="65"/>
        <v>მბ</v>
      </c>
    </row>
    <row r="433" spans="1:9" x14ac:dyDescent="0.25">
      <c r="A433" s="2">
        <v>344</v>
      </c>
      <c r="B433" s="2" t="s">
        <v>388</v>
      </c>
      <c r="C433" s="2" t="s">
        <v>312</v>
      </c>
      <c r="D433" s="2">
        <v>2400</v>
      </c>
      <c r="E433" s="2">
        <v>108</v>
      </c>
      <c r="F433" s="2">
        <v>108</v>
      </c>
      <c r="G433" s="2">
        <f t="shared" si="63"/>
        <v>108</v>
      </c>
      <c r="H433" s="19" t="str">
        <f t="shared" si="64"/>
        <v>4.1-344</v>
      </c>
      <c r="I433" s="2" t="str">
        <f t="shared" si="65"/>
        <v>მბ</v>
      </c>
    </row>
    <row r="434" spans="1:9" x14ac:dyDescent="0.25">
      <c r="A434" s="2">
        <v>345</v>
      </c>
      <c r="B434" s="2" t="s">
        <v>389</v>
      </c>
      <c r="C434" s="2" t="s">
        <v>312</v>
      </c>
      <c r="D434" s="2">
        <v>2400</v>
      </c>
      <c r="E434" s="2">
        <v>113</v>
      </c>
      <c r="F434" s="2">
        <v>113</v>
      </c>
      <c r="G434" s="2">
        <f t="shared" si="63"/>
        <v>113</v>
      </c>
      <c r="H434" s="19" t="str">
        <f t="shared" si="64"/>
        <v>4.1-345</v>
      </c>
      <c r="I434" s="2" t="str">
        <f t="shared" si="65"/>
        <v>მბ</v>
      </c>
    </row>
    <row r="435" spans="1:9" x14ac:dyDescent="0.25">
      <c r="A435" s="2">
        <v>346</v>
      </c>
      <c r="B435" s="2" t="s">
        <v>390</v>
      </c>
      <c r="C435" s="2" t="s">
        <v>312</v>
      </c>
      <c r="D435" s="2">
        <v>2400</v>
      </c>
      <c r="E435" s="2">
        <v>121</v>
      </c>
      <c r="F435" s="2">
        <v>121</v>
      </c>
      <c r="G435" s="2">
        <f t="shared" si="63"/>
        <v>121</v>
      </c>
      <c r="H435" s="19" t="str">
        <f t="shared" si="64"/>
        <v>4.1-346</v>
      </c>
      <c r="I435" s="2" t="str">
        <f t="shared" si="65"/>
        <v>მბ</v>
      </c>
    </row>
    <row r="436" spans="1:9" x14ac:dyDescent="0.25">
      <c r="A436" s="2">
        <v>347</v>
      </c>
      <c r="B436" s="2" t="s">
        <v>391</v>
      </c>
      <c r="C436" s="2" t="s">
        <v>312</v>
      </c>
      <c r="D436" s="2">
        <v>2400</v>
      </c>
      <c r="E436" s="2">
        <v>130</v>
      </c>
      <c r="F436" s="2">
        <v>130</v>
      </c>
      <c r="G436" s="2">
        <f t="shared" si="63"/>
        <v>130</v>
      </c>
      <c r="H436" s="19" t="str">
        <f t="shared" si="64"/>
        <v>4.1-347</v>
      </c>
      <c r="I436" s="2" t="str">
        <f t="shared" si="65"/>
        <v>მბ</v>
      </c>
    </row>
    <row r="437" spans="1:9" x14ac:dyDescent="0.25">
      <c r="A437" s="2"/>
      <c r="B437" s="2" t="s">
        <v>25</v>
      </c>
      <c r="C437" s="2" t="s">
        <v>312</v>
      </c>
      <c r="D437" s="2">
        <v>2400</v>
      </c>
      <c r="E437" s="2"/>
      <c r="F437" s="2"/>
      <c r="G437" s="2"/>
      <c r="H437" s="19"/>
      <c r="I437" s="2" t="str">
        <f t="shared" si="65"/>
        <v>მბ</v>
      </c>
    </row>
    <row r="438" spans="1:9" x14ac:dyDescent="0.25">
      <c r="A438" s="2">
        <v>359</v>
      </c>
      <c r="B438" s="2" t="s">
        <v>392</v>
      </c>
      <c r="C438" s="2" t="s">
        <v>393</v>
      </c>
      <c r="D438" s="2"/>
      <c r="E438" s="2">
        <v>11</v>
      </c>
      <c r="F438" s="2">
        <v>13</v>
      </c>
      <c r="G438" s="2">
        <f>(E438+F438)/2</f>
        <v>12</v>
      </c>
      <c r="H438" s="19" t="str">
        <f t="shared" si="64"/>
        <v>4.1-359</v>
      </c>
      <c r="I438" s="2" t="str">
        <f t="shared" si="65"/>
        <v>მბ</v>
      </c>
    </row>
    <row r="439" spans="1:9" ht="20.25" thickBot="1" x14ac:dyDescent="0.3">
      <c r="A439" s="2"/>
      <c r="B439" s="2" t="s">
        <v>25</v>
      </c>
      <c r="C439" s="2"/>
      <c r="D439" s="2"/>
      <c r="E439" s="2"/>
      <c r="F439" s="2"/>
      <c r="G439" s="2"/>
      <c r="H439" s="19"/>
      <c r="I439" s="2" t="str">
        <f t="shared" si="65"/>
        <v>მბ</v>
      </c>
    </row>
    <row r="440" spans="1:9" ht="21" thickTop="1" thickBot="1" x14ac:dyDescent="0.3">
      <c r="A440" s="4"/>
      <c r="B440" s="4" t="s">
        <v>395</v>
      </c>
      <c r="C440" s="4"/>
      <c r="D440" s="4"/>
      <c r="E440" s="4"/>
      <c r="F440" s="4"/>
      <c r="G440" s="4"/>
      <c r="H440" s="7"/>
      <c r="I440" s="7" t="s">
        <v>679</v>
      </c>
    </row>
    <row r="441" spans="1:9" ht="20.25" thickTop="1" x14ac:dyDescent="0.25">
      <c r="A441" s="2">
        <v>367</v>
      </c>
      <c r="B441" s="2" t="s">
        <v>396</v>
      </c>
      <c r="C441" s="2" t="s">
        <v>312</v>
      </c>
      <c r="D441" s="2">
        <v>2200</v>
      </c>
      <c r="E441" s="2">
        <v>70</v>
      </c>
      <c r="F441" s="2">
        <v>70</v>
      </c>
      <c r="G441" s="2">
        <f t="shared" ref="G441:G459" si="66">(E441+F441)/2</f>
        <v>70</v>
      </c>
      <c r="H441" s="19" t="str">
        <f t="shared" ref="H441:H459" si="67">"4.1-"&amp;A441</f>
        <v>4.1-367</v>
      </c>
      <c r="I441" s="2" t="str">
        <f>$I$440</f>
        <v>მბ</v>
      </c>
    </row>
    <row r="442" spans="1:9" x14ac:dyDescent="0.25">
      <c r="A442" s="2">
        <v>368</v>
      </c>
      <c r="B442" s="2" t="s">
        <v>397</v>
      </c>
      <c r="C442" s="2" t="s">
        <v>312</v>
      </c>
      <c r="D442" s="2">
        <v>2200</v>
      </c>
      <c r="E442" s="2">
        <v>82</v>
      </c>
      <c r="F442" s="2">
        <v>82</v>
      </c>
      <c r="G442" s="2">
        <f t="shared" si="66"/>
        <v>82</v>
      </c>
      <c r="H442" s="19" t="str">
        <f t="shared" si="67"/>
        <v>4.1-368</v>
      </c>
      <c r="I442" s="2" t="str">
        <f t="shared" ref="I442:I459" si="68">$I$440</f>
        <v>მბ</v>
      </c>
    </row>
    <row r="443" spans="1:9" x14ac:dyDescent="0.25">
      <c r="A443" s="2">
        <v>369</v>
      </c>
      <c r="B443" s="2" t="s">
        <v>398</v>
      </c>
      <c r="C443" s="2" t="s">
        <v>312</v>
      </c>
      <c r="D443" s="2">
        <v>2200</v>
      </c>
      <c r="E443" s="2">
        <v>85</v>
      </c>
      <c r="F443" s="2">
        <v>85</v>
      </c>
      <c r="G443" s="2">
        <f t="shared" si="66"/>
        <v>85</v>
      </c>
      <c r="H443" s="19" t="str">
        <f t="shared" si="67"/>
        <v>4.1-369</v>
      </c>
      <c r="I443" s="2" t="str">
        <f t="shared" si="68"/>
        <v>მბ</v>
      </c>
    </row>
    <row r="444" spans="1:9" x14ac:dyDescent="0.25">
      <c r="A444" s="2">
        <v>370</v>
      </c>
      <c r="B444" s="2" t="s">
        <v>399</v>
      </c>
      <c r="C444" s="2" t="s">
        <v>312</v>
      </c>
      <c r="D444" s="2">
        <v>2200</v>
      </c>
      <c r="E444" s="2">
        <v>87</v>
      </c>
      <c r="F444" s="2">
        <v>87</v>
      </c>
      <c r="G444" s="2">
        <f t="shared" si="66"/>
        <v>87</v>
      </c>
      <c r="H444" s="19" t="str">
        <f t="shared" si="67"/>
        <v>4.1-370</v>
      </c>
      <c r="I444" s="2" t="str">
        <f t="shared" si="68"/>
        <v>მბ</v>
      </c>
    </row>
    <row r="445" spans="1:9" x14ac:dyDescent="0.25">
      <c r="A445" s="2">
        <v>371</v>
      </c>
      <c r="B445" s="2" t="s">
        <v>400</v>
      </c>
      <c r="C445" s="2" t="s">
        <v>312</v>
      </c>
      <c r="D445" s="2">
        <v>2200</v>
      </c>
      <c r="E445" s="2">
        <v>95</v>
      </c>
      <c r="F445" s="2">
        <v>95</v>
      </c>
      <c r="G445" s="2">
        <f t="shared" si="66"/>
        <v>95</v>
      </c>
      <c r="H445" s="19" t="str">
        <f t="shared" si="67"/>
        <v>4.1-371</v>
      </c>
      <c r="I445" s="2" t="str">
        <f t="shared" si="68"/>
        <v>მბ</v>
      </c>
    </row>
    <row r="446" spans="1:9" x14ac:dyDescent="0.25">
      <c r="A446" s="2">
        <v>372</v>
      </c>
      <c r="B446" s="2" t="s">
        <v>402</v>
      </c>
      <c r="C446" s="2" t="s">
        <v>312</v>
      </c>
      <c r="D446" s="2">
        <v>2200</v>
      </c>
      <c r="E446" s="2">
        <v>85</v>
      </c>
      <c r="F446" s="2">
        <v>85</v>
      </c>
      <c r="G446" s="2">
        <f t="shared" si="66"/>
        <v>85</v>
      </c>
      <c r="H446" s="19" t="str">
        <f t="shared" si="67"/>
        <v>4.1-372</v>
      </c>
      <c r="I446" s="2" t="str">
        <f t="shared" si="68"/>
        <v>მბ</v>
      </c>
    </row>
    <row r="447" spans="1:9" x14ac:dyDescent="0.25">
      <c r="A447" s="2">
        <v>373</v>
      </c>
      <c r="B447" s="2" t="s">
        <v>403</v>
      </c>
      <c r="C447" s="2" t="s">
        <v>312</v>
      </c>
      <c r="D447" s="2">
        <v>2200</v>
      </c>
      <c r="E447" s="2">
        <v>90</v>
      </c>
      <c r="F447" s="2">
        <v>90</v>
      </c>
      <c r="G447" s="2">
        <f t="shared" si="66"/>
        <v>90</v>
      </c>
      <c r="H447" s="19" t="str">
        <f t="shared" si="67"/>
        <v>4.1-373</v>
      </c>
      <c r="I447" s="2" t="str">
        <f t="shared" si="68"/>
        <v>მბ</v>
      </c>
    </row>
    <row r="448" spans="1:9" x14ac:dyDescent="0.25">
      <c r="A448" s="2">
        <v>374</v>
      </c>
      <c r="B448" s="2" t="s">
        <v>404</v>
      </c>
      <c r="C448" s="2" t="s">
        <v>312</v>
      </c>
      <c r="D448" s="2">
        <v>2200</v>
      </c>
      <c r="E448" s="2">
        <v>93</v>
      </c>
      <c r="F448" s="2">
        <v>93</v>
      </c>
      <c r="G448" s="2">
        <f t="shared" si="66"/>
        <v>93</v>
      </c>
      <c r="H448" s="19" t="str">
        <f t="shared" si="67"/>
        <v>4.1-374</v>
      </c>
      <c r="I448" s="2" t="str">
        <f t="shared" si="68"/>
        <v>მბ</v>
      </c>
    </row>
    <row r="449" spans="1:9" x14ac:dyDescent="0.25">
      <c r="A449" s="2">
        <v>375</v>
      </c>
      <c r="B449" s="2" t="s">
        <v>405</v>
      </c>
      <c r="C449" s="2" t="s">
        <v>312</v>
      </c>
      <c r="D449" s="2">
        <v>2200</v>
      </c>
      <c r="E449" s="2">
        <v>97</v>
      </c>
      <c r="F449" s="2">
        <v>97</v>
      </c>
      <c r="G449" s="2">
        <f t="shared" si="66"/>
        <v>97</v>
      </c>
      <c r="H449" s="19" t="str">
        <f t="shared" si="67"/>
        <v>4.1-375</v>
      </c>
      <c r="I449" s="2" t="str">
        <f t="shared" si="68"/>
        <v>მბ</v>
      </c>
    </row>
    <row r="450" spans="1:9" x14ac:dyDescent="0.25">
      <c r="A450" s="2">
        <v>376</v>
      </c>
      <c r="B450" s="2" t="s">
        <v>401</v>
      </c>
      <c r="C450" s="2" t="s">
        <v>312</v>
      </c>
      <c r="D450" s="2">
        <v>2200</v>
      </c>
      <c r="E450" s="2">
        <v>120</v>
      </c>
      <c r="F450" s="2">
        <v>120</v>
      </c>
      <c r="G450" s="2">
        <f t="shared" si="66"/>
        <v>120</v>
      </c>
      <c r="H450" s="19" t="str">
        <f t="shared" si="67"/>
        <v>4.1-376</v>
      </c>
      <c r="I450" s="2" t="str">
        <f t="shared" si="68"/>
        <v>მბ</v>
      </c>
    </row>
    <row r="451" spans="1:9" x14ac:dyDescent="0.25">
      <c r="A451" s="2">
        <v>377</v>
      </c>
      <c r="B451" s="2" t="s">
        <v>406</v>
      </c>
      <c r="C451" s="2" t="s">
        <v>312</v>
      </c>
      <c r="D451" s="2">
        <v>2200</v>
      </c>
      <c r="E451" s="2">
        <v>118</v>
      </c>
      <c r="F451" s="2">
        <v>118</v>
      </c>
      <c r="G451" s="2">
        <f t="shared" si="66"/>
        <v>118</v>
      </c>
      <c r="H451" s="19" t="str">
        <f t="shared" si="67"/>
        <v>4.1-377</v>
      </c>
      <c r="I451" s="2" t="str">
        <f t="shared" si="68"/>
        <v>მბ</v>
      </c>
    </row>
    <row r="452" spans="1:9" x14ac:dyDescent="0.25">
      <c r="A452" s="2">
        <v>378</v>
      </c>
      <c r="B452" s="2" t="s">
        <v>407</v>
      </c>
      <c r="C452" s="2" t="s">
        <v>312</v>
      </c>
      <c r="D452" s="2">
        <v>2200</v>
      </c>
      <c r="E452" s="2">
        <v>103</v>
      </c>
      <c r="F452" s="2">
        <v>103</v>
      </c>
      <c r="G452" s="2">
        <f t="shared" si="66"/>
        <v>103</v>
      </c>
      <c r="H452" s="19" t="str">
        <f t="shared" si="67"/>
        <v>4.1-378</v>
      </c>
      <c r="I452" s="2" t="str">
        <f t="shared" si="68"/>
        <v>მბ</v>
      </c>
    </row>
    <row r="453" spans="1:9" x14ac:dyDescent="0.25">
      <c r="A453" s="2">
        <v>379</v>
      </c>
      <c r="B453" s="2" t="s">
        <v>408</v>
      </c>
      <c r="C453" s="2" t="s">
        <v>312</v>
      </c>
      <c r="D453" s="2">
        <v>2200</v>
      </c>
      <c r="E453" s="2">
        <v>92</v>
      </c>
      <c r="F453" s="2">
        <v>92</v>
      </c>
      <c r="G453" s="2">
        <f t="shared" si="66"/>
        <v>92</v>
      </c>
      <c r="H453" s="19" t="str">
        <f t="shared" si="67"/>
        <v>4.1-379</v>
      </c>
      <c r="I453" s="2" t="str">
        <f t="shared" si="68"/>
        <v>მბ</v>
      </c>
    </row>
    <row r="454" spans="1:9" x14ac:dyDescent="0.25">
      <c r="A454" s="2">
        <v>380</v>
      </c>
      <c r="B454" s="2" t="s">
        <v>409</v>
      </c>
      <c r="C454" s="2" t="s">
        <v>312</v>
      </c>
      <c r="D454" s="2">
        <v>2200</v>
      </c>
      <c r="E454" s="2">
        <v>95</v>
      </c>
      <c r="F454" s="2">
        <v>95</v>
      </c>
      <c r="G454" s="2">
        <f t="shared" si="66"/>
        <v>95</v>
      </c>
      <c r="H454" s="19" t="str">
        <f t="shared" si="67"/>
        <v>4.1-380</v>
      </c>
      <c r="I454" s="2" t="str">
        <f t="shared" si="68"/>
        <v>მბ</v>
      </c>
    </row>
    <row r="455" spans="1:9" x14ac:dyDescent="0.25">
      <c r="A455" s="2">
        <v>381</v>
      </c>
      <c r="B455" s="2" t="s">
        <v>410</v>
      </c>
      <c r="C455" s="2" t="s">
        <v>312</v>
      </c>
      <c r="D455" s="2">
        <v>2200</v>
      </c>
      <c r="E455" s="2">
        <v>87</v>
      </c>
      <c r="F455" s="2">
        <v>87</v>
      </c>
      <c r="G455" s="2">
        <f t="shared" si="66"/>
        <v>87</v>
      </c>
      <c r="H455" s="19" t="str">
        <f t="shared" si="67"/>
        <v>4.1-381</v>
      </c>
      <c r="I455" s="2" t="str">
        <f t="shared" si="68"/>
        <v>მბ</v>
      </c>
    </row>
    <row r="456" spans="1:9" x14ac:dyDescent="0.25">
      <c r="A456" s="2">
        <v>382</v>
      </c>
      <c r="B456" s="2" t="s">
        <v>411</v>
      </c>
      <c r="C456" s="2" t="s">
        <v>312</v>
      </c>
      <c r="D456" s="2">
        <v>2200</v>
      </c>
      <c r="E456" s="2">
        <v>83</v>
      </c>
      <c r="F456" s="2">
        <v>83</v>
      </c>
      <c r="G456" s="2">
        <f t="shared" si="66"/>
        <v>83</v>
      </c>
      <c r="H456" s="19" t="str">
        <f t="shared" si="67"/>
        <v>4.1-382</v>
      </c>
      <c r="I456" s="2" t="str">
        <f t="shared" si="68"/>
        <v>მბ</v>
      </c>
    </row>
    <row r="457" spans="1:9" x14ac:dyDescent="0.25">
      <c r="A457" s="2">
        <v>383</v>
      </c>
      <c r="B457" s="2" t="s">
        <v>412</v>
      </c>
      <c r="C457" s="2" t="s">
        <v>312</v>
      </c>
      <c r="D457" s="2">
        <v>2200</v>
      </c>
      <c r="E457" s="2">
        <v>117</v>
      </c>
      <c r="F457" s="2">
        <v>117</v>
      </c>
      <c r="G457" s="2">
        <f t="shared" si="66"/>
        <v>117</v>
      </c>
      <c r="H457" s="19" t="str">
        <f t="shared" si="67"/>
        <v>4.1-383</v>
      </c>
      <c r="I457" s="2" t="str">
        <f t="shared" si="68"/>
        <v>მბ</v>
      </c>
    </row>
    <row r="458" spans="1:9" x14ac:dyDescent="0.25">
      <c r="A458" s="2">
        <v>384</v>
      </c>
      <c r="B458" s="2" t="s">
        <v>413</v>
      </c>
      <c r="C458" s="2" t="s">
        <v>312</v>
      </c>
      <c r="D458" s="2">
        <v>2200</v>
      </c>
      <c r="E458" s="2">
        <v>119</v>
      </c>
      <c r="F458" s="2">
        <v>119</v>
      </c>
      <c r="G458" s="2">
        <f t="shared" si="66"/>
        <v>119</v>
      </c>
      <c r="H458" s="19" t="str">
        <f t="shared" si="67"/>
        <v>4.1-384</v>
      </c>
      <c r="I458" s="2" t="str">
        <f t="shared" si="68"/>
        <v>მბ</v>
      </c>
    </row>
    <row r="459" spans="1:9" ht="20.25" thickBot="1" x14ac:dyDescent="0.3">
      <c r="A459" s="2">
        <v>385</v>
      </c>
      <c r="B459" s="2" t="s">
        <v>414</v>
      </c>
      <c r="C459" s="2" t="s">
        <v>312</v>
      </c>
      <c r="D459" s="2">
        <v>2200</v>
      </c>
      <c r="E459" s="2">
        <v>120</v>
      </c>
      <c r="F459" s="2">
        <v>120</v>
      </c>
      <c r="G459" s="2">
        <f t="shared" si="66"/>
        <v>120</v>
      </c>
      <c r="H459" s="19" t="str">
        <f t="shared" si="67"/>
        <v>4.1-385</v>
      </c>
      <c r="I459" s="2" t="str">
        <f t="shared" si="68"/>
        <v>მბ</v>
      </c>
    </row>
    <row r="460" spans="1:9" ht="21" thickTop="1" thickBot="1" x14ac:dyDescent="0.3">
      <c r="A460" s="4"/>
      <c r="B460" s="4" t="s">
        <v>415</v>
      </c>
      <c r="C460" s="4"/>
      <c r="D460" s="4"/>
      <c r="E460" s="4"/>
      <c r="F460" s="4"/>
      <c r="G460" s="4"/>
      <c r="H460" s="7"/>
      <c r="I460" s="7" t="s">
        <v>682</v>
      </c>
    </row>
    <row r="461" spans="1:9" ht="20.25" thickTop="1" x14ac:dyDescent="0.25">
      <c r="A461" s="2"/>
      <c r="B461" s="2" t="s">
        <v>25</v>
      </c>
      <c r="C461" s="2"/>
      <c r="D461" s="2"/>
      <c r="E461" s="2"/>
      <c r="F461" s="2"/>
      <c r="G461" s="2"/>
      <c r="H461" s="19"/>
      <c r="I461" s="2" t="str">
        <f>$I$460</f>
        <v>სხ</v>
      </c>
    </row>
    <row r="462" spans="1:9" x14ac:dyDescent="0.25">
      <c r="A462" s="2">
        <v>390</v>
      </c>
      <c r="B462" s="2" t="s">
        <v>416</v>
      </c>
      <c r="C462" s="2" t="s">
        <v>99</v>
      </c>
      <c r="D462" s="2">
        <v>0</v>
      </c>
      <c r="E462" s="2">
        <v>0.82</v>
      </c>
      <c r="F462" s="2">
        <v>0.82</v>
      </c>
      <c r="G462" s="2">
        <f>(E462+F462)/2</f>
        <v>0.82</v>
      </c>
      <c r="H462" s="19" t="str">
        <f t="shared" ref="H462:H487" si="69">"4.1-"&amp;A462</f>
        <v>4.1-390</v>
      </c>
      <c r="I462" s="2" t="str">
        <f t="shared" ref="I462:I488" si="70">$I$460</f>
        <v>სხ</v>
      </c>
    </row>
    <row r="463" spans="1:9" x14ac:dyDescent="0.25">
      <c r="A463" s="2"/>
      <c r="B463" s="2" t="s">
        <v>25</v>
      </c>
      <c r="C463" s="2"/>
      <c r="D463" s="2"/>
      <c r="E463" s="2"/>
      <c r="F463" s="2"/>
      <c r="G463" s="2"/>
      <c r="H463" s="19"/>
      <c r="I463" s="2" t="str">
        <f t="shared" si="70"/>
        <v>სხ</v>
      </c>
    </row>
    <row r="464" spans="1:9" x14ac:dyDescent="0.25">
      <c r="A464" s="2">
        <v>392</v>
      </c>
      <c r="B464" s="2" t="s">
        <v>417</v>
      </c>
      <c r="C464" s="2" t="s">
        <v>99</v>
      </c>
      <c r="D464" s="2">
        <v>1.7</v>
      </c>
      <c r="E464" s="2">
        <v>2.34</v>
      </c>
      <c r="F464" s="2">
        <v>2.34</v>
      </c>
      <c r="G464" s="2">
        <f>(E464+F464)/2</f>
        <v>2.34</v>
      </c>
      <c r="H464" s="19" t="str">
        <f t="shared" si="69"/>
        <v>4.1-392</v>
      </c>
      <c r="I464" s="2" t="str">
        <f t="shared" si="70"/>
        <v>სხ</v>
      </c>
    </row>
    <row r="465" spans="1:9" x14ac:dyDescent="0.25">
      <c r="A465" s="2">
        <v>393</v>
      </c>
      <c r="B465" s="2" t="s">
        <v>418</v>
      </c>
      <c r="C465" s="2" t="s">
        <v>99</v>
      </c>
      <c r="D465" s="6">
        <v>1.7</v>
      </c>
      <c r="E465" s="2">
        <v>3.11</v>
      </c>
      <c r="F465" s="2">
        <v>3.11</v>
      </c>
      <c r="G465" s="2">
        <f>(E465+F465)/2</f>
        <v>3.11</v>
      </c>
      <c r="H465" s="19" t="str">
        <f t="shared" si="69"/>
        <v>4.1-393</v>
      </c>
      <c r="I465" s="2" t="str">
        <f t="shared" si="70"/>
        <v>სხ</v>
      </c>
    </row>
    <row r="466" spans="1:9" x14ac:dyDescent="0.25">
      <c r="A466" s="2"/>
      <c r="B466" s="2" t="s">
        <v>25</v>
      </c>
      <c r="C466" s="2"/>
      <c r="D466" s="2"/>
      <c r="E466" s="2"/>
      <c r="F466" s="2"/>
      <c r="G466" s="2"/>
      <c r="H466" s="19"/>
      <c r="I466" s="2" t="str">
        <f t="shared" si="70"/>
        <v>სხ</v>
      </c>
    </row>
    <row r="467" spans="1:9" x14ac:dyDescent="0.25">
      <c r="A467" s="2">
        <v>425</v>
      </c>
      <c r="B467" s="2" t="s">
        <v>419</v>
      </c>
      <c r="C467" s="2" t="s">
        <v>99</v>
      </c>
      <c r="D467" s="2">
        <v>0.1</v>
      </c>
      <c r="E467" s="2">
        <v>1.4</v>
      </c>
      <c r="F467" s="2">
        <v>1.4</v>
      </c>
      <c r="G467" s="2">
        <f t="shared" ref="G467:G477" si="71">(E467+F467)/2</f>
        <v>1.4</v>
      </c>
      <c r="H467" s="19" t="str">
        <f t="shared" si="69"/>
        <v>4.1-425</v>
      </c>
      <c r="I467" s="2" t="str">
        <f t="shared" si="70"/>
        <v>სხ</v>
      </c>
    </row>
    <row r="468" spans="1:9" x14ac:dyDescent="0.25">
      <c r="A468" s="2">
        <v>426</v>
      </c>
      <c r="B468" s="2" t="s">
        <v>420</v>
      </c>
      <c r="C468" s="2" t="s">
        <v>99</v>
      </c>
      <c r="D468" s="2">
        <v>0.15</v>
      </c>
      <c r="E468" s="2">
        <v>1.6</v>
      </c>
      <c r="F468" s="2">
        <v>1.6</v>
      </c>
      <c r="G468" s="2">
        <f t="shared" si="71"/>
        <v>1.6</v>
      </c>
      <c r="H468" s="19" t="str">
        <f t="shared" si="69"/>
        <v>4.1-426</v>
      </c>
      <c r="I468" s="2" t="str">
        <f t="shared" si="70"/>
        <v>სხ</v>
      </c>
    </row>
    <row r="469" spans="1:9" x14ac:dyDescent="0.25">
      <c r="A469" s="2">
        <v>427</v>
      </c>
      <c r="B469" s="2" t="s">
        <v>421</v>
      </c>
      <c r="C469" s="2" t="s">
        <v>99</v>
      </c>
      <c r="D469" s="2">
        <v>0.2</v>
      </c>
      <c r="E469" s="2">
        <v>1.9</v>
      </c>
      <c r="F469" s="2">
        <v>1.9</v>
      </c>
      <c r="G469" s="2">
        <f t="shared" si="71"/>
        <v>1.9</v>
      </c>
      <c r="H469" s="19" t="str">
        <f t="shared" si="69"/>
        <v>4.1-427</v>
      </c>
      <c r="I469" s="2" t="str">
        <f t="shared" si="70"/>
        <v>სხ</v>
      </c>
    </row>
    <row r="470" spans="1:9" x14ac:dyDescent="0.25">
      <c r="A470" s="2">
        <v>428</v>
      </c>
      <c r="B470" s="2" t="s">
        <v>422</v>
      </c>
      <c r="C470" s="2" t="s">
        <v>99</v>
      </c>
      <c r="D470" s="2">
        <v>0.25</v>
      </c>
      <c r="E470" s="2">
        <v>2.1</v>
      </c>
      <c r="F470" s="2">
        <v>2.1</v>
      </c>
      <c r="G470" s="2">
        <f t="shared" si="71"/>
        <v>2.1</v>
      </c>
      <c r="H470" s="19" t="str">
        <f t="shared" si="69"/>
        <v>4.1-428</v>
      </c>
      <c r="I470" s="2" t="str">
        <f t="shared" si="70"/>
        <v>სხ</v>
      </c>
    </row>
    <row r="471" spans="1:9" x14ac:dyDescent="0.25">
      <c r="A471" s="2">
        <v>429</v>
      </c>
      <c r="B471" s="2" t="s">
        <v>423</v>
      </c>
      <c r="C471" s="2" t="s">
        <v>99</v>
      </c>
      <c r="D471" s="2">
        <v>0.3</v>
      </c>
      <c r="E471" s="2">
        <v>2.4</v>
      </c>
      <c r="F471" s="2">
        <v>2.4</v>
      </c>
      <c r="G471" s="2">
        <f t="shared" si="71"/>
        <v>2.4</v>
      </c>
      <c r="H471" s="19" t="str">
        <f t="shared" si="69"/>
        <v>4.1-429</v>
      </c>
      <c r="I471" s="2" t="str">
        <f t="shared" si="70"/>
        <v>სხ</v>
      </c>
    </row>
    <row r="472" spans="1:9" x14ac:dyDescent="0.25">
      <c r="A472" s="2">
        <v>430</v>
      </c>
      <c r="B472" s="2" t="s">
        <v>424</v>
      </c>
      <c r="C472" s="2" t="s">
        <v>99</v>
      </c>
      <c r="D472" s="2">
        <v>1.2</v>
      </c>
      <c r="E472" s="2">
        <v>7.2</v>
      </c>
      <c r="F472" s="2">
        <v>7.2</v>
      </c>
      <c r="G472" s="2">
        <f t="shared" si="71"/>
        <v>7.2</v>
      </c>
      <c r="H472" s="19" t="str">
        <f t="shared" si="69"/>
        <v>4.1-430</v>
      </c>
      <c r="I472" s="2" t="str">
        <f t="shared" si="70"/>
        <v>სხ</v>
      </c>
    </row>
    <row r="473" spans="1:9" x14ac:dyDescent="0.25">
      <c r="A473" s="2">
        <v>431</v>
      </c>
      <c r="B473" s="2" t="s">
        <v>425</v>
      </c>
      <c r="C473" s="2" t="s">
        <v>99</v>
      </c>
      <c r="D473" s="2">
        <v>0</v>
      </c>
      <c r="E473" s="2">
        <v>5.5</v>
      </c>
      <c r="F473" s="2">
        <v>5.5</v>
      </c>
      <c r="G473" s="2">
        <f t="shared" si="71"/>
        <v>5.5</v>
      </c>
      <c r="H473" s="19" t="str">
        <f t="shared" si="69"/>
        <v>4.1-431</v>
      </c>
      <c r="I473" s="2" t="str">
        <f t="shared" si="70"/>
        <v>სხ</v>
      </c>
    </row>
    <row r="474" spans="1:9" x14ac:dyDescent="0.25">
      <c r="A474" s="2">
        <v>432</v>
      </c>
      <c r="B474" s="2" t="s">
        <v>426</v>
      </c>
      <c r="C474" s="2" t="s">
        <v>99</v>
      </c>
      <c r="D474" s="2">
        <v>0</v>
      </c>
      <c r="E474" s="2">
        <v>8.9</v>
      </c>
      <c r="F474" s="2">
        <v>8.9</v>
      </c>
      <c r="G474" s="2">
        <f t="shared" si="71"/>
        <v>8.9</v>
      </c>
      <c r="H474" s="19" t="str">
        <f t="shared" si="69"/>
        <v>4.1-432</v>
      </c>
      <c r="I474" s="2" t="str">
        <f t="shared" si="70"/>
        <v>სხ</v>
      </c>
    </row>
    <row r="475" spans="1:9" x14ac:dyDescent="0.25">
      <c r="A475" s="2">
        <v>433</v>
      </c>
      <c r="B475" s="2" t="s">
        <v>427</v>
      </c>
      <c r="C475" s="2" t="s">
        <v>99</v>
      </c>
      <c r="D475" s="2">
        <v>0</v>
      </c>
      <c r="E475" s="2">
        <v>12.7</v>
      </c>
      <c r="F475" s="2">
        <v>12.7</v>
      </c>
      <c r="G475" s="2">
        <f t="shared" si="71"/>
        <v>12.7</v>
      </c>
      <c r="H475" s="19" t="str">
        <f t="shared" si="69"/>
        <v>4.1-433</v>
      </c>
      <c r="I475" s="2" t="str">
        <f t="shared" si="70"/>
        <v>სხ</v>
      </c>
    </row>
    <row r="476" spans="1:9" x14ac:dyDescent="0.25">
      <c r="A476" s="2">
        <v>434</v>
      </c>
      <c r="B476" s="2" t="s">
        <v>428</v>
      </c>
      <c r="C476" s="2" t="s">
        <v>99</v>
      </c>
      <c r="D476" s="2">
        <v>0</v>
      </c>
      <c r="E476" s="2">
        <v>16.899999999999999</v>
      </c>
      <c r="F476" s="2">
        <v>16.899999999999999</v>
      </c>
      <c r="G476" s="2">
        <f t="shared" si="71"/>
        <v>16.899999999999999</v>
      </c>
      <c r="H476" s="19" t="str">
        <f t="shared" si="69"/>
        <v>4.1-434</v>
      </c>
      <c r="I476" s="2" t="str">
        <f t="shared" si="70"/>
        <v>სხ</v>
      </c>
    </row>
    <row r="477" spans="1:9" x14ac:dyDescent="0.25">
      <c r="A477" s="2">
        <v>435</v>
      </c>
      <c r="B477" s="2" t="s">
        <v>429</v>
      </c>
      <c r="C477" s="2" t="s">
        <v>99</v>
      </c>
      <c r="D477" s="2">
        <v>0</v>
      </c>
      <c r="E477" s="2">
        <v>22</v>
      </c>
      <c r="F477" s="2">
        <v>22</v>
      </c>
      <c r="G477" s="2">
        <f t="shared" si="71"/>
        <v>22</v>
      </c>
      <c r="H477" s="19" t="str">
        <f t="shared" si="69"/>
        <v>4.1-435</v>
      </c>
      <c r="I477" s="2" t="str">
        <f t="shared" si="70"/>
        <v>სხ</v>
      </c>
    </row>
    <row r="478" spans="1:9" x14ac:dyDescent="0.25">
      <c r="A478" s="2"/>
      <c r="B478" s="2" t="s">
        <v>25</v>
      </c>
      <c r="C478" s="2"/>
      <c r="D478" s="2"/>
      <c r="E478" s="2"/>
      <c r="F478" s="2"/>
      <c r="G478" s="2"/>
      <c r="H478" s="19"/>
      <c r="I478" s="2" t="str">
        <f t="shared" si="70"/>
        <v>სხ</v>
      </c>
    </row>
    <row r="479" spans="1:9" x14ac:dyDescent="0.25">
      <c r="A479" s="2">
        <v>509</v>
      </c>
      <c r="B479" s="2" t="s">
        <v>430</v>
      </c>
      <c r="C479" s="2" t="s">
        <v>99</v>
      </c>
      <c r="D479" s="2">
        <v>0</v>
      </c>
      <c r="E479" s="2">
        <v>1.3</v>
      </c>
      <c r="F479" s="2">
        <v>1.3</v>
      </c>
      <c r="G479" s="2">
        <f t="shared" ref="G479:G487" si="72">(E479+F479)/2</f>
        <v>1.3</v>
      </c>
      <c r="H479" s="19" t="str">
        <f t="shared" si="69"/>
        <v>4.1-509</v>
      </c>
      <c r="I479" s="2" t="str">
        <f t="shared" si="70"/>
        <v>სხ</v>
      </c>
    </row>
    <row r="480" spans="1:9" x14ac:dyDescent="0.25">
      <c r="A480" s="2">
        <v>510</v>
      </c>
      <c r="B480" s="2" t="s">
        <v>431</v>
      </c>
      <c r="C480" s="2" t="s">
        <v>99</v>
      </c>
      <c r="D480" s="2">
        <v>0</v>
      </c>
      <c r="E480" s="2">
        <v>1.95</v>
      </c>
      <c r="F480" s="2">
        <v>1.95</v>
      </c>
      <c r="G480" s="2">
        <f t="shared" si="72"/>
        <v>1.95</v>
      </c>
      <c r="H480" s="19" t="str">
        <f t="shared" si="69"/>
        <v>4.1-510</v>
      </c>
      <c r="I480" s="2" t="str">
        <f t="shared" si="70"/>
        <v>სხ</v>
      </c>
    </row>
    <row r="481" spans="1:9" x14ac:dyDescent="0.25">
      <c r="A481" s="2">
        <v>511</v>
      </c>
      <c r="B481" s="2" t="s">
        <v>432</v>
      </c>
      <c r="C481" s="2" t="s">
        <v>99</v>
      </c>
      <c r="D481" s="2">
        <v>0</v>
      </c>
      <c r="E481" s="2">
        <v>2.6</v>
      </c>
      <c r="F481" s="2">
        <v>2.6</v>
      </c>
      <c r="G481" s="2">
        <f t="shared" si="72"/>
        <v>2.6</v>
      </c>
      <c r="H481" s="19" t="str">
        <f t="shared" si="69"/>
        <v>4.1-511</v>
      </c>
      <c r="I481" s="2" t="str">
        <f t="shared" si="70"/>
        <v>სხ</v>
      </c>
    </row>
    <row r="482" spans="1:9" x14ac:dyDescent="0.25">
      <c r="A482" s="2">
        <v>512</v>
      </c>
      <c r="B482" s="2" t="s">
        <v>433</v>
      </c>
      <c r="C482" s="2" t="s">
        <v>99</v>
      </c>
      <c r="D482" s="2">
        <v>0</v>
      </c>
      <c r="E482" s="2">
        <v>3.1</v>
      </c>
      <c r="F482" s="2">
        <v>3.1</v>
      </c>
      <c r="G482" s="2">
        <f t="shared" si="72"/>
        <v>3.1</v>
      </c>
      <c r="H482" s="19" t="str">
        <f t="shared" si="69"/>
        <v>4.1-512</v>
      </c>
      <c r="I482" s="2" t="str">
        <f t="shared" si="70"/>
        <v>სხ</v>
      </c>
    </row>
    <row r="483" spans="1:9" x14ac:dyDescent="0.25">
      <c r="A483" s="2">
        <v>513</v>
      </c>
      <c r="B483" s="2" t="s">
        <v>434</v>
      </c>
      <c r="C483" s="2" t="s">
        <v>99</v>
      </c>
      <c r="D483" s="2">
        <v>0</v>
      </c>
      <c r="E483" s="2">
        <v>13</v>
      </c>
      <c r="F483" s="2">
        <v>13</v>
      </c>
      <c r="G483" s="2">
        <f t="shared" si="72"/>
        <v>13</v>
      </c>
      <c r="H483" s="19" t="str">
        <f t="shared" si="69"/>
        <v>4.1-513</v>
      </c>
      <c r="I483" s="2" t="str">
        <f t="shared" si="70"/>
        <v>სხ</v>
      </c>
    </row>
    <row r="484" spans="1:9" x14ac:dyDescent="0.25">
      <c r="A484" s="2">
        <v>514</v>
      </c>
      <c r="B484" s="2" t="s">
        <v>436</v>
      </c>
      <c r="C484" s="2" t="s">
        <v>99</v>
      </c>
      <c r="D484" s="2">
        <v>0</v>
      </c>
      <c r="E484" s="2">
        <v>3.27</v>
      </c>
      <c r="F484" s="2">
        <v>3.27</v>
      </c>
      <c r="G484" s="2">
        <f t="shared" si="72"/>
        <v>3.27</v>
      </c>
      <c r="H484" s="19" t="str">
        <f t="shared" si="69"/>
        <v>4.1-514</v>
      </c>
      <c r="I484" s="2" t="str">
        <f t="shared" si="70"/>
        <v>სხ</v>
      </c>
    </row>
    <row r="485" spans="1:9" x14ac:dyDescent="0.25">
      <c r="A485" s="2">
        <v>515</v>
      </c>
      <c r="B485" s="2" t="s">
        <v>435</v>
      </c>
      <c r="C485" s="2" t="s">
        <v>99</v>
      </c>
      <c r="D485" s="2">
        <v>0</v>
      </c>
      <c r="E485" s="2">
        <v>4.9000000000000004</v>
      </c>
      <c r="F485" s="2">
        <v>4.9000000000000004</v>
      </c>
      <c r="G485" s="2">
        <f t="shared" si="72"/>
        <v>4.9000000000000004</v>
      </c>
      <c r="H485" s="19" t="str">
        <f t="shared" si="69"/>
        <v>4.1-515</v>
      </c>
      <c r="I485" s="2" t="str">
        <f t="shared" si="70"/>
        <v>სხ</v>
      </c>
    </row>
    <row r="486" spans="1:9" x14ac:dyDescent="0.25">
      <c r="A486" s="2">
        <v>516</v>
      </c>
      <c r="B486" s="2" t="s">
        <v>437</v>
      </c>
      <c r="C486" s="2" t="s">
        <v>99</v>
      </c>
      <c r="D486" s="2">
        <v>0</v>
      </c>
      <c r="E486" s="2">
        <v>6.54</v>
      </c>
      <c r="F486" s="2">
        <v>6.54</v>
      </c>
      <c r="G486" s="2">
        <f t="shared" si="72"/>
        <v>6.54</v>
      </c>
      <c r="H486" s="19" t="str">
        <f t="shared" si="69"/>
        <v>4.1-516</v>
      </c>
      <c r="I486" s="2" t="str">
        <f t="shared" si="70"/>
        <v>სხ</v>
      </c>
    </row>
    <row r="487" spans="1:9" x14ac:dyDescent="0.25">
      <c r="A487" s="2">
        <v>517</v>
      </c>
      <c r="B487" s="2" t="s">
        <v>438</v>
      </c>
      <c r="C487" s="2" t="s">
        <v>99</v>
      </c>
      <c r="D487" s="2">
        <v>0</v>
      </c>
      <c r="E487" s="2">
        <v>7.94</v>
      </c>
      <c r="F487" s="2">
        <v>7.94</v>
      </c>
      <c r="G487" s="2">
        <f t="shared" si="72"/>
        <v>7.94</v>
      </c>
      <c r="H487" s="19" t="str">
        <f t="shared" si="69"/>
        <v>4.1-517</v>
      </c>
      <c r="I487" s="2" t="str">
        <f t="shared" si="70"/>
        <v>სხ</v>
      </c>
    </row>
    <row r="488" spans="1:9" ht="20.25" thickBot="1" x14ac:dyDescent="0.3">
      <c r="A488" s="2"/>
      <c r="B488" s="2" t="s">
        <v>25</v>
      </c>
      <c r="C488" s="2"/>
      <c r="D488" s="2"/>
      <c r="E488" s="2"/>
      <c r="F488" s="2"/>
      <c r="G488" s="2"/>
      <c r="H488" s="19"/>
      <c r="I488" s="2" t="str">
        <f t="shared" si="70"/>
        <v>სხ</v>
      </c>
    </row>
    <row r="489" spans="1:9" ht="21" thickTop="1" thickBot="1" x14ac:dyDescent="0.3">
      <c r="A489" s="4"/>
      <c r="B489" s="4" t="s">
        <v>439</v>
      </c>
      <c r="C489" s="4"/>
      <c r="D489" s="4"/>
      <c r="E489" s="4"/>
      <c r="F489" s="4"/>
      <c r="G489" s="4"/>
      <c r="H489" s="7"/>
      <c r="I489" s="7" t="s">
        <v>681</v>
      </c>
    </row>
    <row r="490" spans="1:9" ht="20.25" thickTop="1" x14ac:dyDescent="0.25">
      <c r="A490" s="2">
        <v>522</v>
      </c>
      <c r="B490" s="2" t="s">
        <v>440</v>
      </c>
      <c r="C490" s="2" t="s">
        <v>9</v>
      </c>
      <c r="D490" s="2">
        <v>1000</v>
      </c>
      <c r="E490" s="2">
        <v>110</v>
      </c>
      <c r="F490" s="2">
        <v>110</v>
      </c>
      <c r="G490" s="2">
        <f t="shared" ref="G490:G499" si="73">(E490+F490)/2</f>
        <v>110</v>
      </c>
      <c r="H490" s="19" t="str">
        <f t="shared" ref="H490:H512" si="74">"4.1-"&amp;A490</f>
        <v>4.1-522</v>
      </c>
      <c r="I490" s="2" t="str">
        <f>$I$489</f>
        <v>ას</v>
      </c>
    </row>
    <row r="491" spans="1:9" x14ac:dyDescent="0.25">
      <c r="A491" s="2">
        <v>523</v>
      </c>
      <c r="B491" s="2" t="s">
        <v>442</v>
      </c>
      <c r="C491" s="2" t="s">
        <v>9</v>
      </c>
      <c r="D491" s="2">
        <v>1000</v>
      </c>
      <c r="E491" s="2">
        <v>116</v>
      </c>
      <c r="F491" s="2">
        <v>116</v>
      </c>
      <c r="G491" s="2">
        <f t="shared" si="73"/>
        <v>116</v>
      </c>
      <c r="H491" s="19" t="str">
        <f t="shared" si="74"/>
        <v>4.1-523</v>
      </c>
      <c r="I491" s="2" t="str">
        <f t="shared" ref="I491:I512" si="75">$I$489</f>
        <v>ას</v>
      </c>
    </row>
    <row r="492" spans="1:9" x14ac:dyDescent="0.25">
      <c r="A492" s="2">
        <v>524</v>
      </c>
      <c r="B492" s="2" t="s">
        <v>441</v>
      </c>
      <c r="C492" s="2" t="s">
        <v>9</v>
      </c>
      <c r="D492" s="2">
        <v>1000</v>
      </c>
      <c r="E492" s="2">
        <v>123</v>
      </c>
      <c r="F492" s="2">
        <v>123</v>
      </c>
      <c r="G492" s="2">
        <f t="shared" si="73"/>
        <v>123</v>
      </c>
      <c r="H492" s="19" t="str">
        <f t="shared" si="74"/>
        <v>4.1-524</v>
      </c>
      <c r="I492" s="2" t="str">
        <f t="shared" si="75"/>
        <v>ას</v>
      </c>
    </row>
    <row r="493" spans="1:9" x14ac:dyDescent="0.25">
      <c r="A493" s="2">
        <v>525</v>
      </c>
      <c r="B493" s="2" t="s">
        <v>443</v>
      </c>
      <c r="C493" s="2" t="s">
        <v>9</v>
      </c>
      <c r="D493" s="2">
        <v>1000</v>
      </c>
      <c r="E493" s="2">
        <v>131.4</v>
      </c>
      <c r="F493" s="2">
        <v>131.4</v>
      </c>
      <c r="G493" s="2">
        <f t="shared" si="73"/>
        <v>131.4</v>
      </c>
      <c r="H493" s="19" t="str">
        <f t="shared" si="74"/>
        <v>4.1-525</v>
      </c>
      <c r="I493" s="2" t="str">
        <f t="shared" si="75"/>
        <v>ას</v>
      </c>
    </row>
    <row r="494" spans="1:9" x14ac:dyDescent="0.25">
      <c r="A494" s="2">
        <v>526</v>
      </c>
      <c r="B494" s="2" t="s">
        <v>444</v>
      </c>
      <c r="C494" s="2" t="s">
        <v>9</v>
      </c>
      <c r="D494" s="2">
        <v>1000</v>
      </c>
      <c r="E494" s="2">
        <v>195</v>
      </c>
      <c r="F494" s="2">
        <v>195</v>
      </c>
      <c r="G494" s="2">
        <f t="shared" si="73"/>
        <v>195</v>
      </c>
      <c r="H494" s="19" t="str">
        <f t="shared" si="74"/>
        <v>4.1-526</v>
      </c>
      <c r="I494" s="2" t="str">
        <f t="shared" si="75"/>
        <v>ას</v>
      </c>
    </row>
    <row r="495" spans="1:9" x14ac:dyDescent="0.25">
      <c r="A495" s="2">
        <v>527</v>
      </c>
      <c r="B495" s="2" t="s">
        <v>445</v>
      </c>
      <c r="C495" s="2" t="s">
        <v>9</v>
      </c>
      <c r="D495" s="2">
        <v>1000</v>
      </c>
      <c r="E495" s="2">
        <v>139.80000000000001</v>
      </c>
      <c r="F495" s="2">
        <v>139.80000000000001</v>
      </c>
      <c r="G495" s="2">
        <f t="shared" si="73"/>
        <v>139.80000000000001</v>
      </c>
      <c r="H495" s="19" t="str">
        <f t="shared" si="74"/>
        <v>4.1-527</v>
      </c>
      <c r="I495" s="2" t="str">
        <f t="shared" si="75"/>
        <v>ას</v>
      </c>
    </row>
    <row r="496" spans="1:9" x14ac:dyDescent="0.25">
      <c r="A496" s="2">
        <v>528</v>
      </c>
      <c r="B496" s="2" t="s">
        <v>446</v>
      </c>
      <c r="C496" s="2" t="s">
        <v>9</v>
      </c>
      <c r="D496" s="2">
        <v>1000</v>
      </c>
      <c r="E496" s="2">
        <v>339</v>
      </c>
      <c r="F496" s="2">
        <v>339</v>
      </c>
      <c r="G496" s="2">
        <f t="shared" si="73"/>
        <v>339</v>
      </c>
      <c r="H496" s="19" t="str">
        <f t="shared" si="74"/>
        <v>4.1-528</v>
      </c>
      <c r="I496" s="2" t="str">
        <f t="shared" si="75"/>
        <v>ას</v>
      </c>
    </row>
    <row r="497" spans="1:9" x14ac:dyDescent="0.25">
      <c r="A497" s="2">
        <v>529</v>
      </c>
      <c r="B497" s="2" t="s">
        <v>447</v>
      </c>
      <c r="C497" s="2" t="s">
        <v>9</v>
      </c>
      <c r="D497" s="2">
        <v>1000</v>
      </c>
      <c r="E497" s="2">
        <v>178</v>
      </c>
      <c r="F497" s="2">
        <v>178</v>
      </c>
      <c r="G497" s="2">
        <f t="shared" si="73"/>
        <v>178</v>
      </c>
      <c r="H497" s="19" t="str">
        <f t="shared" si="74"/>
        <v>4.1-529</v>
      </c>
      <c r="I497" s="2" t="str">
        <f t="shared" si="75"/>
        <v>ას</v>
      </c>
    </row>
    <row r="498" spans="1:9" x14ac:dyDescent="0.25">
      <c r="A498" s="2">
        <v>530</v>
      </c>
      <c r="B498" s="2" t="s">
        <v>448</v>
      </c>
      <c r="C498" s="2" t="s">
        <v>9</v>
      </c>
      <c r="D498" s="2">
        <v>1000</v>
      </c>
      <c r="E498" s="2">
        <v>203.4</v>
      </c>
      <c r="F498" s="2">
        <v>203.4</v>
      </c>
      <c r="G498" s="2">
        <f t="shared" si="73"/>
        <v>203.4</v>
      </c>
      <c r="H498" s="19" t="str">
        <f t="shared" si="74"/>
        <v>4.1-530</v>
      </c>
      <c r="I498" s="2" t="str">
        <f t="shared" si="75"/>
        <v>ას</v>
      </c>
    </row>
    <row r="499" spans="1:9" x14ac:dyDescent="0.25">
      <c r="A499" s="2">
        <v>531</v>
      </c>
      <c r="B499" s="2" t="s">
        <v>449</v>
      </c>
      <c r="C499" s="2" t="s">
        <v>312</v>
      </c>
      <c r="D499" s="6">
        <v>1700</v>
      </c>
      <c r="E499" s="2">
        <v>88.1</v>
      </c>
      <c r="F499" s="2">
        <v>88.1</v>
      </c>
      <c r="G499" s="2">
        <f t="shared" si="73"/>
        <v>88.1</v>
      </c>
      <c r="H499" s="19" t="str">
        <f t="shared" si="74"/>
        <v>4.1-531</v>
      </c>
      <c r="I499" s="2" t="str">
        <f t="shared" si="75"/>
        <v>ას</v>
      </c>
    </row>
    <row r="500" spans="1:9" x14ac:dyDescent="0.25">
      <c r="A500" s="2"/>
      <c r="B500" s="2" t="s">
        <v>25</v>
      </c>
      <c r="C500" s="2"/>
      <c r="D500" s="2"/>
      <c r="E500" s="2"/>
      <c r="F500" s="2"/>
      <c r="G500" s="2"/>
      <c r="H500" s="19"/>
      <c r="I500" s="2" t="str">
        <f t="shared" si="75"/>
        <v>ას</v>
      </c>
    </row>
    <row r="501" spans="1:9" x14ac:dyDescent="0.25">
      <c r="A501" s="2">
        <v>535</v>
      </c>
      <c r="B501" s="2" t="s">
        <v>450</v>
      </c>
      <c r="C501" s="2" t="s">
        <v>9</v>
      </c>
      <c r="D501" s="2">
        <v>1000</v>
      </c>
      <c r="E501" s="2">
        <v>1500</v>
      </c>
      <c r="F501" s="2">
        <v>1500</v>
      </c>
      <c r="G501" s="2">
        <f t="shared" ref="G501:G512" si="76">(E501+F501)/2</f>
        <v>1500</v>
      </c>
      <c r="H501" s="19" t="str">
        <f t="shared" si="74"/>
        <v>4.1-535</v>
      </c>
      <c r="I501" s="2" t="str">
        <f t="shared" si="75"/>
        <v>ას</v>
      </c>
    </row>
    <row r="502" spans="1:9" x14ac:dyDescent="0.25">
      <c r="A502" s="2">
        <v>536</v>
      </c>
      <c r="B502" s="2" t="s">
        <v>451</v>
      </c>
      <c r="C502" s="2" t="s">
        <v>9</v>
      </c>
      <c r="D502" s="2">
        <v>1000</v>
      </c>
      <c r="E502" s="2">
        <v>85</v>
      </c>
      <c r="F502" s="2">
        <v>85</v>
      </c>
      <c r="G502" s="2">
        <f t="shared" si="76"/>
        <v>85</v>
      </c>
      <c r="H502" s="19" t="str">
        <f t="shared" si="74"/>
        <v>4.1-536</v>
      </c>
      <c r="I502" s="2" t="str">
        <f t="shared" si="75"/>
        <v>ას</v>
      </c>
    </row>
    <row r="503" spans="1:9" x14ac:dyDescent="0.25">
      <c r="A503" s="2">
        <v>537</v>
      </c>
      <c r="B503" s="2" t="s">
        <v>452</v>
      </c>
      <c r="C503" s="2" t="s">
        <v>9</v>
      </c>
      <c r="D503" s="2">
        <v>1000</v>
      </c>
      <c r="E503" s="2">
        <v>1102</v>
      </c>
      <c r="F503" s="2">
        <v>1102</v>
      </c>
      <c r="G503" s="2">
        <f t="shared" si="76"/>
        <v>1102</v>
      </c>
      <c r="H503" s="19" t="str">
        <f t="shared" si="74"/>
        <v>4.1-537</v>
      </c>
      <c r="I503" s="2" t="str">
        <f t="shared" si="75"/>
        <v>ას</v>
      </c>
    </row>
    <row r="504" spans="1:9" x14ac:dyDescent="0.25">
      <c r="A504" s="2">
        <v>538</v>
      </c>
      <c r="B504" s="2" t="s">
        <v>453</v>
      </c>
      <c r="C504" s="2" t="s">
        <v>9</v>
      </c>
      <c r="D504" s="2">
        <v>1000</v>
      </c>
      <c r="E504" s="2">
        <v>1483</v>
      </c>
      <c r="F504" s="2">
        <v>1483</v>
      </c>
      <c r="G504" s="2">
        <f t="shared" si="76"/>
        <v>1483</v>
      </c>
      <c r="H504" s="19" t="str">
        <f t="shared" si="74"/>
        <v>4.1-538</v>
      </c>
      <c r="I504" s="2" t="str">
        <f t="shared" si="75"/>
        <v>ას</v>
      </c>
    </row>
    <row r="505" spans="1:9" x14ac:dyDescent="0.25">
      <c r="A505" s="2">
        <v>539</v>
      </c>
      <c r="B505" s="2" t="s">
        <v>454</v>
      </c>
      <c r="C505" s="2" t="s">
        <v>9</v>
      </c>
      <c r="D505" s="2">
        <v>1000</v>
      </c>
      <c r="E505" s="2">
        <v>889.8</v>
      </c>
      <c r="F505" s="2">
        <v>889.8</v>
      </c>
      <c r="G505" s="2">
        <f t="shared" si="76"/>
        <v>889.8</v>
      </c>
      <c r="H505" s="19" t="str">
        <f t="shared" si="74"/>
        <v>4.1-539</v>
      </c>
      <c r="I505" s="2" t="str">
        <f t="shared" si="75"/>
        <v>ას</v>
      </c>
    </row>
    <row r="506" spans="1:9" x14ac:dyDescent="0.25">
      <c r="A506" s="2">
        <v>540</v>
      </c>
      <c r="B506" s="2" t="s">
        <v>455</v>
      </c>
      <c r="C506" s="2" t="s">
        <v>9</v>
      </c>
      <c r="D506" s="2">
        <v>1000</v>
      </c>
      <c r="E506" s="2">
        <v>1016.9</v>
      </c>
      <c r="F506" s="2">
        <v>1016.9</v>
      </c>
      <c r="G506" s="2">
        <f t="shared" si="76"/>
        <v>1016.9</v>
      </c>
      <c r="H506" s="19" t="str">
        <f t="shared" si="74"/>
        <v>4.1-540</v>
      </c>
      <c r="I506" s="2" t="str">
        <f t="shared" si="75"/>
        <v>ას</v>
      </c>
    </row>
    <row r="507" spans="1:9" x14ac:dyDescent="0.25">
      <c r="A507" s="2">
        <v>541</v>
      </c>
      <c r="B507" s="2" t="s">
        <v>456</v>
      </c>
      <c r="C507" s="2" t="s">
        <v>9</v>
      </c>
      <c r="D507" s="2">
        <v>1000</v>
      </c>
      <c r="E507" s="2">
        <v>1100</v>
      </c>
      <c r="F507" s="2">
        <v>1100</v>
      </c>
      <c r="G507" s="2">
        <f t="shared" si="76"/>
        <v>1100</v>
      </c>
      <c r="H507" s="19" t="str">
        <f t="shared" si="74"/>
        <v>4.1-541</v>
      </c>
      <c r="I507" s="2" t="str">
        <f t="shared" si="75"/>
        <v>ას</v>
      </c>
    </row>
    <row r="508" spans="1:9" x14ac:dyDescent="0.25">
      <c r="A508" s="2">
        <v>542</v>
      </c>
      <c r="B508" s="2" t="s">
        <v>457</v>
      </c>
      <c r="C508" s="2" t="s">
        <v>9</v>
      </c>
      <c r="D508" s="2">
        <v>1000</v>
      </c>
      <c r="E508" s="2">
        <v>960</v>
      </c>
      <c r="F508" s="2">
        <v>960</v>
      </c>
      <c r="G508" s="2">
        <f t="shared" si="76"/>
        <v>960</v>
      </c>
      <c r="H508" s="19" t="str">
        <f t="shared" si="74"/>
        <v>4.1-542</v>
      </c>
      <c r="I508" s="2" t="str">
        <f t="shared" si="75"/>
        <v>ას</v>
      </c>
    </row>
    <row r="509" spans="1:9" x14ac:dyDescent="0.25">
      <c r="A509" s="2">
        <v>543</v>
      </c>
      <c r="B509" s="2" t="s">
        <v>458</v>
      </c>
      <c r="C509" s="2" t="s">
        <v>461</v>
      </c>
      <c r="D509" s="2">
        <v>1</v>
      </c>
      <c r="E509" s="2">
        <v>1.82</v>
      </c>
      <c r="F509" s="2">
        <v>1.82</v>
      </c>
      <c r="G509" s="2">
        <f t="shared" si="76"/>
        <v>1.82</v>
      </c>
      <c r="H509" s="19" t="str">
        <f t="shared" si="74"/>
        <v>4.1-543</v>
      </c>
      <c r="I509" s="2" t="str">
        <f t="shared" si="75"/>
        <v>ას</v>
      </c>
    </row>
    <row r="510" spans="1:9" x14ac:dyDescent="0.25">
      <c r="A510" s="2">
        <v>544</v>
      </c>
      <c r="B510" s="2" t="s">
        <v>459</v>
      </c>
      <c r="C510" s="2" t="s">
        <v>461</v>
      </c>
      <c r="D510" s="2">
        <v>1</v>
      </c>
      <c r="E510" s="2">
        <v>1.99</v>
      </c>
      <c r="F510" s="2">
        <v>1.99</v>
      </c>
      <c r="G510" s="2">
        <f t="shared" si="76"/>
        <v>1.99</v>
      </c>
      <c r="H510" s="19" t="str">
        <f t="shared" si="74"/>
        <v>4.1-544</v>
      </c>
      <c r="I510" s="2" t="str">
        <f t="shared" si="75"/>
        <v>ას</v>
      </c>
    </row>
    <row r="511" spans="1:9" x14ac:dyDescent="0.25">
      <c r="A511" s="2">
        <v>545</v>
      </c>
      <c r="B511" s="2" t="s">
        <v>462</v>
      </c>
      <c r="C511" s="2" t="s">
        <v>461</v>
      </c>
      <c r="D511" s="2">
        <v>1</v>
      </c>
      <c r="E511" s="2">
        <v>5</v>
      </c>
      <c r="F511" s="2">
        <v>7.5</v>
      </c>
      <c r="G511" s="2">
        <f t="shared" si="76"/>
        <v>6.25</v>
      </c>
      <c r="H511" s="19" t="str">
        <f t="shared" si="74"/>
        <v>4.1-545</v>
      </c>
      <c r="I511" s="2" t="str">
        <f t="shared" si="75"/>
        <v>ას</v>
      </c>
    </row>
    <row r="512" spans="1:9" ht="20.25" thickBot="1" x14ac:dyDescent="0.3">
      <c r="A512" s="2">
        <v>546</v>
      </c>
      <c r="B512" s="2" t="s">
        <v>463</v>
      </c>
      <c r="C512" s="2" t="s">
        <v>28</v>
      </c>
      <c r="D512" s="2">
        <v>1</v>
      </c>
      <c r="E512" s="2">
        <v>3.8</v>
      </c>
      <c r="F512" s="2">
        <v>5.2</v>
      </c>
      <c r="G512" s="2">
        <f t="shared" si="76"/>
        <v>4.5</v>
      </c>
      <c r="H512" s="19" t="str">
        <f t="shared" si="74"/>
        <v>4.1-546</v>
      </c>
      <c r="I512" s="2" t="str">
        <f t="shared" si="75"/>
        <v>ას</v>
      </c>
    </row>
    <row r="513" spans="1:9" ht="21" thickTop="1" thickBot="1" x14ac:dyDescent="0.3">
      <c r="A513" s="4"/>
      <c r="B513" s="4" t="s">
        <v>464</v>
      </c>
      <c r="C513" s="4"/>
      <c r="D513" s="4"/>
      <c r="E513" s="4"/>
      <c r="F513" s="4"/>
      <c r="G513" s="4"/>
      <c r="H513" s="7"/>
      <c r="I513" s="7" t="s">
        <v>682</v>
      </c>
    </row>
    <row r="514" spans="1:9" ht="20.25" thickTop="1" x14ac:dyDescent="0.25">
      <c r="A514" s="2">
        <v>1</v>
      </c>
      <c r="B514" s="2" t="s">
        <v>465</v>
      </c>
      <c r="C514" s="2" t="s">
        <v>28</v>
      </c>
      <c r="D514" s="2">
        <v>1</v>
      </c>
      <c r="E514" s="2">
        <v>3.8</v>
      </c>
      <c r="F514" s="2">
        <v>5.2</v>
      </c>
      <c r="G514" s="2">
        <f>(E514+F514)/2</f>
        <v>4.5</v>
      </c>
      <c r="H514" s="19" t="str">
        <f>"4.2-"&amp;A514</f>
        <v>4.2-1</v>
      </c>
      <c r="I514" s="2" t="str">
        <f>$I$513</f>
        <v>სხ</v>
      </c>
    </row>
    <row r="515" spans="1:9" x14ac:dyDescent="0.25">
      <c r="A515" s="2"/>
      <c r="B515" s="2" t="s">
        <v>25</v>
      </c>
      <c r="C515" s="2"/>
      <c r="D515" s="2"/>
      <c r="E515" s="2"/>
      <c r="F515" s="2"/>
      <c r="G515" s="2"/>
      <c r="H515" s="19"/>
      <c r="I515" s="2" t="str">
        <f t="shared" ref="I515:I542" si="77">$I$513</f>
        <v>სხ</v>
      </c>
    </row>
    <row r="516" spans="1:9" x14ac:dyDescent="0.25">
      <c r="A516" s="2">
        <v>13</v>
      </c>
      <c r="B516" s="2" t="s">
        <v>466</v>
      </c>
      <c r="C516" s="2" t="s">
        <v>28</v>
      </c>
      <c r="D516" s="2">
        <v>1</v>
      </c>
      <c r="E516" s="2">
        <v>3.5</v>
      </c>
      <c r="F516" s="2">
        <v>3.5</v>
      </c>
      <c r="G516" s="2">
        <f>(E516+F516)/2</f>
        <v>3.5</v>
      </c>
      <c r="H516" s="19" t="str">
        <f>"4.2-"&amp;A516</f>
        <v>4.2-13</v>
      </c>
      <c r="I516" s="2" t="str">
        <f t="shared" si="77"/>
        <v>სხ</v>
      </c>
    </row>
    <row r="517" spans="1:9" x14ac:dyDescent="0.25">
      <c r="A517" s="2"/>
      <c r="B517" s="2" t="s">
        <v>25</v>
      </c>
      <c r="C517" s="2"/>
      <c r="D517" s="2"/>
      <c r="E517" s="2"/>
      <c r="F517" s="2"/>
      <c r="G517" s="2"/>
      <c r="H517" s="19"/>
      <c r="I517" s="2" t="str">
        <f t="shared" si="77"/>
        <v>სხ</v>
      </c>
    </row>
    <row r="518" spans="1:9" x14ac:dyDescent="0.25">
      <c r="A518" s="2">
        <v>16</v>
      </c>
      <c r="B518" s="2" t="s">
        <v>467</v>
      </c>
      <c r="C518" s="2" t="s">
        <v>28</v>
      </c>
      <c r="D518" s="2">
        <v>1</v>
      </c>
      <c r="E518" s="2">
        <v>4.5</v>
      </c>
      <c r="F518" s="2">
        <v>5</v>
      </c>
      <c r="G518" s="2">
        <f>(E518+F518)/2</f>
        <v>4.75</v>
      </c>
      <c r="H518" s="19" t="str">
        <f>"4.2-"&amp;A518</f>
        <v>4.2-16</v>
      </c>
      <c r="I518" s="2" t="str">
        <f t="shared" si="77"/>
        <v>სხ</v>
      </c>
    </row>
    <row r="519" spans="1:9" x14ac:dyDescent="0.25">
      <c r="A519" s="2"/>
      <c r="B519" s="2" t="s">
        <v>25</v>
      </c>
      <c r="C519" s="2"/>
      <c r="D519" s="2"/>
      <c r="E519" s="2"/>
      <c r="F519" s="2"/>
      <c r="G519" s="2"/>
      <c r="H519" s="19"/>
      <c r="I519" s="2" t="str">
        <f t="shared" si="77"/>
        <v>სხ</v>
      </c>
    </row>
    <row r="520" spans="1:9" x14ac:dyDescent="0.25">
      <c r="A520" s="2">
        <v>25</v>
      </c>
      <c r="B520" s="2" t="s">
        <v>468</v>
      </c>
      <c r="C520" s="2" t="s">
        <v>28</v>
      </c>
      <c r="D520" s="2">
        <v>1</v>
      </c>
      <c r="E520" s="2">
        <v>3.4</v>
      </c>
      <c r="F520" s="2">
        <v>3.5</v>
      </c>
      <c r="G520" s="2">
        <f>(E520+F520)/2</f>
        <v>3.45</v>
      </c>
      <c r="H520" s="19" t="str">
        <f>"4.2-"&amp;A520</f>
        <v>4.2-25</v>
      </c>
      <c r="I520" s="2" t="str">
        <f t="shared" si="77"/>
        <v>სხ</v>
      </c>
    </row>
    <row r="521" spans="1:9" x14ac:dyDescent="0.25">
      <c r="A521" s="2"/>
      <c r="B521" s="2" t="s">
        <v>25</v>
      </c>
      <c r="C521" s="2"/>
      <c r="D521" s="2"/>
      <c r="E521" s="2"/>
      <c r="F521" s="2"/>
      <c r="G521" s="2"/>
      <c r="H521" s="19"/>
      <c r="I521" s="2" t="str">
        <f t="shared" si="77"/>
        <v>სხ</v>
      </c>
    </row>
    <row r="522" spans="1:9" x14ac:dyDescent="0.25">
      <c r="A522" s="2">
        <v>32</v>
      </c>
      <c r="B522" s="2" t="s">
        <v>469</v>
      </c>
      <c r="C522" s="2" t="s">
        <v>28</v>
      </c>
      <c r="D522" s="2">
        <v>1</v>
      </c>
      <c r="E522" s="2">
        <v>3</v>
      </c>
      <c r="F522" s="2">
        <v>5</v>
      </c>
      <c r="G522" s="2">
        <f>(E522+F522)/2</f>
        <v>4</v>
      </c>
      <c r="H522" s="19" t="str">
        <f>"4.2-"&amp;A522</f>
        <v>4.2-32</v>
      </c>
      <c r="I522" s="2" t="str">
        <f t="shared" si="77"/>
        <v>სხ</v>
      </c>
    </row>
    <row r="523" spans="1:9" x14ac:dyDescent="0.25">
      <c r="A523" s="2"/>
      <c r="B523" s="2" t="s">
        <v>25</v>
      </c>
      <c r="C523" s="2"/>
      <c r="D523" s="2"/>
      <c r="E523" s="2"/>
      <c r="F523" s="2"/>
      <c r="G523" s="2"/>
      <c r="H523" s="19"/>
      <c r="I523" s="2" t="str">
        <f t="shared" si="77"/>
        <v>სხ</v>
      </c>
    </row>
    <row r="524" spans="1:9" x14ac:dyDescent="0.25">
      <c r="A524" s="2">
        <v>38</v>
      </c>
      <c r="B524" s="2" t="s">
        <v>470</v>
      </c>
      <c r="C524" s="2" t="s">
        <v>28</v>
      </c>
      <c r="D524" s="2">
        <v>1</v>
      </c>
      <c r="E524" s="2">
        <v>9.5</v>
      </c>
      <c r="F524" s="2">
        <v>14.3</v>
      </c>
      <c r="G524" s="2">
        <f>(E524+F524)/2</f>
        <v>11.9</v>
      </c>
      <c r="H524" s="19" t="str">
        <f>"4.2-"&amp;A524</f>
        <v>4.2-38</v>
      </c>
      <c r="I524" s="2" t="str">
        <f t="shared" si="77"/>
        <v>სხ</v>
      </c>
    </row>
    <row r="525" spans="1:9" x14ac:dyDescent="0.25">
      <c r="A525" s="2"/>
      <c r="B525" s="2" t="s">
        <v>25</v>
      </c>
      <c r="C525" s="2"/>
      <c r="D525" s="2"/>
      <c r="E525" s="2"/>
      <c r="F525" s="2"/>
      <c r="G525" s="2"/>
      <c r="H525" s="19"/>
      <c r="I525" s="2" t="str">
        <f t="shared" si="77"/>
        <v>სხ</v>
      </c>
    </row>
    <row r="526" spans="1:9" x14ac:dyDescent="0.25">
      <c r="A526" s="2">
        <v>42</v>
      </c>
      <c r="B526" s="2" t="s">
        <v>471</v>
      </c>
      <c r="C526" s="2" t="s">
        <v>28</v>
      </c>
      <c r="D526" s="2">
        <v>1</v>
      </c>
      <c r="E526" s="2">
        <v>2.7</v>
      </c>
      <c r="F526" s="2">
        <v>4.8</v>
      </c>
      <c r="G526" s="2">
        <f>(E526+F526)/2</f>
        <v>3.75</v>
      </c>
      <c r="H526" s="19" t="str">
        <f>"4.2-"&amp;A526</f>
        <v>4.2-42</v>
      </c>
      <c r="I526" s="2" t="str">
        <f t="shared" si="77"/>
        <v>სხ</v>
      </c>
    </row>
    <row r="527" spans="1:9" x14ac:dyDescent="0.25">
      <c r="A527" s="2"/>
      <c r="B527" s="2" t="s">
        <v>25</v>
      </c>
      <c r="C527" s="2"/>
      <c r="D527" s="2"/>
      <c r="E527" s="2"/>
      <c r="F527" s="2"/>
      <c r="G527" s="2"/>
      <c r="H527" s="19"/>
      <c r="I527" s="2" t="str">
        <f t="shared" si="77"/>
        <v>სხ</v>
      </c>
    </row>
    <row r="528" spans="1:9" x14ac:dyDescent="0.25">
      <c r="A528" s="2">
        <v>64</v>
      </c>
      <c r="B528" s="2" t="s">
        <v>472</v>
      </c>
      <c r="C528" s="2" t="s">
        <v>28</v>
      </c>
      <c r="D528" s="2">
        <v>1</v>
      </c>
      <c r="E528" s="2">
        <v>3</v>
      </c>
      <c r="F528" s="2">
        <v>3</v>
      </c>
      <c r="G528" s="2">
        <f>(E528+F528)/2</f>
        <v>3</v>
      </c>
      <c r="H528" s="19" t="str">
        <f>"4.2-"&amp;A528</f>
        <v>4.2-64</v>
      </c>
      <c r="I528" s="2" t="str">
        <f t="shared" si="77"/>
        <v>სხ</v>
      </c>
    </row>
    <row r="529" spans="1:9" x14ac:dyDescent="0.25">
      <c r="A529" s="2"/>
      <c r="B529" s="2" t="s">
        <v>25</v>
      </c>
      <c r="C529" s="2"/>
      <c r="D529" s="2"/>
      <c r="E529" s="2"/>
      <c r="F529" s="2"/>
      <c r="G529" s="2"/>
      <c r="H529" s="19"/>
      <c r="I529" s="2" t="str">
        <f t="shared" si="77"/>
        <v>სხ</v>
      </c>
    </row>
    <row r="530" spans="1:9" x14ac:dyDescent="0.25">
      <c r="A530" s="2">
        <v>69</v>
      </c>
      <c r="B530" s="2" t="s">
        <v>473</v>
      </c>
      <c r="C530" s="2" t="s">
        <v>28</v>
      </c>
      <c r="D530" s="2">
        <v>1</v>
      </c>
      <c r="E530" s="2">
        <v>4.4000000000000004</v>
      </c>
      <c r="F530" s="2">
        <v>7</v>
      </c>
      <c r="G530" s="2">
        <f>(E530+F530)/2</f>
        <v>5.7</v>
      </c>
      <c r="H530" s="19" t="str">
        <f>"4.2-"&amp;A530</f>
        <v>4.2-69</v>
      </c>
      <c r="I530" s="2" t="str">
        <f t="shared" si="77"/>
        <v>სხ</v>
      </c>
    </row>
    <row r="531" spans="1:9" x14ac:dyDescent="0.25">
      <c r="A531" s="2">
        <v>70</v>
      </c>
      <c r="B531" s="2" t="s">
        <v>474</v>
      </c>
      <c r="C531" s="2" t="s">
        <v>460</v>
      </c>
      <c r="D531" s="2">
        <v>1</v>
      </c>
      <c r="E531" s="2">
        <v>13.6</v>
      </c>
      <c r="F531" s="2">
        <v>13.6</v>
      </c>
      <c r="G531" s="2">
        <f>(E531+F531)/2</f>
        <v>13.6</v>
      </c>
      <c r="H531" s="19" t="str">
        <f>"4.2-"&amp;A531</f>
        <v>4.2-70</v>
      </c>
      <c r="I531" s="2" t="str">
        <f t="shared" si="77"/>
        <v>სხ</v>
      </c>
    </row>
    <row r="532" spans="1:9" x14ac:dyDescent="0.25">
      <c r="A532" s="2"/>
      <c r="B532" s="2" t="s">
        <v>25</v>
      </c>
      <c r="C532" s="2"/>
      <c r="D532" s="2"/>
      <c r="E532" s="2"/>
      <c r="F532" s="2"/>
      <c r="G532" s="2"/>
      <c r="H532" s="19"/>
      <c r="I532" s="2" t="str">
        <f t="shared" si="77"/>
        <v>სხ</v>
      </c>
    </row>
    <row r="533" spans="1:9" x14ac:dyDescent="0.25">
      <c r="A533" s="2">
        <v>72</v>
      </c>
      <c r="B533" s="2" t="s">
        <v>475</v>
      </c>
      <c r="C533" s="2" t="s">
        <v>28</v>
      </c>
      <c r="D533" s="2">
        <v>1</v>
      </c>
      <c r="E533" s="2">
        <v>5.8</v>
      </c>
      <c r="F533" s="2">
        <v>11.2</v>
      </c>
      <c r="G533" s="2">
        <f>(E533+F533)/2</f>
        <v>8.5</v>
      </c>
      <c r="H533" s="19" t="str">
        <f>"4.2-"&amp;A533</f>
        <v>4.2-72</v>
      </c>
      <c r="I533" s="2" t="str">
        <f t="shared" si="77"/>
        <v>სხ</v>
      </c>
    </row>
    <row r="534" spans="1:9" x14ac:dyDescent="0.25">
      <c r="A534" s="2"/>
      <c r="B534" s="2" t="s">
        <v>25</v>
      </c>
      <c r="C534" s="2"/>
      <c r="D534" s="2"/>
      <c r="E534" s="2"/>
      <c r="F534" s="2"/>
      <c r="G534" s="2"/>
      <c r="H534" s="19"/>
      <c r="I534" s="2" t="str">
        <f t="shared" si="77"/>
        <v>სხ</v>
      </c>
    </row>
    <row r="535" spans="1:9" x14ac:dyDescent="0.25">
      <c r="A535" s="2">
        <v>79</v>
      </c>
      <c r="B535" s="2" t="s">
        <v>476</v>
      </c>
      <c r="C535" s="2" t="s">
        <v>28</v>
      </c>
      <c r="D535" s="2">
        <v>1</v>
      </c>
      <c r="E535" s="2">
        <v>2.5</v>
      </c>
      <c r="F535" s="2">
        <v>2.5</v>
      </c>
      <c r="G535" s="2">
        <f>(E535+F535)/2</f>
        <v>2.5</v>
      </c>
      <c r="H535" s="19" t="str">
        <f>"4.2-"&amp;A535</f>
        <v>4.2-79</v>
      </c>
      <c r="I535" s="2" t="str">
        <f t="shared" si="77"/>
        <v>სხ</v>
      </c>
    </row>
    <row r="536" spans="1:9" x14ac:dyDescent="0.25">
      <c r="A536" s="2">
        <v>80</v>
      </c>
      <c r="B536" s="2" t="s">
        <v>477</v>
      </c>
      <c r="C536" s="2" t="s">
        <v>28</v>
      </c>
      <c r="D536" s="2">
        <v>1</v>
      </c>
      <c r="E536" s="2">
        <v>3</v>
      </c>
      <c r="F536" s="2">
        <v>4</v>
      </c>
      <c r="G536" s="2">
        <f>(E536+F536)/2</f>
        <v>3.5</v>
      </c>
      <c r="H536" s="19" t="str">
        <f>"4.2-"&amp;A536</f>
        <v>4.2-80</v>
      </c>
      <c r="I536" s="2" t="str">
        <f t="shared" si="77"/>
        <v>სხ</v>
      </c>
    </row>
    <row r="537" spans="1:9" x14ac:dyDescent="0.25">
      <c r="A537" s="2"/>
      <c r="B537" s="2" t="s">
        <v>25</v>
      </c>
      <c r="C537" s="2"/>
      <c r="D537" s="2"/>
      <c r="E537" s="2"/>
      <c r="F537" s="2"/>
      <c r="G537" s="2"/>
      <c r="H537" s="19"/>
      <c r="I537" s="2" t="str">
        <f t="shared" si="77"/>
        <v>სხ</v>
      </c>
    </row>
    <row r="538" spans="1:9" x14ac:dyDescent="0.25">
      <c r="A538" s="2">
        <v>82</v>
      </c>
      <c r="B538" s="2" t="s">
        <v>478</v>
      </c>
      <c r="C538" s="2" t="s">
        <v>460</v>
      </c>
      <c r="D538" s="2">
        <v>1</v>
      </c>
      <c r="E538" s="2">
        <v>3.1</v>
      </c>
      <c r="F538" s="2">
        <v>4.2</v>
      </c>
      <c r="G538" s="2">
        <f>(E538+F538)/2</f>
        <v>3.6500000000000004</v>
      </c>
      <c r="H538" s="19" t="str">
        <f>"4.2-"&amp;A538</f>
        <v>4.2-82</v>
      </c>
      <c r="I538" s="2" t="str">
        <f t="shared" si="77"/>
        <v>სხ</v>
      </c>
    </row>
    <row r="539" spans="1:9" x14ac:dyDescent="0.25">
      <c r="A539" s="2"/>
      <c r="B539" s="2" t="s">
        <v>25</v>
      </c>
      <c r="C539" s="2"/>
      <c r="D539" s="2"/>
      <c r="E539" s="2"/>
      <c r="F539" s="2"/>
      <c r="G539" s="2"/>
      <c r="H539" s="19"/>
      <c r="I539" s="2" t="str">
        <f t="shared" si="77"/>
        <v>სხ</v>
      </c>
    </row>
    <row r="540" spans="1:9" x14ac:dyDescent="0.25">
      <c r="A540" s="2">
        <v>91</v>
      </c>
      <c r="B540" s="2" t="s">
        <v>479</v>
      </c>
      <c r="C540" s="2" t="s">
        <v>28</v>
      </c>
      <c r="D540" s="2">
        <v>1</v>
      </c>
      <c r="E540" s="2">
        <v>9.5</v>
      </c>
      <c r="F540" s="2">
        <v>9.5</v>
      </c>
      <c r="G540" s="2">
        <f>(E540+F540)/2</f>
        <v>9.5</v>
      </c>
      <c r="H540" s="19" t="str">
        <f>"4.2-"&amp;A540</f>
        <v>4.2-91</v>
      </c>
      <c r="I540" s="2" t="str">
        <f t="shared" si="77"/>
        <v>სხ</v>
      </c>
    </row>
    <row r="541" spans="1:9" s="139" customFormat="1" x14ac:dyDescent="0.25">
      <c r="A541" s="6">
        <v>91</v>
      </c>
      <c r="B541" s="6" t="s">
        <v>1202</v>
      </c>
      <c r="C541" s="6" t="s">
        <v>28</v>
      </c>
      <c r="D541" s="6">
        <v>1</v>
      </c>
      <c r="E541" s="6">
        <v>0.5</v>
      </c>
      <c r="F541" s="6">
        <v>0.8</v>
      </c>
      <c r="G541" s="6">
        <f>(E541+F541)/2</f>
        <v>0.65</v>
      </c>
      <c r="H541" s="138" t="str">
        <f>"4.2-"&amp;A541</f>
        <v>4.2-91</v>
      </c>
      <c r="I541" s="6" t="str">
        <f t="shared" si="77"/>
        <v>სხ</v>
      </c>
    </row>
    <row r="542" spans="1:9" ht="20.25" thickBot="1" x14ac:dyDescent="0.3">
      <c r="A542" s="2"/>
      <c r="B542" s="2" t="s">
        <v>25</v>
      </c>
      <c r="C542" s="2"/>
      <c r="D542" s="2"/>
      <c r="E542" s="2"/>
      <c r="F542" s="2"/>
      <c r="G542" s="2"/>
      <c r="H542" s="19"/>
      <c r="I542" s="2" t="str">
        <f t="shared" si="77"/>
        <v>სხ</v>
      </c>
    </row>
    <row r="543" spans="1:9" ht="21" thickTop="1" thickBot="1" x14ac:dyDescent="0.3">
      <c r="A543" s="4"/>
      <c r="B543" s="4" t="s">
        <v>480</v>
      </c>
      <c r="C543" s="4"/>
      <c r="D543" s="4"/>
      <c r="E543" s="4"/>
      <c r="F543" s="4"/>
      <c r="G543" s="4"/>
      <c r="H543" s="7"/>
      <c r="I543" s="7" t="s">
        <v>682</v>
      </c>
    </row>
    <row r="544" spans="1:9" ht="20.25" thickTop="1" x14ac:dyDescent="0.25">
      <c r="A544" s="2"/>
      <c r="B544" s="2" t="s">
        <v>25</v>
      </c>
      <c r="C544" s="2"/>
      <c r="D544" s="2"/>
      <c r="E544" s="2"/>
      <c r="F544" s="2"/>
      <c r="G544" s="2"/>
      <c r="H544" s="19"/>
      <c r="I544" s="2" t="str">
        <f>$I$543</f>
        <v>სხ</v>
      </c>
    </row>
    <row r="545" spans="1:9" x14ac:dyDescent="0.25">
      <c r="A545" s="2">
        <v>20</v>
      </c>
      <c r="B545" s="2" t="s">
        <v>481</v>
      </c>
      <c r="C545" s="2" t="s">
        <v>99</v>
      </c>
      <c r="D545" s="2">
        <v>0</v>
      </c>
      <c r="E545" s="2">
        <v>2.8</v>
      </c>
      <c r="F545" s="2">
        <v>3.5</v>
      </c>
      <c r="G545" s="2">
        <f>(E545+F545)/2</f>
        <v>3.15</v>
      </c>
      <c r="H545" s="19" t="str">
        <f>"4.3-"&amp;A545</f>
        <v>4.3-20</v>
      </c>
      <c r="I545" s="2" t="str">
        <f t="shared" ref="I545:I549" si="78">$I$543</f>
        <v>სხ</v>
      </c>
    </row>
    <row r="546" spans="1:9" x14ac:dyDescent="0.25">
      <c r="A546" s="2">
        <v>21</v>
      </c>
      <c r="B546" s="2" t="s">
        <v>482</v>
      </c>
      <c r="C546" s="2" t="s">
        <v>99</v>
      </c>
      <c r="D546" s="2">
        <v>0</v>
      </c>
      <c r="E546" s="2">
        <v>3.6</v>
      </c>
      <c r="F546" s="2">
        <v>4</v>
      </c>
      <c r="G546" s="2">
        <f>(E546+F546)/2</f>
        <v>3.8</v>
      </c>
      <c r="H546" s="19" t="str">
        <f>"4.3-"&amp;A546</f>
        <v>4.3-21</v>
      </c>
      <c r="I546" s="2" t="str">
        <f t="shared" si="78"/>
        <v>სხ</v>
      </c>
    </row>
    <row r="547" spans="1:9" x14ac:dyDescent="0.25">
      <c r="A547" s="2"/>
      <c r="B547" s="2" t="s">
        <v>25</v>
      </c>
      <c r="C547" s="2"/>
      <c r="D547" s="2"/>
      <c r="E547" s="2"/>
      <c r="F547" s="2"/>
      <c r="G547" s="2"/>
      <c r="H547" s="19"/>
      <c r="I547" s="2" t="str">
        <f t="shared" si="78"/>
        <v>სხ</v>
      </c>
    </row>
    <row r="548" spans="1:9" x14ac:dyDescent="0.25">
      <c r="A548" s="2">
        <v>39</v>
      </c>
      <c r="B548" s="2" t="s">
        <v>483</v>
      </c>
      <c r="C548" s="2" t="s">
        <v>99</v>
      </c>
      <c r="D548" s="2">
        <v>0</v>
      </c>
      <c r="E548" s="2">
        <v>8.5</v>
      </c>
      <c r="F548" s="2">
        <v>12</v>
      </c>
      <c r="G548" s="2">
        <f>(E548+F548)/2</f>
        <v>10.25</v>
      </c>
      <c r="H548" s="19" t="str">
        <f>"4.3-"&amp;A548</f>
        <v>4.3-39</v>
      </c>
      <c r="I548" s="2" t="str">
        <f t="shared" si="78"/>
        <v>სხ</v>
      </c>
    </row>
    <row r="549" spans="1:9" ht="20.25" thickBot="1" x14ac:dyDescent="0.3">
      <c r="A549" s="2"/>
      <c r="B549" s="2" t="s">
        <v>25</v>
      </c>
      <c r="C549" s="2"/>
      <c r="D549" s="2"/>
      <c r="E549" s="2"/>
      <c r="F549" s="2"/>
      <c r="G549" s="2"/>
      <c r="H549" s="19"/>
      <c r="I549" s="2" t="str">
        <f t="shared" si="78"/>
        <v>სხ</v>
      </c>
    </row>
    <row r="550" spans="1:9" ht="21" thickTop="1" thickBot="1" x14ac:dyDescent="0.3">
      <c r="A550" s="4"/>
      <c r="B550" s="4" t="s">
        <v>484</v>
      </c>
      <c r="C550" s="4"/>
      <c r="D550" s="4"/>
      <c r="E550" s="4"/>
      <c r="F550" s="4"/>
      <c r="G550" s="4"/>
      <c r="H550" s="7"/>
      <c r="I550" s="7" t="s">
        <v>682</v>
      </c>
    </row>
    <row r="551" spans="1:9" ht="20.25" thickTop="1" x14ac:dyDescent="0.25">
      <c r="A551" s="2"/>
      <c r="B551" s="2" t="s">
        <v>25</v>
      </c>
      <c r="C551" s="2"/>
      <c r="D551" s="2"/>
      <c r="E551" s="2"/>
      <c r="F551" s="2"/>
      <c r="G551" s="2"/>
      <c r="H551" s="19"/>
      <c r="I551" s="2" t="str">
        <f>$I$550</f>
        <v>სხ</v>
      </c>
    </row>
    <row r="552" spans="1:9" x14ac:dyDescent="0.25">
      <c r="A552" s="2">
        <v>18</v>
      </c>
      <c r="B552" s="2" t="s">
        <v>485</v>
      </c>
      <c r="C552" s="2" t="s">
        <v>99</v>
      </c>
      <c r="D552" s="2">
        <v>0</v>
      </c>
      <c r="E552" s="2">
        <v>3.9</v>
      </c>
      <c r="F552" s="2">
        <v>3.9</v>
      </c>
      <c r="G552" s="2">
        <f t="shared" ref="G552:G562" si="79">(E552+F552)/2</f>
        <v>3.9</v>
      </c>
      <c r="H552" s="19" t="str">
        <f>"4.4-"&amp;A552</f>
        <v>4.4-18</v>
      </c>
      <c r="I552" s="2" t="str">
        <f t="shared" ref="I552:I576" si="80">$I$550</f>
        <v>სხ</v>
      </c>
    </row>
    <row r="553" spans="1:9" x14ac:dyDescent="0.25">
      <c r="A553" s="2">
        <v>19</v>
      </c>
      <c r="B553" s="2" t="s">
        <v>486</v>
      </c>
      <c r="C553" s="2" t="s">
        <v>99</v>
      </c>
      <c r="D553" s="2">
        <v>0</v>
      </c>
      <c r="E553" s="2">
        <v>5.4</v>
      </c>
      <c r="F553" s="2">
        <v>5.4</v>
      </c>
      <c r="G553" s="2">
        <f t="shared" si="79"/>
        <v>5.4</v>
      </c>
      <c r="H553" s="19" t="str">
        <f t="shared" ref="H553:H575" si="81">"4.4-"&amp;A553</f>
        <v>4.4-19</v>
      </c>
      <c r="I553" s="2" t="str">
        <f t="shared" si="80"/>
        <v>სხ</v>
      </c>
    </row>
    <row r="554" spans="1:9" x14ac:dyDescent="0.25">
      <c r="A554" s="2">
        <v>20</v>
      </c>
      <c r="B554" s="2" t="s">
        <v>487</v>
      </c>
      <c r="C554" s="2" t="s">
        <v>99</v>
      </c>
      <c r="D554" s="2">
        <v>0</v>
      </c>
      <c r="E554" s="2">
        <v>8.3000000000000007</v>
      </c>
      <c r="F554" s="2">
        <v>8.3000000000000007</v>
      </c>
      <c r="G554" s="2">
        <f t="shared" si="79"/>
        <v>8.3000000000000007</v>
      </c>
      <c r="H554" s="19" t="str">
        <f t="shared" si="81"/>
        <v>4.4-20</v>
      </c>
      <c r="I554" s="2" t="str">
        <f t="shared" si="80"/>
        <v>სხ</v>
      </c>
    </row>
    <row r="555" spans="1:9" x14ac:dyDescent="0.25">
      <c r="A555" s="2">
        <v>21</v>
      </c>
      <c r="B555" s="2" t="s">
        <v>488</v>
      </c>
      <c r="C555" s="2" t="s">
        <v>99</v>
      </c>
      <c r="D555" s="2">
        <v>0</v>
      </c>
      <c r="E555" s="2">
        <v>7.7</v>
      </c>
      <c r="F555" s="2">
        <v>7.7</v>
      </c>
      <c r="G555" s="2">
        <f t="shared" si="79"/>
        <v>7.7</v>
      </c>
      <c r="H555" s="19" t="str">
        <f t="shared" si="81"/>
        <v>4.4-21</v>
      </c>
      <c r="I555" s="2" t="str">
        <f t="shared" si="80"/>
        <v>სხ</v>
      </c>
    </row>
    <row r="556" spans="1:9" x14ac:dyDescent="0.25">
      <c r="A556" s="2">
        <v>22</v>
      </c>
      <c r="B556" s="2" t="s">
        <v>489</v>
      </c>
      <c r="C556" s="2" t="s">
        <v>99</v>
      </c>
      <c r="D556" s="2">
        <v>0</v>
      </c>
      <c r="E556" s="2">
        <v>11.6</v>
      </c>
      <c r="F556" s="2">
        <v>11.6</v>
      </c>
      <c r="G556" s="2">
        <f t="shared" si="79"/>
        <v>11.6</v>
      </c>
      <c r="H556" s="19" t="str">
        <f t="shared" si="81"/>
        <v>4.4-22</v>
      </c>
      <c r="I556" s="2" t="str">
        <f t="shared" si="80"/>
        <v>სხ</v>
      </c>
    </row>
    <row r="557" spans="1:9" x14ac:dyDescent="0.25">
      <c r="A557" s="2">
        <v>23</v>
      </c>
      <c r="B557" s="2" t="s">
        <v>490</v>
      </c>
      <c r="C557" s="2" t="s">
        <v>99</v>
      </c>
      <c r="D557" s="2">
        <v>0</v>
      </c>
      <c r="E557" s="2">
        <v>15.5</v>
      </c>
      <c r="F557" s="2">
        <v>15.5</v>
      </c>
      <c r="G557" s="2">
        <f t="shared" si="79"/>
        <v>15.5</v>
      </c>
      <c r="H557" s="19" t="str">
        <f t="shared" si="81"/>
        <v>4.4-23</v>
      </c>
      <c r="I557" s="2" t="str">
        <f t="shared" si="80"/>
        <v>სხ</v>
      </c>
    </row>
    <row r="558" spans="1:9" x14ac:dyDescent="0.25">
      <c r="A558" s="2">
        <v>24</v>
      </c>
      <c r="B558" s="2" t="s">
        <v>491</v>
      </c>
      <c r="C558" s="2" t="s">
        <v>99</v>
      </c>
      <c r="D558" s="2">
        <v>0</v>
      </c>
      <c r="E558" s="2">
        <v>25.8</v>
      </c>
      <c r="F558" s="2">
        <v>25.8</v>
      </c>
      <c r="G558" s="2">
        <f t="shared" si="79"/>
        <v>25.8</v>
      </c>
      <c r="H558" s="19" t="str">
        <f t="shared" si="81"/>
        <v>4.4-24</v>
      </c>
      <c r="I558" s="2" t="str">
        <f t="shared" si="80"/>
        <v>სხ</v>
      </c>
    </row>
    <row r="559" spans="1:9" x14ac:dyDescent="0.25">
      <c r="A559" s="2">
        <v>25</v>
      </c>
      <c r="B559" s="2" t="s">
        <v>492</v>
      </c>
      <c r="C559" s="2" t="s">
        <v>99</v>
      </c>
      <c r="D559" s="2">
        <v>0</v>
      </c>
      <c r="E559" s="2">
        <v>34.700000000000003</v>
      </c>
      <c r="F559" s="2">
        <v>34.700000000000003</v>
      </c>
      <c r="G559" s="2">
        <f t="shared" si="79"/>
        <v>34.700000000000003</v>
      </c>
      <c r="H559" s="19" t="str">
        <f t="shared" si="81"/>
        <v>4.4-25</v>
      </c>
      <c r="I559" s="2" t="str">
        <f t="shared" si="80"/>
        <v>სხ</v>
      </c>
    </row>
    <row r="560" spans="1:9" x14ac:dyDescent="0.25">
      <c r="A560" s="2">
        <v>26</v>
      </c>
      <c r="B560" s="2" t="s">
        <v>493</v>
      </c>
      <c r="C560" s="2" t="s">
        <v>99</v>
      </c>
      <c r="D560" s="2">
        <v>0</v>
      </c>
      <c r="E560" s="2">
        <v>2.2000000000000002</v>
      </c>
      <c r="F560" s="2">
        <v>2.2000000000000002</v>
      </c>
      <c r="G560" s="2">
        <f t="shared" si="79"/>
        <v>2.2000000000000002</v>
      </c>
      <c r="H560" s="19" t="str">
        <f t="shared" si="81"/>
        <v>4.4-26</v>
      </c>
      <c r="I560" s="2" t="str">
        <f t="shared" si="80"/>
        <v>სხ</v>
      </c>
    </row>
    <row r="561" spans="1:9" x14ac:dyDescent="0.25">
      <c r="A561" s="2">
        <v>27</v>
      </c>
      <c r="B561" s="2" t="s">
        <v>494</v>
      </c>
      <c r="C561" s="2" t="s">
        <v>99</v>
      </c>
      <c r="D561" s="2">
        <v>0</v>
      </c>
      <c r="E561" s="2">
        <v>3.1</v>
      </c>
      <c r="F561" s="2">
        <v>3.1</v>
      </c>
      <c r="G561" s="2">
        <f t="shared" si="79"/>
        <v>3.1</v>
      </c>
      <c r="H561" s="19" t="str">
        <f t="shared" si="81"/>
        <v>4.4-27</v>
      </c>
      <c r="I561" s="2" t="str">
        <f t="shared" si="80"/>
        <v>სხ</v>
      </c>
    </row>
    <row r="562" spans="1:9" x14ac:dyDescent="0.25">
      <c r="A562" s="2">
        <v>28</v>
      </c>
      <c r="B562" s="2" t="s">
        <v>495</v>
      </c>
      <c r="C562" s="2" t="s">
        <v>99</v>
      </c>
      <c r="D562" s="2">
        <v>0</v>
      </c>
      <c r="E562" s="2">
        <v>3.6</v>
      </c>
      <c r="F562" s="2">
        <v>3.6</v>
      </c>
      <c r="G562" s="2">
        <f t="shared" si="79"/>
        <v>3.6</v>
      </c>
      <c r="H562" s="19" t="str">
        <f t="shared" si="81"/>
        <v>4.4-28</v>
      </c>
      <c r="I562" s="2" t="str">
        <f t="shared" si="80"/>
        <v>სხ</v>
      </c>
    </row>
    <row r="563" spans="1:9" x14ac:dyDescent="0.25">
      <c r="A563" s="2"/>
      <c r="B563" s="2" t="s">
        <v>25</v>
      </c>
      <c r="C563" s="2"/>
      <c r="D563" s="2"/>
      <c r="E563" s="2"/>
      <c r="F563" s="2"/>
      <c r="G563" s="2"/>
      <c r="H563" s="19"/>
      <c r="I563" s="2" t="str">
        <f t="shared" si="80"/>
        <v>სხ</v>
      </c>
    </row>
    <row r="564" spans="1:9" x14ac:dyDescent="0.25">
      <c r="A564" s="2">
        <v>30</v>
      </c>
      <c r="B564" s="2" t="s">
        <v>496</v>
      </c>
      <c r="C564" s="2" t="s">
        <v>66</v>
      </c>
      <c r="D564" s="2">
        <v>0</v>
      </c>
      <c r="E564" s="2">
        <v>59</v>
      </c>
      <c r="F564" s="2">
        <v>59</v>
      </c>
      <c r="G564" s="2">
        <f t="shared" ref="G564:G575" si="82">(E564+F564)/2</f>
        <v>59</v>
      </c>
      <c r="H564" s="19" t="str">
        <f t="shared" si="81"/>
        <v>4.4-30</v>
      </c>
      <c r="I564" s="2" t="str">
        <f t="shared" si="80"/>
        <v>სხ</v>
      </c>
    </row>
    <row r="565" spans="1:9" x14ac:dyDescent="0.25">
      <c r="A565" s="2">
        <v>31</v>
      </c>
      <c r="B565" s="2" t="s">
        <v>497</v>
      </c>
      <c r="C565" s="2" t="s">
        <v>66</v>
      </c>
      <c r="D565" s="2">
        <v>0</v>
      </c>
      <c r="E565" s="2">
        <v>84</v>
      </c>
      <c r="F565" s="2">
        <v>84</v>
      </c>
      <c r="G565" s="2">
        <f t="shared" si="82"/>
        <v>84</v>
      </c>
      <c r="H565" s="19" t="str">
        <f t="shared" si="81"/>
        <v>4.4-31</v>
      </c>
      <c r="I565" s="2" t="str">
        <f t="shared" si="80"/>
        <v>სხ</v>
      </c>
    </row>
    <row r="566" spans="1:9" x14ac:dyDescent="0.25">
      <c r="A566" s="2">
        <v>32</v>
      </c>
      <c r="B566" s="2" t="s">
        <v>498</v>
      </c>
      <c r="C566" s="2" t="s">
        <v>66</v>
      </c>
      <c r="D566" s="2">
        <v>0</v>
      </c>
      <c r="E566" s="2">
        <v>98</v>
      </c>
      <c r="F566" s="2">
        <v>98</v>
      </c>
      <c r="G566" s="2">
        <f t="shared" si="82"/>
        <v>98</v>
      </c>
      <c r="H566" s="19" t="str">
        <f t="shared" si="81"/>
        <v>4.4-32</v>
      </c>
      <c r="I566" s="2" t="str">
        <f t="shared" si="80"/>
        <v>სხ</v>
      </c>
    </row>
    <row r="567" spans="1:9" x14ac:dyDescent="0.25">
      <c r="A567" s="2">
        <v>33</v>
      </c>
      <c r="B567" s="2" t="s">
        <v>499</v>
      </c>
      <c r="C567" s="2" t="s">
        <v>66</v>
      </c>
      <c r="D567" s="2">
        <v>0</v>
      </c>
      <c r="E567" s="2">
        <v>110.2</v>
      </c>
      <c r="F567" s="2">
        <v>110.2</v>
      </c>
      <c r="G567" s="2">
        <f t="shared" si="82"/>
        <v>110.2</v>
      </c>
      <c r="H567" s="19" t="str">
        <f t="shared" si="81"/>
        <v>4.4-33</v>
      </c>
      <c r="I567" s="2" t="str">
        <f t="shared" si="80"/>
        <v>სხ</v>
      </c>
    </row>
    <row r="568" spans="1:9" x14ac:dyDescent="0.25">
      <c r="A568" s="2">
        <v>34</v>
      </c>
      <c r="B568" s="2" t="s">
        <v>500</v>
      </c>
      <c r="C568" s="2" t="s">
        <v>66</v>
      </c>
      <c r="D568" s="2">
        <v>0</v>
      </c>
      <c r="E568" s="2">
        <v>125</v>
      </c>
      <c r="F568" s="2">
        <v>125</v>
      </c>
      <c r="G568" s="2">
        <f t="shared" si="82"/>
        <v>125</v>
      </c>
      <c r="H568" s="19" t="str">
        <f t="shared" si="81"/>
        <v>4.4-34</v>
      </c>
      <c r="I568" s="2" t="str">
        <f t="shared" si="80"/>
        <v>სხ</v>
      </c>
    </row>
    <row r="569" spans="1:9" x14ac:dyDescent="0.25">
      <c r="A569" s="2">
        <v>35</v>
      </c>
      <c r="B569" s="2" t="s">
        <v>501</v>
      </c>
      <c r="C569" s="2" t="s">
        <v>66</v>
      </c>
      <c r="D569" s="2">
        <v>0</v>
      </c>
      <c r="E569" s="2">
        <v>156.80000000000001</v>
      </c>
      <c r="F569" s="2">
        <v>156.80000000000001</v>
      </c>
      <c r="G569" s="2">
        <f t="shared" si="82"/>
        <v>156.80000000000001</v>
      </c>
      <c r="H569" s="19" t="str">
        <f t="shared" si="81"/>
        <v>4.4-35</v>
      </c>
      <c r="I569" s="2" t="str">
        <f t="shared" si="80"/>
        <v>სხ</v>
      </c>
    </row>
    <row r="570" spans="1:9" x14ac:dyDescent="0.25">
      <c r="A570" s="2">
        <v>36</v>
      </c>
      <c r="B570" s="2" t="s">
        <v>502</v>
      </c>
      <c r="C570" s="2" t="s">
        <v>66</v>
      </c>
      <c r="D570" s="2">
        <v>0</v>
      </c>
      <c r="E570" s="2">
        <v>207.6</v>
      </c>
      <c r="F570" s="2">
        <v>207.6</v>
      </c>
      <c r="G570" s="2">
        <f t="shared" si="82"/>
        <v>207.6</v>
      </c>
      <c r="H570" s="19" t="str">
        <f t="shared" si="81"/>
        <v>4.4-36</v>
      </c>
      <c r="I570" s="2" t="str">
        <f t="shared" si="80"/>
        <v>სხ</v>
      </c>
    </row>
    <row r="571" spans="1:9" x14ac:dyDescent="0.25">
      <c r="A571" s="2">
        <v>37</v>
      </c>
      <c r="B571" s="2" t="s">
        <v>503</v>
      </c>
      <c r="C571" s="2" t="s">
        <v>66</v>
      </c>
      <c r="D571" s="2">
        <v>0</v>
      </c>
      <c r="E571" s="2">
        <v>244.1</v>
      </c>
      <c r="F571" s="2">
        <v>244.1</v>
      </c>
      <c r="G571" s="2">
        <f t="shared" si="82"/>
        <v>244.1</v>
      </c>
      <c r="H571" s="19" t="str">
        <f t="shared" si="81"/>
        <v>4.4-37</v>
      </c>
      <c r="I571" s="2" t="str">
        <f t="shared" si="80"/>
        <v>სხ</v>
      </c>
    </row>
    <row r="572" spans="1:9" x14ac:dyDescent="0.25">
      <c r="A572" s="2">
        <v>38</v>
      </c>
      <c r="B572" s="2" t="s">
        <v>504</v>
      </c>
      <c r="C572" s="2" t="s">
        <v>66</v>
      </c>
      <c r="D572" s="2">
        <v>0</v>
      </c>
      <c r="E572" s="2">
        <v>300.8</v>
      </c>
      <c r="F572" s="2">
        <v>300.8</v>
      </c>
      <c r="G572" s="2">
        <f t="shared" si="82"/>
        <v>300.8</v>
      </c>
      <c r="H572" s="19" t="str">
        <f t="shared" si="81"/>
        <v>4.4-38</v>
      </c>
      <c r="I572" s="2" t="str">
        <f t="shared" si="80"/>
        <v>სხ</v>
      </c>
    </row>
    <row r="573" spans="1:9" x14ac:dyDescent="0.25">
      <c r="A573" s="2">
        <v>39</v>
      </c>
      <c r="B573" s="2" t="s">
        <v>505</v>
      </c>
      <c r="C573" s="2" t="s">
        <v>66</v>
      </c>
      <c r="D573" s="2">
        <v>0</v>
      </c>
      <c r="E573" s="2">
        <v>351.7</v>
      </c>
      <c r="F573" s="2">
        <v>351.7</v>
      </c>
      <c r="G573" s="2">
        <f t="shared" si="82"/>
        <v>351.7</v>
      </c>
      <c r="H573" s="19" t="str">
        <f t="shared" si="81"/>
        <v>4.4-39</v>
      </c>
      <c r="I573" s="2" t="str">
        <f t="shared" si="80"/>
        <v>სხ</v>
      </c>
    </row>
    <row r="574" spans="1:9" x14ac:dyDescent="0.25">
      <c r="A574" s="2">
        <v>40</v>
      </c>
      <c r="B574" s="2" t="s">
        <v>506</v>
      </c>
      <c r="C574" s="2" t="s">
        <v>66</v>
      </c>
      <c r="D574" s="2">
        <v>0</v>
      </c>
      <c r="E574" s="2">
        <v>559.29999999999995</v>
      </c>
      <c r="F574" s="2">
        <v>559.29999999999995</v>
      </c>
      <c r="G574" s="2">
        <f t="shared" si="82"/>
        <v>559.29999999999995</v>
      </c>
      <c r="H574" s="19" t="str">
        <f t="shared" si="81"/>
        <v>4.4-40</v>
      </c>
      <c r="I574" s="2" t="str">
        <f t="shared" si="80"/>
        <v>სხ</v>
      </c>
    </row>
    <row r="575" spans="1:9" x14ac:dyDescent="0.25">
      <c r="A575" s="2">
        <v>41</v>
      </c>
      <c r="B575" s="2" t="s">
        <v>507</v>
      </c>
      <c r="C575" s="2" t="s">
        <v>66</v>
      </c>
      <c r="D575" s="2">
        <v>0</v>
      </c>
      <c r="E575" s="2">
        <v>974.6</v>
      </c>
      <c r="F575" s="2">
        <v>974.6</v>
      </c>
      <c r="G575" s="2">
        <f t="shared" si="82"/>
        <v>974.6</v>
      </c>
      <c r="H575" s="19" t="str">
        <f t="shared" si="81"/>
        <v>4.4-41</v>
      </c>
      <c r="I575" s="2" t="str">
        <f t="shared" si="80"/>
        <v>სხ</v>
      </c>
    </row>
    <row r="576" spans="1:9" ht="20.25" thickBot="1" x14ac:dyDescent="0.3">
      <c r="A576" s="2"/>
      <c r="B576" s="2" t="s">
        <v>25</v>
      </c>
      <c r="C576" s="2"/>
      <c r="D576" s="2"/>
      <c r="E576" s="2"/>
      <c r="F576" s="2"/>
      <c r="G576" s="2"/>
      <c r="H576" s="19"/>
      <c r="I576" s="2" t="str">
        <f t="shared" si="80"/>
        <v>სხ</v>
      </c>
    </row>
    <row r="577" spans="1:9" ht="21" thickTop="1" thickBot="1" x14ac:dyDescent="0.3">
      <c r="A577" s="4"/>
      <c r="B577" s="4" t="s">
        <v>508</v>
      </c>
      <c r="C577" s="4"/>
      <c r="D577" s="4"/>
      <c r="E577" s="4"/>
      <c r="F577" s="4"/>
      <c r="G577" s="4"/>
      <c r="H577" s="7"/>
      <c r="I577" s="7" t="s">
        <v>682</v>
      </c>
    </row>
    <row r="578" spans="1:9" ht="20.25" thickTop="1" x14ac:dyDescent="0.25">
      <c r="A578" s="2">
        <v>1</v>
      </c>
      <c r="B578" s="2" t="s">
        <v>509</v>
      </c>
      <c r="C578" s="2" t="s">
        <v>28</v>
      </c>
      <c r="D578" s="2">
        <v>0</v>
      </c>
      <c r="E578" s="2">
        <v>5.3</v>
      </c>
      <c r="F578" s="2">
        <v>5.3</v>
      </c>
      <c r="G578" s="2">
        <f t="shared" ref="G578:G603" si="83">(E578+F578)/2</f>
        <v>5.3</v>
      </c>
      <c r="H578" s="19" t="str">
        <f>"4.6-"&amp;A578</f>
        <v>4.6-1</v>
      </c>
      <c r="I578" s="2" t="str">
        <f>$I$577</f>
        <v>სხ</v>
      </c>
    </row>
    <row r="579" spans="1:9" x14ac:dyDescent="0.25">
      <c r="A579" s="2">
        <v>2</v>
      </c>
      <c r="B579" s="2" t="s">
        <v>510</v>
      </c>
      <c r="C579" s="2" t="s">
        <v>66</v>
      </c>
      <c r="D579" s="2">
        <v>0</v>
      </c>
      <c r="E579" s="2">
        <v>5</v>
      </c>
      <c r="F579" s="2">
        <v>5</v>
      </c>
      <c r="G579" s="2">
        <f t="shared" si="83"/>
        <v>5</v>
      </c>
      <c r="H579" s="19" t="str">
        <f>"4.6-"&amp;A579</f>
        <v>4.6-2</v>
      </c>
      <c r="I579" s="2" t="str">
        <f t="shared" ref="I579:I604" si="84">$I$577</f>
        <v>სხ</v>
      </c>
    </row>
    <row r="580" spans="1:9" x14ac:dyDescent="0.25">
      <c r="A580" s="2">
        <v>3</v>
      </c>
      <c r="B580" s="2" t="s">
        <v>511</v>
      </c>
      <c r="C580" s="2" t="s">
        <v>66</v>
      </c>
      <c r="D580" s="2">
        <v>0</v>
      </c>
      <c r="E580" s="2">
        <v>2.2000000000000002</v>
      </c>
      <c r="F580" s="2">
        <v>2.2000000000000002</v>
      </c>
      <c r="G580" s="2">
        <f t="shared" si="83"/>
        <v>2.2000000000000002</v>
      </c>
      <c r="H580" s="19" t="str">
        <f>"4.6-"&amp;A580</f>
        <v>4.6-3</v>
      </c>
      <c r="I580" s="2" t="str">
        <f t="shared" si="84"/>
        <v>სხ</v>
      </c>
    </row>
    <row r="581" spans="1:9" x14ac:dyDescent="0.25">
      <c r="A581" s="2">
        <v>4</v>
      </c>
      <c r="B581" s="2" t="s">
        <v>512</v>
      </c>
      <c r="C581" s="2" t="s">
        <v>66</v>
      </c>
      <c r="D581" s="2">
        <v>0</v>
      </c>
      <c r="E581" s="2">
        <v>902</v>
      </c>
      <c r="F581" s="2">
        <v>902</v>
      </c>
      <c r="G581" s="2">
        <f t="shared" si="83"/>
        <v>902</v>
      </c>
      <c r="H581" s="19" t="str">
        <f t="shared" ref="H581:H603" si="85">"4.6-"&amp;A581</f>
        <v>4.6-4</v>
      </c>
      <c r="I581" s="2" t="str">
        <f t="shared" si="84"/>
        <v>სხ</v>
      </c>
    </row>
    <row r="582" spans="1:9" x14ac:dyDescent="0.25">
      <c r="A582" s="2">
        <v>5</v>
      </c>
      <c r="B582" s="2" t="s">
        <v>513</v>
      </c>
      <c r="C582" s="2" t="s">
        <v>66</v>
      </c>
      <c r="D582" s="2">
        <v>0</v>
      </c>
      <c r="E582" s="2">
        <v>1174</v>
      </c>
      <c r="F582" s="2">
        <v>1174</v>
      </c>
      <c r="G582" s="2">
        <f t="shared" si="83"/>
        <v>1174</v>
      </c>
      <c r="H582" s="19" t="str">
        <f t="shared" si="85"/>
        <v>4.6-5</v>
      </c>
      <c r="I582" s="2" t="str">
        <f t="shared" si="84"/>
        <v>სხ</v>
      </c>
    </row>
    <row r="583" spans="1:9" x14ac:dyDescent="0.25">
      <c r="A583" s="2">
        <v>6</v>
      </c>
      <c r="B583" s="2" t="s">
        <v>514</v>
      </c>
      <c r="C583" s="2" t="s">
        <v>66</v>
      </c>
      <c r="D583" s="2">
        <v>0</v>
      </c>
      <c r="E583" s="2">
        <v>1198</v>
      </c>
      <c r="F583" s="2">
        <v>1198</v>
      </c>
      <c r="G583" s="2">
        <f t="shared" si="83"/>
        <v>1198</v>
      </c>
      <c r="H583" s="19" t="str">
        <f t="shared" si="85"/>
        <v>4.6-6</v>
      </c>
      <c r="I583" s="2" t="str">
        <f t="shared" si="84"/>
        <v>სხ</v>
      </c>
    </row>
    <row r="584" spans="1:9" x14ac:dyDescent="0.25">
      <c r="A584" s="2">
        <v>7</v>
      </c>
      <c r="B584" s="2" t="s">
        <v>515</v>
      </c>
      <c r="C584" s="2" t="s">
        <v>66</v>
      </c>
      <c r="D584" s="2">
        <v>0</v>
      </c>
      <c r="E584" s="2">
        <v>1466</v>
      </c>
      <c r="F584" s="2">
        <v>1466</v>
      </c>
      <c r="G584" s="2">
        <f t="shared" si="83"/>
        <v>1466</v>
      </c>
      <c r="H584" s="19" t="str">
        <f t="shared" si="85"/>
        <v>4.6-7</v>
      </c>
      <c r="I584" s="2" t="str">
        <f t="shared" si="84"/>
        <v>სხ</v>
      </c>
    </row>
    <row r="585" spans="1:9" x14ac:dyDescent="0.25">
      <c r="A585" s="2">
        <v>8</v>
      </c>
      <c r="B585" s="2" t="s">
        <v>516</v>
      </c>
      <c r="C585" s="2" t="s">
        <v>66</v>
      </c>
      <c r="D585" s="2">
        <v>0</v>
      </c>
      <c r="E585" s="2">
        <v>3032</v>
      </c>
      <c r="F585" s="2">
        <v>3032</v>
      </c>
      <c r="G585" s="2">
        <f t="shared" si="83"/>
        <v>3032</v>
      </c>
      <c r="H585" s="19" t="str">
        <f t="shared" si="85"/>
        <v>4.6-8</v>
      </c>
      <c r="I585" s="2" t="str">
        <f t="shared" si="84"/>
        <v>სხ</v>
      </c>
    </row>
    <row r="586" spans="1:9" x14ac:dyDescent="0.25">
      <c r="A586" s="2">
        <v>9</v>
      </c>
      <c r="B586" s="2" t="s">
        <v>517</v>
      </c>
      <c r="C586" s="2" t="s">
        <v>66</v>
      </c>
      <c r="D586" s="2">
        <v>0</v>
      </c>
      <c r="E586" s="2">
        <v>2666</v>
      </c>
      <c r="F586" s="2">
        <v>2666</v>
      </c>
      <c r="G586" s="2">
        <f t="shared" si="83"/>
        <v>2666</v>
      </c>
      <c r="H586" s="19" t="str">
        <f t="shared" si="85"/>
        <v>4.6-9</v>
      </c>
      <c r="I586" s="2" t="str">
        <f t="shared" si="84"/>
        <v>სხ</v>
      </c>
    </row>
    <row r="587" spans="1:9" x14ac:dyDescent="0.25">
      <c r="A587" s="2">
        <v>10</v>
      </c>
      <c r="B587" s="2" t="s">
        <v>518</v>
      </c>
      <c r="C587" s="2" t="s">
        <v>66</v>
      </c>
      <c r="D587" s="2">
        <v>0</v>
      </c>
      <c r="E587" s="2">
        <v>2688</v>
      </c>
      <c r="F587" s="2">
        <v>2688</v>
      </c>
      <c r="G587" s="2">
        <f t="shared" si="83"/>
        <v>2688</v>
      </c>
      <c r="H587" s="19" t="str">
        <f t="shared" si="85"/>
        <v>4.6-10</v>
      </c>
      <c r="I587" s="2" t="str">
        <f t="shared" si="84"/>
        <v>სხ</v>
      </c>
    </row>
    <row r="588" spans="1:9" x14ac:dyDescent="0.25">
      <c r="A588" s="2">
        <v>11</v>
      </c>
      <c r="B588" s="2" t="s">
        <v>519</v>
      </c>
      <c r="C588" s="2" t="s">
        <v>66</v>
      </c>
      <c r="D588" s="2">
        <v>0</v>
      </c>
      <c r="E588" s="2">
        <v>720</v>
      </c>
      <c r="F588" s="2">
        <v>720</v>
      </c>
      <c r="G588" s="2">
        <f t="shared" si="83"/>
        <v>720</v>
      </c>
      <c r="H588" s="19" t="str">
        <f t="shared" si="85"/>
        <v>4.6-11</v>
      </c>
      <c r="I588" s="2" t="str">
        <f t="shared" si="84"/>
        <v>სხ</v>
      </c>
    </row>
    <row r="589" spans="1:9" x14ac:dyDescent="0.25">
      <c r="A589" s="2">
        <v>12</v>
      </c>
      <c r="B589" s="2" t="s">
        <v>520</v>
      </c>
      <c r="C589" s="2" t="s">
        <v>66</v>
      </c>
      <c r="D589" s="2">
        <v>0</v>
      </c>
      <c r="E589" s="2">
        <v>722</v>
      </c>
      <c r="F589" s="2">
        <v>722</v>
      </c>
      <c r="G589" s="2">
        <f t="shared" si="83"/>
        <v>722</v>
      </c>
      <c r="H589" s="19" t="str">
        <f t="shared" si="85"/>
        <v>4.6-12</v>
      </c>
      <c r="I589" s="2" t="str">
        <f t="shared" si="84"/>
        <v>სხ</v>
      </c>
    </row>
    <row r="590" spans="1:9" x14ac:dyDescent="0.25">
      <c r="A590" s="2">
        <v>13</v>
      </c>
      <c r="B590" s="2" t="s">
        <v>521</v>
      </c>
      <c r="C590" s="2" t="s">
        <v>66</v>
      </c>
      <c r="D590" s="2">
        <v>0</v>
      </c>
      <c r="E590" s="2">
        <v>956</v>
      </c>
      <c r="F590" s="2">
        <v>956</v>
      </c>
      <c r="G590" s="2">
        <f t="shared" si="83"/>
        <v>956</v>
      </c>
      <c r="H590" s="19" t="str">
        <f t="shared" si="85"/>
        <v>4.6-13</v>
      </c>
      <c r="I590" s="2" t="str">
        <f t="shared" si="84"/>
        <v>სხ</v>
      </c>
    </row>
    <row r="591" spans="1:9" x14ac:dyDescent="0.25">
      <c r="A591" s="2">
        <v>14</v>
      </c>
      <c r="B591" s="2" t="s">
        <v>522</v>
      </c>
      <c r="C591" s="2" t="s">
        <v>66</v>
      </c>
      <c r="D591" s="2">
        <v>0</v>
      </c>
      <c r="E591" s="2">
        <v>1070</v>
      </c>
      <c r="F591" s="2">
        <v>1070</v>
      </c>
      <c r="G591" s="2">
        <f t="shared" si="83"/>
        <v>1070</v>
      </c>
      <c r="H591" s="19" t="str">
        <f t="shared" si="85"/>
        <v>4.6-14</v>
      </c>
      <c r="I591" s="2" t="str">
        <f t="shared" si="84"/>
        <v>სხ</v>
      </c>
    </row>
    <row r="592" spans="1:9" x14ac:dyDescent="0.25">
      <c r="A592" s="2">
        <v>15</v>
      </c>
      <c r="B592" s="2" t="s">
        <v>523</v>
      </c>
      <c r="C592" s="2" t="s">
        <v>66</v>
      </c>
      <c r="D592" s="2">
        <v>0</v>
      </c>
      <c r="E592" s="2">
        <v>1105</v>
      </c>
      <c r="F592" s="2">
        <v>1105</v>
      </c>
      <c r="G592" s="2">
        <f t="shared" si="83"/>
        <v>1105</v>
      </c>
      <c r="H592" s="19" t="str">
        <f t="shared" si="85"/>
        <v>4.6-15</v>
      </c>
      <c r="I592" s="2" t="str">
        <f t="shared" si="84"/>
        <v>სხ</v>
      </c>
    </row>
    <row r="593" spans="1:9" x14ac:dyDescent="0.25">
      <c r="A593" s="2">
        <v>16</v>
      </c>
      <c r="B593" s="2" t="s">
        <v>524</v>
      </c>
      <c r="C593" s="2" t="s">
        <v>66</v>
      </c>
      <c r="D593" s="2">
        <v>0</v>
      </c>
      <c r="E593" s="2">
        <v>2025</v>
      </c>
      <c r="F593" s="2">
        <v>2025</v>
      </c>
      <c r="G593" s="2">
        <f t="shared" si="83"/>
        <v>2025</v>
      </c>
      <c r="H593" s="19" t="str">
        <f t="shared" si="85"/>
        <v>4.6-16</v>
      </c>
      <c r="I593" s="2" t="str">
        <f t="shared" si="84"/>
        <v>სხ</v>
      </c>
    </row>
    <row r="594" spans="1:9" x14ac:dyDescent="0.25">
      <c r="A594" s="2">
        <v>17</v>
      </c>
      <c r="B594" s="2" t="s">
        <v>525</v>
      </c>
      <c r="C594" s="2" t="s">
        <v>14</v>
      </c>
      <c r="D594" s="2">
        <v>0</v>
      </c>
      <c r="E594" s="2">
        <v>72</v>
      </c>
      <c r="F594" s="2">
        <v>72</v>
      </c>
      <c r="G594" s="2">
        <f t="shared" si="83"/>
        <v>72</v>
      </c>
      <c r="H594" s="19" t="str">
        <f t="shared" si="85"/>
        <v>4.6-17</v>
      </c>
      <c r="I594" s="2" t="str">
        <f t="shared" si="84"/>
        <v>სხ</v>
      </c>
    </row>
    <row r="595" spans="1:9" x14ac:dyDescent="0.25">
      <c r="A595" s="2">
        <v>18</v>
      </c>
      <c r="B595" s="2" t="s">
        <v>526</v>
      </c>
      <c r="C595" s="2" t="s">
        <v>14</v>
      </c>
      <c r="D595" s="2">
        <v>0</v>
      </c>
      <c r="E595" s="2">
        <v>104.9</v>
      </c>
      <c r="F595" s="2">
        <v>104.9</v>
      </c>
      <c r="G595" s="2">
        <f t="shared" si="83"/>
        <v>104.9</v>
      </c>
      <c r="H595" s="19" t="str">
        <f t="shared" si="85"/>
        <v>4.6-18</v>
      </c>
      <c r="I595" s="2" t="str">
        <f t="shared" si="84"/>
        <v>სხ</v>
      </c>
    </row>
    <row r="596" spans="1:9" x14ac:dyDescent="0.25">
      <c r="A596" s="2">
        <v>19</v>
      </c>
      <c r="B596" s="2" t="s">
        <v>527</v>
      </c>
      <c r="C596" s="2" t="s">
        <v>66</v>
      </c>
      <c r="D596" s="2">
        <v>0</v>
      </c>
      <c r="E596" s="2">
        <v>265</v>
      </c>
      <c r="F596" s="2">
        <v>265</v>
      </c>
      <c r="G596" s="2">
        <f t="shared" si="83"/>
        <v>265</v>
      </c>
      <c r="H596" s="19" t="str">
        <f t="shared" si="85"/>
        <v>4.6-19</v>
      </c>
      <c r="I596" s="2" t="str">
        <f t="shared" si="84"/>
        <v>სხ</v>
      </c>
    </row>
    <row r="597" spans="1:9" x14ac:dyDescent="0.25">
      <c r="A597" s="2">
        <v>20</v>
      </c>
      <c r="B597" s="2" t="s">
        <v>528</v>
      </c>
      <c r="C597" s="2" t="s">
        <v>66</v>
      </c>
      <c r="D597" s="2">
        <v>0</v>
      </c>
      <c r="E597" s="2">
        <v>720</v>
      </c>
      <c r="F597" s="2">
        <v>720</v>
      </c>
      <c r="G597" s="2">
        <f t="shared" si="83"/>
        <v>720</v>
      </c>
      <c r="H597" s="19" t="str">
        <f t="shared" si="85"/>
        <v>4.6-20</v>
      </c>
      <c r="I597" s="2" t="str">
        <f t="shared" si="84"/>
        <v>სხ</v>
      </c>
    </row>
    <row r="598" spans="1:9" x14ac:dyDescent="0.25">
      <c r="A598" s="2">
        <v>21</v>
      </c>
      <c r="B598" s="2" t="s">
        <v>529</v>
      </c>
      <c r="C598" s="2" t="s">
        <v>66</v>
      </c>
      <c r="D598" s="2">
        <v>0</v>
      </c>
      <c r="E598" s="2">
        <v>2120</v>
      </c>
      <c r="F598" s="2">
        <v>2120</v>
      </c>
      <c r="G598" s="2">
        <f t="shared" si="83"/>
        <v>2120</v>
      </c>
      <c r="H598" s="19" t="str">
        <f t="shared" si="85"/>
        <v>4.6-21</v>
      </c>
      <c r="I598" s="2" t="str">
        <f t="shared" si="84"/>
        <v>სხ</v>
      </c>
    </row>
    <row r="599" spans="1:9" x14ac:dyDescent="0.25">
      <c r="A599" s="2">
        <v>22</v>
      </c>
      <c r="B599" s="2" t="s">
        <v>530</v>
      </c>
      <c r="C599" s="2" t="s">
        <v>66</v>
      </c>
      <c r="D599" s="2">
        <v>0</v>
      </c>
      <c r="E599" s="2">
        <v>1120</v>
      </c>
      <c r="F599" s="2">
        <v>1120</v>
      </c>
      <c r="G599" s="2">
        <f t="shared" si="83"/>
        <v>1120</v>
      </c>
      <c r="H599" s="19" t="str">
        <f t="shared" si="85"/>
        <v>4.6-22</v>
      </c>
      <c r="I599" s="2" t="str">
        <f t="shared" si="84"/>
        <v>სხ</v>
      </c>
    </row>
    <row r="600" spans="1:9" x14ac:dyDescent="0.25">
      <c r="A600" s="2">
        <v>23</v>
      </c>
      <c r="B600" s="2" t="s">
        <v>531</v>
      </c>
      <c r="C600" s="2" t="s">
        <v>66</v>
      </c>
      <c r="D600" s="2">
        <v>0</v>
      </c>
      <c r="E600" s="2">
        <v>1620</v>
      </c>
      <c r="F600" s="2">
        <v>1740</v>
      </c>
      <c r="G600" s="2">
        <f t="shared" si="83"/>
        <v>1680</v>
      </c>
      <c r="H600" s="19" t="str">
        <f t="shared" si="85"/>
        <v>4.6-23</v>
      </c>
      <c r="I600" s="2" t="str">
        <f t="shared" si="84"/>
        <v>სხ</v>
      </c>
    </row>
    <row r="601" spans="1:9" x14ac:dyDescent="0.25">
      <c r="A601" s="2">
        <v>24</v>
      </c>
      <c r="B601" s="2" t="s">
        <v>532</v>
      </c>
      <c r="C601" s="2" t="s">
        <v>14</v>
      </c>
      <c r="D601" s="2">
        <v>0</v>
      </c>
      <c r="E601" s="2">
        <v>1</v>
      </c>
      <c r="F601" s="2">
        <v>1</v>
      </c>
      <c r="G601" s="2">
        <f t="shared" si="83"/>
        <v>1</v>
      </c>
      <c r="H601" s="19" t="str">
        <f t="shared" si="85"/>
        <v>4.6-24</v>
      </c>
      <c r="I601" s="2" t="str">
        <f t="shared" si="84"/>
        <v>სხ</v>
      </c>
    </row>
    <row r="602" spans="1:9" x14ac:dyDescent="0.25">
      <c r="A602" s="2">
        <v>25</v>
      </c>
      <c r="B602" s="2" t="s">
        <v>533</v>
      </c>
      <c r="C602" s="2" t="s">
        <v>14</v>
      </c>
      <c r="D602" s="2">
        <v>0</v>
      </c>
      <c r="E602" s="2">
        <v>2.2999999999999998</v>
      </c>
      <c r="F602" s="2">
        <v>2.2999999999999998</v>
      </c>
      <c r="G602" s="2">
        <f t="shared" si="83"/>
        <v>2.2999999999999998</v>
      </c>
      <c r="H602" s="19" t="str">
        <f t="shared" si="85"/>
        <v>4.6-25</v>
      </c>
      <c r="I602" s="2" t="str">
        <f t="shared" si="84"/>
        <v>სხ</v>
      </c>
    </row>
    <row r="603" spans="1:9" x14ac:dyDescent="0.25">
      <c r="A603" s="2">
        <v>26</v>
      </c>
      <c r="B603" s="2" t="s">
        <v>534</v>
      </c>
      <c r="C603" s="2" t="s">
        <v>28</v>
      </c>
      <c r="D603" s="2">
        <v>0</v>
      </c>
      <c r="E603" s="2">
        <v>5.3</v>
      </c>
      <c r="F603" s="2">
        <v>5.3</v>
      </c>
      <c r="G603" s="2">
        <f t="shared" si="83"/>
        <v>5.3</v>
      </c>
      <c r="H603" s="19" t="str">
        <f t="shared" si="85"/>
        <v>4.6-26</v>
      </c>
      <c r="I603" s="2" t="str">
        <f t="shared" si="84"/>
        <v>სხ</v>
      </c>
    </row>
    <row r="604" spans="1:9" ht="20.25" thickBot="1" x14ac:dyDescent="0.3">
      <c r="A604" s="2"/>
      <c r="B604" s="2" t="s">
        <v>25</v>
      </c>
      <c r="C604" s="2"/>
      <c r="D604" s="2"/>
      <c r="E604" s="2"/>
      <c r="F604" s="2"/>
      <c r="G604" s="2"/>
      <c r="H604" s="19"/>
      <c r="I604" s="2" t="str">
        <f t="shared" si="84"/>
        <v>სხ</v>
      </c>
    </row>
    <row r="605" spans="1:9" ht="21" thickTop="1" thickBot="1" x14ac:dyDescent="0.3">
      <c r="A605" s="4"/>
      <c r="B605" s="4" t="s">
        <v>535</v>
      </c>
      <c r="C605" s="4"/>
      <c r="D605" s="4"/>
      <c r="E605" s="4"/>
      <c r="F605" s="4"/>
      <c r="G605" s="4"/>
      <c r="H605" s="7"/>
      <c r="I605" s="7" t="s">
        <v>684</v>
      </c>
    </row>
    <row r="606" spans="1:9" ht="20.25" thickTop="1" x14ac:dyDescent="0.25">
      <c r="A606" s="2"/>
      <c r="B606" s="2" t="s">
        <v>25</v>
      </c>
      <c r="C606" s="2"/>
      <c r="D606" s="2"/>
      <c r="E606" s="2"/>
      <c r="F606" s="2"/>
      <c r="G606" s="2"/>
      <c r="H606" s="19"/>
      <c r="I606" s="2" t="str">
        <f>$I$605</f>
        <v>ხმ</v>
      </c>
    </row>
    <row r="607" spans="1:9" x14ac:dyDescent="0.25">
      <c r="A607" s="2">
        <v>7</v>
      </c>
      <c r="B607" s="2" t="s">
        <v>536</v>
      </c>
      <c r="C607" s="2" t="s">
        <v>312</v>
      </c>
      <c r="D607" s="2">
        <v>700</v>
      </c>
      <c r="E607" s="2">
        <v>270</v>
      </c>
      <c r="F607" s="2">
        <v>280</v>
      </c>
      <c r="G607" s="2">
        <f t="shared" ref="G607:G637" si="86">(E607+F607)/2</f>
        <v>275</v>
      </c>
      <c r="H607" s="19" t="str">
        <f>"5.1-"&amp;A607</f>
        <v>5.1-7</v>
      </c>
      <c r="I607" s="2" t="str">
        <f t="shared" ref="I607:I656" si="87">$I$605</f>
        <v>ხმ</v>
      </c>
    </row>
    <row r="608" spans="1:9" x14ac:dyDescent="0.25">
      <c r="A608" s="2">
        <v>8</v>
      </c>
      <c r="B608" s="2" t="s">
        <v>537</v>
      </c>
      <c r="C608" s="2" t="s">
        <v>312</v>
      </c>
      <c r="D608" s="2">
        <v>600</v>
      </c>
      <c r="E608" s="2">
        <v>520</v>
      </c>
      <c r="F608" s="2">
        <v>530</v>
      </c>
      <c r="G608" s="2">
        <f t="shared" si="86"/>
        <v>525</v>
      </c>
      <c r="H608" s="19" t="str">
        <f t="shared" ref="H608:H655" si="88">"5.1-"&amp;A608</f>
        <v>5.1-8</v>
      </c>
      <c r="I608" s="2" t="str">
        <f t="shared" si="87"/>
        <v>ხმ</v>
      </c>
    </row>
    <row r="609" spans="1:9" x14ac:dyDescent="0.25">
      <c r="A609" s="2">
        <v>9</v>
      </c>
      <c r="B609" s="2" t="s">
        <v>538</v>
      </c>
      <c r="C609" s="2" t="s">
        <v>312</v>
      </c>
      <c r="D609" s="2">
        <v>600</v>
      </c>
      <c r="E609" s="2">
        <v>508.5</v>
      </c>
      <c r="F609" s="2">
        <v>508.5</v>
      </c>
      <c r="G609" s="2">
        <f t="shared" si="86"/>
        <v>508.5</v>
      </c>
      <c r="H609" s="19" t="str">
        <f t="shared" si="88"/>
        <v>5.1-9</v>
      </c>
      <c r="I609" s="2" t="str">
        <f t="shared" si="87"/>
        <v>ხმ</v>
      </c>
    </row>
    <row r="610" spans="1:9" x14ac:dyDescent="0.25">
      <c r="A610" s="2">
        <v>10</v>
      </c>
      <c r="B610" s="2" t="s">
        <v>539</v>
      </c>
      <c r="C610" s="2" t="s">
        <v>312</v>
      </c>
      <c r="D610" s="2">
        <v>550</v>
      </c>
      <c r="E610" s="2">
        <v>580</v>
      </c>
      <c r="F610" s="2">
        <v>590</v>
      </c>
      <c r="G610" s="2">
        <f t="shared" si="86"/>
        <v>585</v>
      </c>
      <c r="H610" s="19" t="str">
        <f t="shared" si="88"/>
        <v>5.1-10</v>
      </c>
      <c r="I610" s="2" t="str">
        <f t="shared" si="87"/>
        <v>ხმ</v>
      </c>
    </row>
    <row r="611" spans="1:9" x14ac:dyDescent="0.25">
      <c r="A611" s="2">
        <v>11</v>
      </c>
      <c r="B611" s="2" t="s">
        <v>540</v>
      </c>
      <c r="C611" s="2" t="s">
        <v>312</v>
      </c>
      <c r="D611" s="2">
        <v>600</v>
      </c>
      <c r="E611" s="2">
        <v>524</v>
      </c>
      <c r="F611" s="2">
        <v>524</v>
      </c>
      <c r="G611" s="2">
        <f t="shared" si="86"/>
        <v>524</v>
      </c>
      <c r="H611" s="19" t="str">
        <f t="shared" si="88"/>
        <v>5.1-11</v>
      </c>
      <c r="I611" s="2" t="str">
        <f t="shared" si="87"/>
        <v>ხმ</v>
      </c>
    </row>
    <row r="612" spans="1:9" x14ac:dyDescent="0.25">
      <c r="A612" s="2">
        <v>12</v>
      </c>
      <c r="B612" s="2" t="s">
        <v>541</v>
      </c>
      <c r="C612" s="2" t="s">
        <v>312</v>
      </c>
      <c r="D612" s="2">
        <v>600</v>
      </c>
      <c r="E612" s="2">
        <v>534</v>
      </c>
      <c r="F612" s="2">
        <v>534</v>
      </c>
      <c r="G612" s="2">
        <f t="shared" si="86"/>
        <v>534</v>
      </c>
      <c r="H612" s="19" t="str">
        <f t="shared" si="88"/>
        <v>5.1-12</v>
      </c>
      <c r="I612" s="2" t="str">
        <f t="shared" si="87"/>
        <v>ხმ</v>
      </c>
    </row>
    <row r="613" spans="1:9" x14ac:dyDescent="0.25">
      <c r="A613" s="2">
        <v>13</v>
      </c>
      <c r="B613" s="2" t="s">
        <v>542</v>
      </c>
      <c r="C613" s="2" t="s">
        <v>312</v>
      </c>
      <c r="D613" s="2">
        <v>600</v>
      </c>
      <c r="E613" s="2">
        <v>503</v>
      </c>
      <c r="F613" s="2">
        <v>503</v>
      </c>
      <c r="G613" s="2">
        <f t="shared" si="86"/>
        <v>503</v>
      </c>
      <c r="H613" s="19" t="str">
        <f t="shared" si="88"/>
        <v>5.1-13</v>
      </c>
      <c r="I613" s="2" t="str">
        <f t="shared" si="87"/>
        <v>ხმ</v>
      </c>
    </row>
    <row r="614" spans="1:9" x14ac:dyDescent="0.25">
      <c r="A614" s="2">
        <v>14</v>
      </c>
      <c r="B614" s="2" t="s">
        <v>543</v>
      </c>
      <c r="C614" s="2" t="s">
        <v>312</v>
      </c>
      <c r="D614" s="2">
        <v>600</v>
      </c>
      <c r="E614" s="2">
        <v>549</v>
      </c>
      <c r="F614" s="2">
        <v>549</v>
      </c>
      <c r="G614" s="2">
        <f t="shared" si="86"/>
        <v>549</v>
      </c>
      <c r="H614" s="19" t="str">
        <f t="shared" si="88"/>
        <v>5.1-14</v>
      </c>
      <c r="I614" s="2" t="str">
        <f t="shared" si="87"/>
        <v>ხმ</v>
      </c>
    </row>
    <row r="615" spans="1:9" x14ac:dyDescent="0.25">
      <c r="A615" s="2">
        <v>15</v>
      </c>
      <c r="B615" s="2" t="s">
        <v>544</v>
      </c>
      <c r="C615" s="2" t="s">
        <v>312</v>
      </c>
      <c r="D615" s="2">
        <v>600</v>
      </c>
      <c r="E615" s="2">
        <v>524</v>
      </c>
      <c r="F615" s="2">
        <v>524</v>
      </c>
      <c r="G615" s="2">
        <f t="shared" si="86"/>
        <v>524</v>
      </c>
      <c r="H615" s="19" t="str">
        <f t="shared" si="88"/>
        <v>5.1-15</v>
      </c>
      <c r="I615" s="2" t="str">
        <f t="shared" si="87"/>
        <v>ხმ</v>
      </c>
    </row>
    <row r="616" spans="1:9" x14ac:dyDescent="0.25">
      <c r="A616" s="2">
        <v>16</v>
      </c>
      <c r="B616" s="2" t="s">
        <v>545</v>
      </c>
      <c r="C616" s="2" t="s">
        <v>312</v>
      </c>
      <c r="D616" s="2">
        <v>600</v>
      </c>
      <c r="E616" s="2">
        <v>450</v>
      </c>
      <c r="F616" s="2">
        <v>450</v>
      </c>
      <c r="G616" s="2">
        <f t="shared" si="86"/>
        <v>450</v>
      </c>
      <c r="H616" s="19" t="str">
        <f t="shared" si="88"/>
        <v>5.1-16</v>
      </c>
      <c r="I616" s="2" t="str">
        <f t="shared" si="87"/>
        <v>ხმ</v>
      </c>
    </row>
    <row r="617" spans="1:9" x14ac:dyDescent="0.25">
      <c r="A617" s="2">
        <v>17</v>
      </c>
      <c r="B617" s="2" t="s">
        <v>546</v>
      </c>
      <c r="C617" s="2" t="s">
        <v>312</v>
      </c>
      <c r="D617" s="2">
        <v>600</v>
      </c>
      <c r="E617" s="2">
        <v>534</v>
      </c>
      <c r="F617" s="2">
        <v>534</v>
      </c>
      <c r="G617" s="2">
        <f t="shared" si="86"/>
        <v>534</v>
      </c>
      <c r="H617" s="19" t="str">
        <f t="shared" si="88"/>
        <v>5.1-17</v>
      </c>
      <c r="I617" s="2" t="str">
        <f t="shared" si="87"/>
        <v>ხმ</v>
      </c>
    </row>
    <row r="618" spans="1:9" x14ac:dyDescent="0.25">
      <c r="A618" s="2">
        <v>18</v>
      </c>
      <c r="B618" s="2" t="s">
        <v>547</v>
      </c>
      <c r="C618" s="2" t="s">
        <v>312</v>
      </c>
      <c r="D618" s="2">
        <v>600</v>
      </c>
      <c r="E618" s="2">
        <v>514</v>
      </c>
      <c r="F618" s="2">
        <v>514</v>
      </c>
      <c r="G618" s="2">
        <f t="shared" si="86"/>
        <v>514</v>
      </c>
      <c r="H618" s="19" t="str">
        <f t="shared" si="88"/>
        <v>5.1-18</v>
      </c>
      <c r="I618" s="2" t="str">
        <f t="shared" si="87"/>
        <v>ხმ</v>
      </c>
    </row>
    <row r="619" spans="1:9" x14ac:dyDescent="0.25">
      <c r="A619" s="2">
        <v>19</v>
      </c>
      <c r="B619" s="2" t="s">
        <v>548</v>
      </c>
      <c r="C619" s="2" t="s">
        <v>312</v>
      </c>
      <c r="D619" s="2">
        <v>600</v>
      </c>
      <c r="E619" s="2">
        <v>417</v>
      </c>
      <c r="F619" s="2">
        <v>417</v>
      </c>
      <c r="G619" s="2">
        <f t="shared" si="86"/>
        <v>417</v>
      </c>
      <c r="H619" s="19" t="str">
        <f t="shared" si="88"/>
        <v>5.1-19</v>
      </c>
      <c r="I619" s="2" t="str">
        <f t="shared" si="87"/>
        <v>ხმ</v>
      </c>
    </row>
    <row r="620" spans="1:9" x14ac:dyDescent="0.25">
      <c r="A620" s="2">
        <v>20</v>
      </c>
      <c r="B620" s="2" t="s">
        <v>549</v>
      </c>
      <c r="C620" s="2" t="s">
        <v>312</v>
      </c>
      <c r="D620" s="2">
        <v>600</v>
      </c>
      <c r="E620" s="2">
        <v>539</v>
      </c>
      <c r="F620" s="2">
        <v>539</v>
      </c>
      <c r="G620" s="2">
        <f t="shared" si="86"/>
        <v>539</v>
      </c>
      <c r="H620" s="19" t="str">
        <f t="shared" si="88"/>
        <v>5.1-20</v>
      </c>
      <c r="I620" s="2" t="str">
        <f t="shared" si="87"/>
        <v>ხმ</v>
      </c>
    </row>
    <row r="621" spans="1:9" x14ac:dyDescent="0.25">
      <c r="A621" s="2">
        <v>21</v>
      </c>
      <c r="B621" s="2" t="s">
        <v>550</v>
      </c>
      <c r="C621" s="2" t="s">
        <v>312</v>
      </c>
      <c r="D621" s="2">
        <v>600</v>
      </c>
      <c r="E621" s="2">
        <v>503</v>
      </c>
      <c r="F621" s="2">
        <v>503</v>
      </c>
      <c r="G621" s="2">
        <f t="shared" si="86"/>
        <v>503</v>
      </c>
      <c r="H621" s="19" t="str">
        <f t="shared" si="88"/>
        <v>5.1-21</v>
      </c>
      <c r="I621" s="2" t="str">
        <f t="shared" si="87"/>
        <v>ხმ</v>
      </c>
    </row>
    <row r="622" spans="1:9" x14ac:dyDescent="0.25">
      <c r="A622" s="2">
        <v>22</v>
      </c>
      <c r="B622" s="2" t="s">
        <v>551</v>
      </c>
      <c r="C622" s="2" t="s">
        <v>312</v>
      </c>
      <c r="D622" s="2">
        <v>600</v>
      </c>
      <c r="E622" s="2">
        <v>447</v>
      </c>
      <c r="F622" s="2">
        <v>447</v>
      </c>
      <c r="G622" s="2">
        <f t="shared" si="86"/>
        <v>447</v>
      </c>
      <c r="H622" s="19" t="str">
        <f t="shared" si="88"/>
        <v>5.1-22</v>
      </c>
      <c r="I622" s="2" t="str">
        <f t="shared" si="87"/>
        <v>ხმ</v>
      </c>
    </row>
    <row r="623" spans="1:9" x14ac:dyDescent="0.25">
      <c r="A623" s="2">
        <v>23</v>
      </c>
      <c r="B623" s="2" t="s">
        <v>552</v>
      </c>
      <c r="C623" s="2" t="s">
        <v>312</v>
      </c>
      <c r="D623" s="2">
        <v>600</v>
      </c>
      <c r="E623" s="2">
        <v>529</v>
      </c>
      <c r="F623" s="2">
        <v>529</v>
      </c>
      <c r="G623" s="2">
        <f t="shared" si="86"/>
        <v>529</v>
      </c>
      <c r="H623" s="19" t="str">
        <f t="shared" si="88"/>
        <v>5.1-23</v>
      </c>
      <c r="I623" s="2" t="str">
        <f t="shared" si="87"/>
        <v>ხმ</v>
      </c>
    </row>
    <row r="624" spans="1:9" x14ac:dyDescent="0.25">
      <c r="A624" s="2">
        <v>24</v>
      </c>
      <c r="B624" s="2" t="s">
        <v>553</v>
      </c>
      <c r="C624" s="2" t="s">
        <v>312</v>
      </c>
      <c r="D624" s="2">
        <v>600</v>
      </c>
      <c r="E624" s="2">
        <v>491</v>
      </c>
      <c r="F624" s="2">
        <v>491</v>
      </c>
      <c r="G624" s="2">
        <f t="shared" si="86"/>
        <v>491</v>
      </c>
      <c r="H624" s="19" t="str">
        <f t="shared" si="88"/>
        <v>5.1-24</v>
      </c>
      <c r="I624" s="2" t="str">
        <f t="shared" si="87"/>
        <v>ხმ</v>
      </c>
    </row>
    <row r="625" spans="1:9" x14ac:dyDescent="0.25">
      <c r="A625" s="2">
        <v>25</v>
      </c>
      <c r="B625" s="2" t="s">
        <v>554</v>
      </c>
      <c r="C625" s="2" t="s">
        <v>312</v>
      </c>
      <c r="D625" s="2">
        <v>600</v>
      </c>
      <c r="E625" s="2">
        <v>427</v>
      </c>
      <c r="F625" s="2">
        <v>427</v>
      </c>
      <c r="G625" s="2">
        <f t="shared" si="86"/>
        <v>427</v>
      </c>
      <c r="H625" s="19" t="str">
        <f t="shared" si="88"/>
        <v>5.1-25</v>
      </c>
      <c r="I625" s="2" t="str">
        <f t="shared" si="87"/>
        <v>ხმ</v>
      </c>
    </row>
    <row r="626" spans="1:9" x14ac:dyDescent="0.25">
      <c r="A626" s="2">
        <v>26</v>
      </c>
      <c r="B626" s="2" t="s">
        <v>555</v>
      </c>
      <c r="C626" s="2" t="s">
        <v>312</v>
      </c>
      <c r="D626" s="2">
        <v>600</v>
      </c>
      <c r="E626" s="2">
        <v>488</v>
      </c>
      <c r="F626" s="2">
        <v>488</v>
      </c>
      <c r="G626" s="2">
        <f t="shared" si="86"/>
        <v>488</v>
      </c>
      <c r="H626" s="19" t="str">
        <f t="shared" si="88"/>
        <v>5.1-26</v>
      </c>
      <c r="I626" s="2" t="str">
        <f t="shared" si="87"/>
        <v>ხმ</v>
      </c>
    </row>
    <row r="627" spans="1:9" x14ac:dyDescent="0.25">
      <c r="A627" s="2">
        <v>27</v>
      </c>
      <c r="B627" s="2" t="s">
        <v>556</v>
      </c>
      <c r="C627" s="2" t="s">
        <v>312</v>
      </c>
      <c r="D627" s="2">
        <v>600</v>
      </c>
      <c r="E627" s="2">
        <v>422</v>
      </c>
      <c r="F627" s="2">
        <v>422</v>
      </c>
      <c r="G627" s="2">
        <f t="shared" si="86"/>
        <v>422</v>
      </c>
      <c r="H627" s="19" t="str">
        <f t="shared" si="88"/>
        <v>5.1-27</v>
      </c>
      <c r="I627" s="2" t="str">
        <f t="shared" si="87"/>
        <v>ხმ</v>
      </c>
    </row>
    <row r="628" spans="1:9" x14ac:dyDescent="0.25">
      <c r="A628" s="2">
        <v>28</v>
      </c>
      <c r="B628" s="2" t="s">
        <v>557</v>
      </c>
      <c r="C628" s="2" t="s">
        <v>312</v>
      </c>
      <c r="D628" s="2">
        <v>600</v>
      </c>
      <c r="E628" s="2">
        <v>463</v>
      </c>
      <c r="F628" s="2">
        <v>463</v>
      </c>
      <c r="G628" s="2">
        <f t="shared" si="86"/>
        <v>463</v>
      </c>
      <c r="H628" s="19" t="str">
        <f t="shared" si="88"/>
        <v>5.1-28</v>
      </c>
      <c r="I628" s="2" t="str">
        <f t="shared" si="87"/>
        <v>ხმ</v>
      </c>
    </row>
    <row r="629" spans="1:9" x14ac:dyDescent="0.25">
      <c r="A629" s="2">
        <v>29</v>
      </c>
      <c r="B629" s="2" t="s">
        <v>558</v>
      </c>
      <c r="C629" s="2" t="s">
        <v>312</v>
      </c>
      <c r="D629" s="2">
        <v>600</v>
      </c>
      <c r="E629" s="2">
        <v>399</v>
      </c>
      <c r="F629" s="2">
        <v>399</v>
      </c>
      <c r="G629" s="2">
        <f t="shared" si="86"/>
        <v>399</v>
      </c>
      <c r="H629" s="19" t="str">
        <f t="shared" si="88"/>
        <v>5.1-29</v>
      </c>
      <c r="I629" s="2" t="str">
        <f t="shared" si="87"/>
        <v>ხმ</v>
      </c>
    </row>
    <row r="630" spans="1:9" x14ac:dyDescent="0.25">
      <c r="A630" s="2">
        <v>30</v>
      </c>
      <c r="B630" s="2" t="s">
        <v>559</v>
      </c>
      <c r="C630" s="2" t="s">
        <v>312</v>
      </c>
      <c r="D630" s="2">
        <v>600</v>
      </c>
      <c r="E630" s="2">
        <v>437</v>
      </c>
      <c r="F630" s="2">
        <v>437</v>
      </c>
      <c r="G630" s="2">
        <f t="shared" si="86"/>
        <v>437</v>
      </c>
      <c r="H630" s="19" t="str">
        <f t="shared" si="88"/>
        <v>5.1-30</v>
      </c>
      <c r="I630" s="2" t="str">
        <f t="shared" si="87"/>
        <v>ხმ</v>
      </c>
    </row>
    <row r="631" spans="1:9" x14ac:dyDescent="0.25">
      <c r="A631" s="2">
        <v>31</v>
      </c>
      <c r="B631" s="2" t="s">
        <v>560</v>
      </c>
      <c r="C631" s="2" t="s">
        <v>312</v>
      </c>
      <c r="D631" s="2">
        <v>600</v>
      </c>
      <c r="E631" s="2">
        <v>397</v>
      </c>
      <c r="F631" s="2">
        <v>397</v>
      </c>
      <c r="G631" s="2">
        <f t="shared" si="86"/>
        <v>397</v>
      </c>
      <c r="H631" s="19" t="str">
        <f t="shared" si="88"/>
        <v>5.1-31</v>
      </c>
      <c r="I631" s="2" t="str">
        <f t="shared" si="87"/>
        <v>ხმ</v>
      </c>
    </row>
    <row r="632" spans="1:9" x14ac:dyDescent="0.25">
      <c r="A632" s="2">
        <v>32</v>
      </c>
      <c r="B632" s="2" t="s">
        <v>561</v>
      </c>
      <c r="C632" s="2" t="s">
        <v>312</v>
      </c>
      <c r="D632" s="2">
        <v>600</v>
      </c>
      <c r="E632" s="2">
        <v>417</v>
      </c>
      <c r="F632" s="2">
        <v>417</v>
      </c>
      <c r="G632" s="2">
        <f t="shared" si="86"/>
        <v>417</v>
      </c>
      <c r="H632" s="19" t="str">
        <f t="shared" si="88"/>
        <v>5.1-32</v>
      </c>
      <c r="I632" s="2" t="str">
        <f t="shared" si="87"/>
        <v>ხმ</v>
      </c>
    </row>
    <row r="633" spans="1:9" x14ac:dyDescent="0.25">
      <c r="A633" s="2">
        <v>33</v>
      </c>
      <c r="B633" s="2" t="s">
        <v>562</v>
      </c>
      <c r="C633" s="2" t="s">
        <v>312</v>
      </c>
      <c r="D633" s="2">
        <v>600</v>
      </c>
      <c r="E633" s="2">
        <v>386</v>
      </c>
      <c r="F633" s="2">
        <v>386</v>
      </c>
      <c r="G633" s="2">
        <f t="shared" si="86"/>
        <v>386</v>
      </c>
      <c r="H633" s="19" t="str">
        <f t="shared" si="88"/>
        <v>5.1-33</v>
      </c>
      <c r="I633" s="2" t="str">
        <f t="shared" si="87"/>
        <v>ხმ</v>
      </c>
    </row>
    <row r="634" spans="1:9" x14ac:dyDescent="0.25">
      <c r="A634" s="2">
        <v>34</v>
      </c>
      <c r="B634" s="2" t="s">
        <v>563</v>
      </c>
      <c r="C634" s="2" t="s">
        <v>312</v>
      </c>
      <c r="D634" s="2">
        <v>600</v>
      </c>
      <c r="E634" s="2">
        <v>412</v>
      </c>
      <c r="F634" s="2">
        <v>412</v>
      </c>
      <c r="G634" s="2">
        <f t="shared" si="86"/>
        <v>412</v>
      </c>
      <c r="H634" s="19" t="str">
        <f t="shared" si="88"/>
        <v>5.1-34</v>
      </c>
      <c r="I634" s="2" t="str">
        <f t="shared" si="87"/>
        <v>ხმ</v>
      </c>
    </row>
    <row r="635" spans="1:9" x14ac:dyDescent="0.25">
      <c r="A635" s="2">
        <v>35</v>
      </c>
      <c r="B635" s="2" t="s">
        <v>564</v>
      </c>
      <c r="C635" s="2" t="s">
        <v>312</v>
      </c>
      <c r="D635" s="2">
        <v>600</v>
      </c>
      <c r="E635" s="2">
        <v>371</v>
      </c>
      <c r="F635" s="2">
        <v>371</v>
      </c>
      <c r="G635" s="2">
        <f t="shared" si="86"/>
        <v>371</v>
      </c>
      <c r="H635" s="19" t="str">
        <f t="shared" si="88"/>
        <v>5.1-35</v>
      </c>
      <c r="I635" s="2" t="str">
        <f t="shared" si="87"/>
        <v>ხმ</v>
      </c>
    </row>
    <row r="636" spans="1:9" x14ac:dyDescent="0.25">
      <c r="A636" s="2">
        <v>36</v>
      </c>
      <c r="B636" s="2" t="s">
        <v>565</v>
      </c>
      <c r="C636" s="2" t="s">
        <v>312</v>
      </c>
      <c r="D636" s="2">
        <v>550</v>
      </c>
      <c r="E636" s="2">
        <v>610</v>
      </c>
      <c r="F636" s="2">
        <v>610</v>
      </c>
      <c r="G636" s="2">
        <f t="shared" si="86"/>
        <v>610</v>
      </c>
      <c r="H636" s="19" t="str">
        <f t="shared" si="88"/>
        <v>5.1-36</v>
      </c>
      <c r="I636" s="2" t="str">
        <f t="shared" si="87"/>
        <v>ხმ</v>
      </c>
    </row>
    <row r="637" spans="1:9" x14ac:dyDescent="0.25">
      <c r="A637" s="2">
        <v>37</v>
      </c>
      <c r="B637" s="2" t="s">
        <v>566</v>
      </c>
      <c r="C637" s="2" t="s">
        <v>312</v>
      </c>
      <c r="D637" s="2">
        <v>600</v>
      </c>
      <c r="E637" s="2">
        <v>590</v>
      </c>
      <c r="F637" s="2">
        <v>590</v>
      </c>
      <c r="G637" s="2">
        <f t="shared" si="86"/>
        <v>590</v>
      </c>
      <c r="H637" s="19" t="str">
        <f t="shared" si="88"/>
        <v>5.1-37</v>
      </c>
      <c r="I637" s="2" t="str">
        <f t="shared" si="87"/>
        <v>ხმ</v>
      </c>
    </row>
    <row r="638" spans="1:9" x14ac:dyDescent="0.25">
      <c r="A638" s="2"/>
      <c r="B638" s="2" t="s">
        <v>25</v>
      </c>
      <c r="C638" s="2"/>
      <c r="D638" s="2"/>
      <c r="E638" s="2"/>
      <c r="F638" s="2"/>
      <c r="G638" s="2"/>
      <c r="H638" s="19"/>
      <c r="I638" s="2" t="str">
        <f t="shared" si="87"/>
        <v>ხმ</v>
      </c>
    </row>
    <row r="639" spans="1:9" x14ac:dyDescent="0.25">
      <c r="A639" s="2">
        <v>88</v>
      </c>
      <c r="B639" s="2" t="s">
        <v>567</v>
      </c>
      <c r="C639" s="2" t="s">
        <v>99</v>
      </c>
      <c r="D639" s="2">
        <v>0</v>
      </c>
      <c r="E639" s="2">
        <v>7.3</v>
      </c>
      <c r="F639" s="2">
        <v>7.3</v>
      </c>
      <c r="G639" s="2">
        <f t="shared" ref="G639:G653" si="89">(E639+F639)/2</f>
        <v>7.3</v>
      </c>
      <c r="H639" s="19" t="str">
        <f t="shared" si="88"/>
        <v>5.1-88</v>
      </c>
      <c r="I639" s="2" t="str">
        <f t="shared" si="87"/>
        <v>ხმ</v>
      </c>
    </row>
    <row r="640" spans="1:9" x14ac:dyDescent="0.25">
      <c r="A640" s="2">
        <v>89</v>
      </c>
      <c r="B640" s="2" t="s">
        <v>568</v>
      </c>
      <c r="C640" s="2" t="s">
        <v>99</v>
      </c>
      <c r="D640" s="2">
        <v>0</v>
      </c>
      <c r="E640" s="2">
        <v>10.8</v>
      </c>
      <c r="F640" s="2">
        <v>10.8</v>
      </c>
      <c r="G640" s="2">
        <f t="shared" si="89"/>
        <v>10.8</v>
      </c>
      <c r="H640" s="19" t="str">
        <f t="shared" si="88"/>
        <v>5.1-89</v>
      </c>
      <c r="I640" s="2" t="str">
        <f t="shared" si="87"/>
        <v>ხმ</v>
      </c>
    </row>
    <row r="641" spans="1:9" x14ac:dyDescent="0.25">
      <c r="A641" s="2">
        <v>90</v>
      </c>
      <c r="B641" s="2" t="s">
        <v>569</v>
      </c>
      <c r="C641" s="2" t="s">
        <v>99</v>
      </c>
      <c r="D641" s="2">
        <v>0</v>
      </c>
      <c r="E641" s="2">
        <v>14.2</v>
      </c>
      <c r="F641" s="2">
        <v>14.2</v>
      </c>
      <c r="G641" s="2">
        <f t="shared" si="89"/>
        <v>14.2</v>
      </c>
      <c r="H641" s="19" t="str">
        <f t="shared" si="88"/>
        <v>5.1-90</v>
      </c>
      <c r="I641" s="2" t="str">
        <f t="shared" si="87"/>
        <v>ხმ</v>
      </c>
    </row>
    <row r="642" spans="1:9" x14ac:dyDescent="0.25">
      <c r="A642" s="2">
        <v>91</v>
      </c>
      <c r="B642" s="2" t="s">
        <v>570</v>
      </c>
      <c r="C642" s="2" t="s">
        <v>99</v>
      </c>
      <c r="D642" s="2">
        <v>0</v>
      </c>
      <c r="E642" s="2">
        <v>17.100000000000001</v>
      </c>
      <c r="F642" s="2">
        <v>17.100000000000001</v>
      </c>
      <c r="G642" s="2">
        <f t="shared" si="89"/>
        <v>17.100000000000001</v>
      </c>
      <c r="H642" s="19" t="str">
        <f t="shared" si="88"/>
        <v>5.1-91</v>
      </c>
      <c r="I642" s="2" t="str">
        <f t="shared" si="87"/>
        <v>ხმ</v>
      </c>
    </row>
    <row r="643" spans="1:9" x14ac:dyDescent="0.25">
      <c r="A643" s="2">
        <v>92</v>
      </c>
      <c r="B643" s="2" t="s">
        <v>571</v>
      </c>
      <c r="C643" s="2" t="s">
        <v>99</v>
      </c>
      <c r="D643" s="2">
        <v>2.1</v>
      </c>
      <c r="E643" s="2">
        <v>4.7</v>
      </c>
      <c r="F643" s="2">
        <v>4.7</v>
      </c>
      <c r="G643" s="2">
        <f t="shared" si="89"/>
        <v>4.7</v>
      </c>
      <c r="H643" s="19" t="str">
        <f t="shared" si="88"/>
        <v>5.1-92</v>
      </c>
      <c r="I643" s="2" t="str">
        <f t="shared" si="87"/>
        <v>ხმ</v>
      </c>
    </row>
    <row r="644" spans="1:9" x14ac:dyDescent="0.25">
      <c r="A644" s="2">
        <v>93</v>
      </c>
      <c r="B644" s="2" t="s">
        <v>572</v>
      </c>
      <c r="C644" s="2" t="s">
        <v>99</v>
      </c>
      <c r="D644" s="2">
        <v>2.8</v>
      </c>
      <c r="E644" s="2">
        <v>5.5</v>
      </c>
      <c r="F644" s="2">
        <v>5.5</v>
      </c>
      <c r="G644" s="2">
        <f t="shared" si="89"/>
        <v>5.5</v>
      </c>
      <c r="H644" s="19" t="str">
        <f t="shared" si="88"/>
        <v>5.1-93</v>
      </c>
      <c r="I644" s="2" t="str">
        <f t="shared" si="87"/>
        <v>ხმ</v>
      </c>
    </row>
    <row r="645" spans="1:9" x14ac:dyDescent="0.25">
      <c r="A645" s="2">
        <v>94</v>
      </c>
      <c r="B645" s="2" t="s">
        <v>573</v>
      </c>
      <c r="C645" s="2" t="s">
        <v>99</v>
      </c>
      <c r="D645" s="2">
        <v>3.5</v>
      </c>
      <c r="E645" s="2">
        <v>5.8</v>
      </c>
      <c r="F645" s="2">
        <v>5.8</v>
      </c>
      <c r="G645" s="2">
        <f t="shared" si="89"/>
        <v>5.8</v>
      </c>
      <c r="H645" s="19" t="str">
        <f t="shared" si="88"/>
        <v>5.1-94</v>
      </c>
      <c r="I645" s="2" t="str">
        <f t="shared" si="87"/>
        <v>ხმ</v>
      </c>
    </row>
    <row r="646" spans="1:9" x14ac:dyDescent="0.25">
      <c r="A646" s="2">
        <v>95</v>
      </c>
      <c r="B646" s="2" t="s">
        <v>574</v>
      </c>
      <c r="C646" s="2" t="s">
        <v>99</v>
      </c>
      <c r="D646" s="2">
        <v>4.2</v>
      </c>
      <c r="E646" s="2">
        <v>6.6</v>
      </c>
      <c r="F646" s="2">
        <v>6.6</v>
      </c>
      <c r="G646" s="2">
        <f t="shared" si="89"/>
        <v>6.6</v>
      </c>
      <c r="H646" s="19" t="str">
        <f t="shared" si="88"/>
        <v>5.1-95</v>
      </c>
      <c r="I646" s="2" t="str">
        <f t="shared" si="87"/>
        <v>ხმ</v>
      </c>
    </row>
    <row r="647" spans="1:9" x14ac:dyDescent="0.25">
      <c r="A647" s="2">
        <v>96</v>
      </c>
      <c r="B647" s="2" t="s">
        <v>575</v>
      </c>
      <c r="C647" s="2" t="s">
        <v>99</v>
      </c>
      <c r="D647" s="2">
        <v>5.6</v>
      </c>
      <c r="E647" s="2">
        <v>8.4</v>
      </c>
      <c r="F647" s="2">
        <v>8.4</v>
      </c>
      <c r="G647" s="2">
        <f t="shared" si="89"/>
        <v>8.4</v>
      </c>
      <c r="H647" s="19" t="str">
        <f t="shared" si="88"/>
        <v>5.1-96</v>
      </c>
      <c r="I647" s="2" t="str">
        <f t="shared" si="87"/>
        <v>ხმ</v>
      </c>
    </row>
    <row r="648" spans="1:9" x14ac:dyDescent="0.25">
      <c r="A648" s="2">
        <v>97</v>
      </c>
      <c r="B648" s="2" t="s">
        <v>576</v>
      </c>
      <c r="C648" s="2" t="s">
        <v>99</v>
      </c>
      <c r="D648" s="2">
        <v>6.3</v>
      </c>
      <c r="E648" s="2">
        <v>8.6999999999999993</v>
      </c>
      <c r="F648" s="2">
        <v>8.6999999999999993</v>
      </c>
      <c r="G648" s="2">
        <f t="shared" si="89"/>
        <v>8.6999999999999993</v>
      </c>
      <c r="H648" s="19" t="str">
        <f t="shared" si="88"/>
        <v>5.1-97</v>
      </c>
      <c r="I648" s="2" t="str">
        <f t="shared" si="87"/>
        <v>ხმ</v>
      </c>
    </row>
    <row r="649" spans="1:9" x14ac:dyDescent="0.25">
      <c r="A649" s="2">
        <v>98</v>
      </c>
      <c r="B649" s="2" t="s">
        <v>577</v>
      </c>
      <c r="C649" s="2" t="s">
        <v>99</v>
      </c>
      <c r="D649" s="2">
        <v>7</v>
      </c>
      <c r="E649" s="2">
        <v>9.8000000000000007</v>
      </c>
      <c r="F649" s="2">
        <v>9.8000000000000007</v>
      </c>
      <c r="G649" s="2">
        <f t="shared" si="89"/>
        <v>9.8000000000000007</v>
      </c>
      <c r="H649" s="19" t="str">
        <f t="shared" si="88"/>
        <v>5.1-98</v>
      </c>
      <c r="I649" s="2" t="str">
        <f t="shared" si="87"/>
        <v>ხმ</v>
      </c>
    </row>
    <row r="650" spans="1:9" x14ac:dyDescent="0.25">
      <c r="A650" s="2">
        <v>99</v>
      </c>
      <c r="B650" s="2" t="s">
        <v>578</v>
      </c>
      <c r="C650" s="2" t="s">
        <v>99</v>
      </c>
      <c r="D650" s="2">
        <v>8.4</v>
      </c>
      <c r="E650" s="2">
        <v>12.8</v>
      </c>
      <c r="F650" s="2">
        <v>12.8</v>
      </c>
      <c r="G650" s="2">
        <f t="shared" si="89"/>
        <v>12.8</v>
      </c>
      <c r="H650" s="19" t="str">
        <f t="shared" si="88"/>
        <v>5.1-99</v>
      </c>
      <c r="I650" s="2" t="str">
        <f t="shared" si="87"/>
        <v>ხმ</v>
      </c>
    </row>
    <row r="651" spans="1:9" x14ac:dyDescent="0.25">
      <c r="A651" s="2">
        <v>100</v>
      </c>
      <c r="B651" s="2" t="s">
        <v>579</v>
      </c>
      <c r="C651" s="2" t="s">
        <v>99</v>
      </c>
      <c r="D651" s="2">
        <v>11.2</v>
      </c>
      <c r="E651" s="2">
        <v>15.7</v>
      </c>
      <c r="F651" s="2">
        <v>15.7</v>
      </c>
      <c r="G651" s="2">
        <f t="shared" si="89"/>
        <v>15.7</v>
      </c>
      <c r="H651" s="19" t="str">
        <f t="shared" si="88"/>
        <v>5.1-100</v>
      </c>
      <c r="I651" s="2" t="str">
        <f t="shared" si="87"/>
        <v>ხმ</v>
      </c>
    </row>
    <row r="652" spans="1:9" x14ac:dyDescent="0.25">
      <c r="A652" s="2">
        <v>101</v>
      </c>
      <c r="B652" s="2" t="s">
        <v>580</v>
      </c>
      <c r="C652" s="2" t="s">
        <v>99</v>
      </c>
      <c r="D652" s="2">
        <v>12.6</v>
      </c>
      <c r="E652" s="2">
        <v>17.5</v>
      </c>
      <c r="F652" s="2">
        <v>17.5</v>
      </c>
      <c r="G652" s="2">
        <f t="shared" si="89"/>
        <v>17.5</v>
      </c>
      <c r="H652" s="19" t="str">
        <f t="shared" si="88"/>
        <v>5.1-101</v>
      </c>
      <c r="I652" s="2" t="str">
        <f t="shared" si="87"/>
        <v>ხმ</v>
      </c>
    </row>
    <row r="653" spans="1:9" x14ac:dyDescent="0.25">
      <c r="A653" s="2">
        <v>102</v>
      </c>
      <c r="B653" s="2" t="s">
        <v>581</v>
      </c>
      <c r="C653" s="2" t="s">
        <v>99</v>
      </c>
      <c r="D653" s="2">
        <v>14.7</v>
      </c>
      <c r="E653" s="2">
        <v>18.899999999999999</v>
      </c>
      <c r="F653" s="2">
        <v>18.899999999999999</v>
      </c>
      <c r="G653" s="2">
        <f t="shared" si="89"/>
        <v>18.899999999999999</v>
      </c>
      <c r="H653" s="19" t="str">
        <f t="shared" si="88"/>
        <v>5.1-102</v>
      </c>
      <c r="I653" s="2" t="str">
        <f t="shared" si="87"/>
        <v>ხმ</v>
      </c>
    </row>
    <row r="654" spans="1:9" x14ac:dyDescent="0.25">
      <c r="A654" s="2"/>
      <c r="B654" s="2" t="s">
        <v>25</v>
      </c>
      <c r="C654" s="2"/>
      <c r="D654" s="2"/>
      <c r="E654" s="2"/>
      <c r="F654" s="2"/>
      <c r="G654" s="2"/>
      <c r="H654" s="19"/>
      <c r="I654" s="2" t="str">
        <f t="shared" si="87"/>
        <v>ხმ</v>
      </c>
    </row>
    <row r="655" spans="1:9" x14ac:dyDescent="0.25">
      <c r="A655" s="2">
        <v>138</v>
      </c>
      <c r="B655" s="2" t="s">
        <v>582</v>
      </c>
      <c r="C655" s="2" t="s">
        <v>99</v>
      </c>
      <c r="D655" s="2">
        <v>10.5</v>
      </c>
      <c r="E655" s="2">
        <v>16</v>
      </c>
      <c r="F655" s="2">
        <v>16</v>
      </c>
      <c r="G655" s="2">
        <f>(E655+F655)/2</f>
        <v>16</v>
      </c>
      <c r="H655" s="19" t="str">
        <f t="shared" si="88"/>
        <v>5.1-138</v>
      </c>
      <c r="I655" s="2" t="str">
        <f t="shared" si="87"/>
        <v>ხმ</v>
      </c>
    </row>
    <row r="656" spans="1:9" ht="20.25" thickBot="1" x14ac:dyDescent="0.3">
      <c r="A656" s="2"/>
      <c r="B656" s="2" t="s">
        <v>25</v>
      </c>
      <c r="C656" s="2"/>
      <c r="D656" s="2"/>
      <c r="E656" s="2"/>
      <c r="F656" s="2"/>
      <c r="G656" s="2"/>
      <c r="H656" s="19"/>
      <c r="I656" s="2" t="str">
        <f t="shared" si="87"/>
        <v>ხმ</v>
      </c>
    </row>
    <row r="657" spans="1:9" ht="21" thickTop="1" thickBot="1" x14ac:dyDescent="0.3">
      <c r="A657" s="4"/>
      <c r="B657" s="4" t="s">
        <v>583</v>
      </c>
      <c r="C657" s="4"/>
      <c r="D657" s="4"/>
      <c r="E657" s="4"/>
      <c r="F657" s="4"/>
      <c r="G657" s="4"/>
      <c r="H657" s="7"/>
      <c r="I657" s="7" t="s">
        <v>682</v>
      </c>
    </row>
    <row r="658" spans="1:9" ht="20.25" thickTop="1" x14ac:dyDescent="0.25">
      <c r="A658" s="2">
        <v>1</v>
      </c>
      <c r="B658" s="2" t="s">
        <v>584</v>
      </c>
      <c r="C658" s="2" t="s">
        <v>66</v>
      </c>
      <c r="D658" s="2">
        <v>0</v>
      </c>
      <c r="E658" s="2">
        <v>93.2</v>
      </c>
      <c r="F658" s="2">
        <v>93.2</v>
      </c>
      <c r="G658" s="2">
        <f t="shared" ref="G658:G672" si="90">(E658+F658)/2</f>
        <v>93.2</v>
      </c>
      <c r="H658" s="19" t="str">
        <f t="shared" ref="H658:H661" si="91">"11.2-"&amp;A658</f>
        <v>11.2-1</v>
      </c>
      <c r="I658" s="2" t="str">
        <f>$I$657</f>
        <v>სხ</v>
      </c>
    </row>
    <row r="659" spans="1:9" x14ac:dyDescent="0.25">
      <c r="A659" s="2">
        <v>2</v>
      </c>
      <c r="B659" s="2" t="s">
        <v>585</v>
      </c>
      <c r="C659" s="2" t="s">
        <v>66</v>
      </c>
      <c r="D659" s="2">
        <v>0</v>
      </c>
      <c r="E659" s="2">
        <v>12.71</v>
      </c>
      <c r="F659" s="2">
        <v>12.71</v>
      </c>
      <c r="G659" s="2">
        <f t="shared" si="90"/>
        <v>12.71</v>
      </c>
      <c r="H659" s="19" t="str">
        <f t="shared" si="91"/>
        <v>11.2-2</v>
      </c>
      <c r="I659" s="2" t="str">
        <f t="shared" ref="I659:I672" si="92">$I$657</f>
        <v>სხ</v>
      </c>
    </row>
    <row r="660" spans="1:9" x14ac:dyDescent="0.25">
      <c r="A660" s="2">
        <v>3</v>
      </c>
      <c r="B660" s="2" t="s">
        <v>586</v>
      </c>
      <c r="C660" s="2" t="s">
        <v>14</v>
      </c>
      <c r="D660" s="2">
        <v>0</v>
      </c>
      <c r="E660" s="2">
        <v>94</v>
      </c>
      <c r="F660" s="2">
        <v>186</v>
      </c>
      <c r="G660" s="2">
        <f t="shared" si="90"/>
        <v>140</v>
      </c>
      <c r="H660" s="19" t="str">
        <f t="shared" si="91"/>
        <v>11.2-3</v>
      </c>
      <c r="I660" s="2" t="str">
        <f t="shared" si="92"/>
        <v>სხ</v>
      </c>
    </row>
    <row r="661" spans="1:9" x14ac:dyDescent="0.25">
      <c r="A661" s="2">
        <v>4</v>
      </c>
      <c r="B661" s="2" t="s">
        <v>587</v>
      </c>
      <c r="C661" s="2" t="s">
        <v>66</v>
      </c>
      <c r="D661" s="2">
        <v>0</v>
      </c>
      <c r="E661" s="2">
        <v>42.4</v>
      </c>
      <c r="F661" s="2">
        <v>42.4</v>
      </c>
      <c r="G661" s="2">
        <f t="shared" si="90"/>
        <v>42.4</v>
      </c>
      <c r="H661" s="19" t="str">
        <f t="shared" si="91"/>
        <v>11.2-4</v>
      </c>
      <c r="I661" s="2" t="str">
        <f t="shared" si="92"/>
        <v>სხ</v>
      </c>
    </row>
    <row r="662" spans="1:9" x14ac:dyDescent="0.25">
      <c r="A662" s="2">
        <v>5</v>
      </c>
      <c r="B662" s="2" t="s">
        <v>588</v>
      </c>
      <c r="C662" s="2" t="s">
        <v>66</v>
      </c>
      <c r="D662" s="2">
        <v>0</v>
      </c>
      <c r="E662" s="2">
        <v>57.6</v>
      </c>
      <c r="F662" s="2">
        <v>57.6</v>
      </c>
      <c r="G662" s="2">
        <f t="shared" si="90"/>
        <v>57.6</v>
      </c>
      <c r="H662" s="19" t="str">
        <f>"11.2-"&amp;A662</f>
        <v>11.2-5</v>
      </c>
      <c r="I662" s="2" t="str">
        <f t="shared" si="92"/>
        <v>სხ</v>
      </c>
    </row>
    <row r="663" spans="1:9" x14ac:dyDescent="0.25">
      <c r="A663" s="2">
        <v>6</v>
      </c>
      <c r="B663" s="2" t="s">
        <v>589</v>
      </c>
      <c r="C663" s="2" t="s">
        <v>66</v>
      </c>
      <c r="D663" s="2">
        <v>0</v>
      </c>
      <c r="E663" s="2">
        <v>169</v>
      </c>
      <c r="F663" s="2">
        <v>212</v>
      </c>
      <c r="G663" s="2">
        <f t="shared" si="90"/>
        <v>190.5</v>
      </c>
      <c r="H663" s="19" t="str">
        <f>"11.2-"&amp;A663</f>
        <v>11.2-6</v>
      </c>
      <c r="I663" s="2" t="str">
        <f t="shared" si="92"/>
        <v>სხ</v>
      </c>
    </row>
    <row r="664" spans="1:9" x14ac:dyDescent="0.25">
      <c r="A664" s="2">
        <v>7</v>
      </c>
      <c r="B664" s="2" t="s">
        <v>590</v>
      </c>
      <c r="C664" s="2" t="s">
        <v>66</v>
      </c>
      <c r="D664" s="2">
        <v>0</v>
      </c>
      <c r="E664" s="2">
        <v>29.7</v>
      </c>
      <c r="F664" s="2">
        <v>29.7</v>
      </c>
      <c r="G664" s="2">
        <f t="shared" si="90"/>
        <v>29.7</v>
      </c>
      <c r="H664" s="19" t="str">
        <f t="shared" ref="H664:H672" si="93">"11.2-"&amp;A664</f>
        <v>11.2-7</v>
      </c>
      <c r="I664" s="2" t="str">
        <f t="shared" si="92"/>
        <v>სხ</v>
      </c>
    </row>
    <row r="665" spans="1:9" x14ac:dyDescent="0.25">
      <c r="A665" s="2">
        <v>8</v>
      </c>
      <c r="B665" s="2" t="s">
        <v>591</v>
      </c>
      <c r="C665" s="2" t="s">
        <v>66</v>
      </c>
      <c r="D665" s="2">
        <v>0</v>
      </c>
      <c r="E665" s="2">
        <v>13</v>
      </c>
      <c r="F665" s="2">
        <v>64</v>
      </c>
      <c r="G665" s="2">
        <f t="shared" si="90"/>
        <v>38.5</v>
      </c>
      <c r="H665" s="19" t="str">
        <f t="shared" si="93"/>
        <v>11.2-8</v>
      </c>
      <c r="I665" s="2" t="str">
        <f t="shared" si="92"/>
        <v>სხ</v>
      </c>
    </row>
    <row r="666" spans="1:9" x14ac:dyDescent="0.25">
      <c r="A666" s="2">
        <v>9</v>
      </c>
      <c r="B666" s="2" t="s">
        <v>592</v>
      </c>
      <c r="C666" s="2" t="s">
        <v>66</v>
      </c>
      <c r="D666" s="2">
        <v>0</v>
      </c>
      <c r="E666" s="2">
        <v>380.2</v>
      </c>
      <c r="F666" s="2">
        <v>380.2</v>
      </c>
      <c r="G666" s="2">
        <f t="shared" si="90"/>
        <v>380.2</v>
      </c>
      <c r="H666" s="19" t="str">
        <f t="shared" si="93"/>
        <v>11.2-9</v>
      </c>
      <c r="I666" s="2" t="str">
        <f t="shared" si="92"/>
        <v>სხ</v>
      </c>
    </row>
    <row r="667" spans="1:9" x14ac:dyDescent="0.25">
      <c r="A667" s="2">
        <v>10</v>
      </c>
      <c r="B667" s="2" t="s">
        <v>593</v>
      </c>
      <c r="C667" s="2" t="s">
        <v>595</v>
      </c>
      <c r="D667" s="2">
        <v>0</v>
      </c>
      <c r="E667" s="2">
        <v>2.9</v>
      </c>
      <c r="F667" s="2">
        <v>2.9</v>
      </c>
      <c r="G667" s="2">
        <f t="shared" si="90"/>
        <v>2.9</v>
      </c>
      <c r="H667" s="19" t="str">
        <f t="shared" si="93"/>
        <v>11.2-10</v>
      </c>
      <c r="I667" s="2" t="str">
        <f t="shared" si="92"/>
        <v>სხ</v>
      </c>
    </row>
    <row r="668" spans="1:9" x14ac:dyDescent="0.25">
      <c r="A668" s="2">
        <v>11</v>
      </c>
      <c r="B668" s="2" t="s">
        <v>594</v>
      </c>
      <c r="C668" s="2" t="s">
        <v>66</v>
      </c>
      <c r="D668" s="2">
        <v>0</v>
      </c>
      <c r="E668" s="2">
        <v>13</v>
      </c>
      <c r="F668" s="2">
        <v>22</v>
      </c>
      <c r="G668" s="2">
        <f t="shared" si="90"/>
        <v>17.5</v>
      </c>
      <c r="H668" s="19" t="str">
        <f t="shared" si="93"/>
        <v>11.2-11</v>
      </c>
      <c r="I668" s="2" t="str">
        <f t="shared" si="92"/>
        <v>სხ</v>
      </c>
    </row>
    <row r="669" spans="1:9" x14ac:dyDescent="0.25">
      <c r="A669" s="2">
        <v>12</v>
      </c>
      <c r="B669" s="2" t="s">
        <v>596</v>
      </c>
      <c r="C669" s="2" t="s">
        <v>66</v>
      </c>
      <c r="D669" s="2">
        <v>0</v>
      </c>
      <c r="E669" s="2">
        <v>30</v>
      </c>
      <c r="F669" s="2">
        <v>30</v>
      </c>
      <c r="G669" s="2">
        <f t="shared" si="90"/>
        <v>30</v>
      </c>
      <c r="H669" s="19" t="str">
        <f t="shared" si="93"/>
        <v>11.2-12</v>
      </c>
      <c r="I669" s="2" t="str">
        <f t="shared" si="92"/>
        <v>სხ</v>
      </c>
    </row>
    <row r="670" spans="1:9" x14ac:dyDescent="0.25">
      <c r="A670" s="2">
        <v>13</v>
      </c>
      <c r="B670" s="2" t="s">
        <v>600</v>
      </c>
      <c r="C670" s="2" t="s">
        <v>66</v>
      </c>
      <c r="D670" s="2">
        <v>0</v>
      </c>
      <c r="E670" s="2">
        <v>390</v>
      </c>
      <c r="F670" s="2">
        <v>440</v>
      </c>
      <c r="G670" s="2">
        <f t="shared" si="90"/>
        <v>415</v>
      </c>
      <c r="H670" s="19" t="str">
        <f t="shared" si="93"/>
        <v>11.2-13</v>
      </c>
      <c r="I670" s="2" t="str">
        <f t="shared" si="92"/>
        <v>სხ</v>
      </c>
    </row>
    <row r="671" spans="1:9" x14ac:dyDescent="0.25">
      <c r="A671" s="2">
        <v>14</v>
      </c>
      <c r="B671" s="2" t="s">
        <v>597</v>
      </c>
      <c r="C671" s="2" t="s">
        <v>599</v>
      </c>
      <c r="D671" s="2">
        <v>0</v>
      </c>
      <c r="E671" s="2">
        <v>42</v>
      </c>
      <c r="F671" s="2">
        <v>42</v>
      </c>
      <c r="G671" s="2">
        <f t="shared" si="90"/>
        <v>42</v>
      </c>
      <c r="H671" s="19" t="str">
        <f t="shared" si="93"/>
        <v>11.2-14</v>
      </c>
      <c r="I671" s="2" t="str">
        <f t="shared" si="92"/>
        <v>სხ</v>
      </c>
    </row>
    <row r="672" spans="1:9" x14ac:dyDescent="0.25">
      <c r="A672" s="2">
        <v>15</v>
      </c>
      <c r="B672" s="2" t="s">
        <v>598</v>
      </c>
      <c r="C672" s="2" t="s">
        <v>66</v>
      </c>
      <c r="D672" s="2">
        <v>0</v>
      </c>
      <c r="E672" s="2">
        <v>145</v>
      </c>
      <c r="F672" s="2">
        <v>145</v>
      </c>
      <c r="G672" s="2">
        <f t="shared" si="90"/>
        <v>145</v>
      </c>
      <c r="H672" s="19" t="str">
        <f t="shared" si="93"/>
        <v>11.2-15</v>
      </c>
      <c r="I672" s="2" t="str">
        <f t="shared" si="92"/>
        <v>სხ</v>
      </c>
    </row>
    <row r="673" spans="1:9" x14ac:dyDescent="0.25">
      <c r="A673" s="2"/>
      <c r="B673" s="2"/>
      <c r="C673" s="2"/>
      <c r="D673" s="2"/>
      <c r="E673" s="2"/>
      <c r="F673" s="2"/>
      <c r="G673" s="2"/>
      <c r="H673" s="19"/>
      <c r="I673" s="2"/>
    </row>
    <row r="674" spans="1:9" x14ac:dyDescent="0.25">
      <c r="A674" s="2"/>
      <c r="B674" s="2"/>
      <c r="C674" s="2"/>
      <c r="D674" s="2"/>
      <c r="E674" s="2"/>
      <c r="F674" s="2"/>
      <c r="G674" s="2"/>
      <c r="H674" s="19"/>
      <c r="I674" s="2"/>
    </row>
    <row r="675" spans="1:9" x14ac:dyDescent="0.25">
      <c r="A675" s="2"/>
      <c r="B675" s="2"/>
      <c r="C675" s="2"/>
      <c r="D675" s="2"/>
      <c r="E675" s="2"/>
      <c r="F675" s="2"/>
      <c r="G675" s="2"/>
      <c r="H675" s="19"/>
      <c r="I675" s="2"/>
    </row>
    <row r="676" spans="1:9" ht="20.25" thickBot="1" x14ac:dyDescent="0.3">
      <c r="A676" s="2"/>
      <c r="B676" s="2"/>
      <c r="C676" s="2"/>
      <c r="D676" s="2"/>
      <c r="E676" s="2"/>
      <c r="F676" s="2"/>
      <c r="G676" s="2"/>
      <c r="H676" s="19"/>
      <c r="I676" s="2"/>
    </row>
    <row r="677" spans="1:9" ht="21" thickTop="1" thickBot="1" x14ac:dyDescent="0.3">
      <c r="A677" s="4"/>
      <c r="B677" s="4" t="s">
        <v>394</v>
      </c>
      <c r="C677" s="4"/>
      <c r="D677" s="4"/>
      <c r="E677" s="4"/>
      <c r="F677" s="18"/>
      <c r="G677" s="18"/>
      <c r="H677" s="20"/>
      <c r="I677" s="20"/>
    </row>
    <row r="678" spans="1:9" ht="20.25" thickTop="1" x14ac:dyDescent="0.25">
      <c r="A678" s="2">
        <v>1</v>
      </c>
      <c r="B678" s="2" t="s">
        <v>677</v>
      </c>
      <c r="C678" s="2" t="s">
        <v>393</v>
      </c>
      <c r="D678" s="2">
        <v>0</v>
      </c>
      <c r="E678" s="2">
        <v>3.2</v>
      </c>
      <c r="F678" s="2">
        <v>3.2</v>
      </c>
      <c r="G678" s="2">
        <f>(E678+F678)/2</f>
        <v>3.2</v>
      </c>
      <c r="H678" s="19" t="s">
        <v>676</v>
      </c>
      <c r="I678" s="2"/>
    </row>
    <row r="679" spans="1:9" x14ac:dyDescent="0.25">
      <c r="A679" s="2"/>
      <c r="B679" s="2"/>
      <c r="C679" s="2"/>
      <c r="D679" s="2"/>
      <c r="E679" s="2"/>
      <c r="F679" s="2"/>
      <c r="G679" s="2"/>
      <c r="H679" s="19"/>
      <c r="I679" s="2"/>
    </row>
    <row r="680" spans="1:9" x14ac:dyDescent="0.25">
      <c r="A680" s="2"/>
      <c r="B680" s="2"/>
      <c r="C680" s="2"/>
      <c r="D680" s="2"/>
      <c r="E680" s="2"/>
      <c r="F680" s="2"/>
      <c r="G680" s="2"/>
      <c r="H680" s="19"/>
      <c r="I680" s="2"/>
    </row>
    <row r="681" spans="1:9" x14ac:dyDescent="0.25">
      <c r="A681" s="2"/>
      <c r="B681" s="2"/>
      <c r="C681" s="2"/>
      <c r="D681" s="2"/>
      <c r="E681" s="2"/>
      <c r="F681" s="2"/>
      <c r="G681" s="2"/>
      <c r="H681" s="19"/>
      <c r="I681" s="2"/>
    </row>
    <row r="682" spans="1:9" x14ac:dyDescent="0.25">
      <c r="A682" s="2"/>
      <c r="B682" s="2"/>
      <c r="C682" s="2"/>
      <c r="D682" s="2"/>
      <c r="E682" s="2"/>
      <c r="F682" s="2"/>
      <c r="G682" s="2"/>
      <c r="H682" s="19"/>
      <c r="I682" s="2"/>
    </row>
    <row r="683" spans="1:9" x14ac:dyDescent="0.25">
      <c r="A683" s="2"/>
      <c r="B683" s="2"/>
      <c r="C683" s="2"/>
      <c r="D683" s="2"/>
      <c r="E683" s="2"/>
      <c r="F683" s="2"/>
      <c r="G683" s="2"/>
      <c r="H683" s="19"/>
      <c r="I683" s="2"/>
    </row>
    <row r="684" spans="1:9" x14ac:dyDescent="0.25">
      <c r="A684" s="2"/>
      <c r="B684" s="2"/>
      <c r="C684" s="2"/>
      <c r="D684" s="2"/>
      <c r="E684" s="2"/>
      <c r="F684" s="2"/>
      <c r="G684" s="2"/>
      <c r="H684" s="19"/>
      <c r="I684" s="2"/>
    </row>
    <row r="685" spans="1:9" x14ac:dyDescent="0.25">
      <c r="A685" s="2"/>
      <c r="B685" s="2"/>
      <c r="C685" s="2"/>
      <c r="D685" s="2"/>
      <c r="E685" s="2"/>
      <c r="F685" s="2"/>
      <c r="G685" s="2"/>
      <c r="H685" s="19"/>
      <c r="I685" s="2"/>
    </row>
    <row r="686" spans="1:9" x14ac:dyDescent="0.25">
      <c r="A686" s="2"/>
      <c r="B686" s="2"/>
      <c r="C686" s="2"/>
      <c r="D686" s="2"/>
      <c r="E686" s="2"/>
      <c r="F686" s="2"/>
      <c r="G686" s="2"/>
      <c r="H686" s="19"/>
      <c r="I686" s="2"/>
    </row>
    <row r="687" spans="1:9" x14ac:dyDescent="0.25">
      <c r="A687" s="2"/>
      <c r="B687" s="2"/>
      <c r="C687" s="2"/>
      <c r="D687" s="2"/>
      <c r="E687" s="2"/>
      <c r="F687" s="2"/>
      <c r="G687" s="2"/>
      <c r="H687" s="19"/>
      <c r="I687" s="2"/>
    </row>
    <row r="688" spans="1:9" x14ac:dyDescent="0.25">
      <c r="A688" s="2"/>
      <c r="B688" s="2"/>
      <c r="C688" s="2"/>
      <c r="D688" s="2"/>
      <c r="E688" s="2"/>
      <c r="F688" s="2"/>
      <c r="G688" s="2"/>
      <c r="H688" s="19"/>
      <c r="I688" s="2"/>
    </row>
    <row r="689" spans="1:9" x14ac:dyDescent="0.25">
      <c r="A689" s="2"/>
      <c r="B689" s="2"/>
      <c r="C689" s="2"/>
      <c r="D689" s="2"/>
      <c r="E689" s="2"/>
      <c r="F689" s="2"/>
      <c r="G689" s="2"/>
      <c r="H689" s="19"/>
      <c r="I689" s="2"/>
    </row>
    <row r="690" spans="1:9" x14ac:dyDescent="0.25">
      <c r="A690" s="2"/>
      <c r="B690" s="2"/>
      <c r="C690" s="2"/>
      <c r="D690" s="2"/>
      <c r="E690" s="2"/>
      <c r="F690" s="2"/>
      <c r="G690" s="2"/>
      <c r="H690" s="19"/>
      <c r="I690" s="2"/>
    </row>
    <row r="691" spans="1:9" x14ac:dyDescent="0.25">
      <c r="A691" s="2"/>
      <c r="B691" s="2"/>
      <c r="C691" s="2"/>
      <c r="D691" s="2"/>
      <c r="E691" s="2"/>
      <c r="F691" s="2"/>
      <c r="G691" s="2"/>
      <c r="H691" s="19"/>
      <c r="I691" s="2"/>
    </row>
    <row r="692" spans="1:9" x14ac:dyDescent="0.25">
      <c r="A692" s="2"/>
      <c r="B692" s="2"/>
      <c r="C692" s="2"/>
      <c r="D692" s="2"/>
      <c r="E692" s="2"/>
      <c r="F692" s="2"/>
      <c r="G692" s="2"/>
      <c r="H692" s="19"/>
      <c r="I692" s="2"/>
    </row>
    <row r="693" spans="1:9" x14ac:dyDescent="0.25">
      <c r="A693" s="2"/>
      <c r="B693" s="2"/>
      <c r="C693" s="2"/>
      <c r="D693" s="2"/>
      <c r="E693" s="2"/>
      <c r="F693" s="2"/>
      <c r="G693" s="2"/>
      <c r="H693" s="19"/>
      <c r="I693" s="2"/>
    </row>
    <row r="694" spans="1:9" x14ac:dyDescent="0.25">
      <c r="A694" s="2"/>
      <c r="B694" s="2"/>
      <c r="C694" s="2"/>
      <c r="D694" s="2"/>
      <c r="E694" s="2"/>
      <c r="F694" s="2"/>
      <c r="G694" s="2"/>
      <c r="H694" s="19"/>
      <c r="I694" s="2"/>
    </row>
    <row r="695" spans="1:9" x14ac:dyDescent="0.25">
      <c r="A695" s="2"/>
      <c r="B695" s="2"/>
      <c r="C695" s="2"/>
      <c r="D695" s="2"/>
      <c r="E695" s="2"/>
      <c r="F695" s="2"/>
      <c r="G695" s="2"/>
      <c r="H695" s="19"/>
      <c r="I695" s="2"/>
    </row>
    <row r="696" spans="1:9" x14ac:dyDescent="0.25">
      <c r="A696" s="2"/>
      <c r="B696" s="2"/>
      <c r="C696" s="2"/>
      <c r="D696" s="2"/>
      <c r="E696" s="2"/>
      <c r="F696" s="2"/>
      <c r="G696" s="2"/>
      <c r="H696" s="19"/>
      <c r="I696" s="2"/>
    </row>
    <row r="697" spans="1:9" x14ac:dyDescent="0.25">
      <c r="A697" s="2"/>
      <c r="B697" s="2"/>
      <c r="C697" s="2"/>
      <c r="D697" s="2"/>
      <c r="E697" s="2"/>
      <c r="F697" s="2"/>
      <c r="G697" s="2"/>
      <c r="H697" s="19"/>
      <c r="I697" s="2"/>
    </row>
    <row r="698" spans="1:9" x14ac:dyDescent="0.25">
      <c r="A698" s="2"/>
      <c r="B698" s="2"/>
      <c r="C698" s="2"/>
      <c r="D698" s="2"/>
      <c r="E698" s="2"/>
      <c r="F698" s="2"/>
      <c r="G698" s="2"/>
      <c r="H698" s="19"/>
      <c r="I698" s="2"/>
    </row>
    <row r="699" spans="1:9" ht="20.25" thickBot="1" x14ac:dyDescent="0.3">
      <c r="A699" s="2"/>
      <c r="B699" s="2"/>
      <c r="C699" s="2"/>
      <c r="D699" s="2"/>
      <c r="E699" s="2"/>
      <c r="F699" s="2"/>
      <c r="G699" s="2"/>
      <c r="H699" s="19"/>
      <c r="I699" s="2"/>
    </row>
    <row r="700" spans="1:9" ht="21" thickTop="1" thickBot="1" x14ac:dyDescent="0.3">
      <c r="A700" s="4"/>
      <c r="B700" s="4" t="s">
        <v>394</v>
      </c>
      <c r="C700" s="4"/>
      <c r="D700" s="4"/>
      <c r="E700" s="4"/>
      <c r="F700" s="4"/>
      <c r="G700" s="4"/>
      <c r="H700" s="7"/>
      <c r="I700" s="7" t="s">
        <v>679</v>
      </c>
    </row>
    <row r="701" spans="1:9" ht="20.25" thickTop="1" x14ac:dyDescent="0.25">
      <c r="A701" s="2">
        <v>338</v>
      </c>
      <c r="B701" s="2" t="s">
        <v>794</v>
      </c>
      <c r="C701" s="2" t="s">
        <v>312</v>
      </c>
      <c r="D701" s="2">
        <v>2400</v>
      </c>
      <c r="E701" s="2">
        <f>E427</f>
        <v>87</v>
      </c>
      <c r="F701" s="2">
        <f>F427</f>
        <v>87</v>
      </c>
      <c r="G701" s="2">
        <f t="shared" ref="G701:G710" si="94">(E701+F701)/2</f>
        <v>87</v>
      </c>
      <c r="H701" s="19" t="str">
        <f t="shared" ref="H701:H710" si="95">"4.1-"&amp;A701</f>
        <v>4.1-338</v>
      </c>
      <c r="I701" s="2" t="str">
        <f>$I$700</f>
        <v>მბ</v>
      </c>
    </row>
    <row r="702" spans="1:9" x14ac:dyDescent="0.25">
      <c r="A702" s="2">
        <v>339</v>
      </c>
      <c r="B702" s="2" t="s">
        <v>795</v>
      </c>
      <c r="C702" s="2" t="s">
        <v>312</v>
      </c>
      <c r="D702" s="2">
        <v>2400</v>
      </c>
      <c r="E702" s="2">
        <f t="shared" ref="E702:F710" si="96">E428</f>
        <v>89</v>
      </c>
      <c r="F702" s="2">
        <f t="shared" si="96"/>
        <v>89</v>
      </c>
      <c r="G702" s="2">
        <f t="shared" si="94"/>
        <v>89</v>
      </c>
      <c r="H702" s="19" t="str">
        <f t="shared" si="95"/>
        <v>4.1-339</v>
      </c>
      <c r="I702" s="2" t="str">
        <f t="shared" ref="I702:I712" si="97">$I$700</f>
        <v>მბ</v>
      </c>
    </row>
    <row r="703" spans="1:9" x14ac:dyDescent="0.25">
      <c r="A703" s="2">
        <v>340</v>
      </c>
      <c r="B703" s="2" t="s">
        <v>796</v>
      </c>
      <c r="C703" s="2" t="s">
        <v>312</v>
      </c>
      <c r="D703" s="2">
        <v>2400</v>
      </c>
      <c r="E703" s="2">
        <f t="shared" si="96"/>
        <v>93</v>
      </c>
      <c r="F703" s="2">
        <f t="shared" si="96"/>
        <v>93</v>
      </c>
      <c r="G703" s="2">
        <f t="shared" si="94"/>
        <v>93</v>
      </c>
      <c r="H703" s="19" t="str">
        <f t="shared" si="95"/>
        <v>4.1-340</v>
      </c>
      <c r="I703" s="2" t="str">
        <f t="shared" si="97"/>
        <v>მბ</v>
      </c>
    </row>
    <row r="704" spans="1:9" x14ac:dyDescent="0.25">
      <c r="A704" s="2">
        <v>341</v>
      </c>
      <c r="B704" s="2" t="s">
        <v>797</v>
      </c>
      <c r="C704" s="2" t="s">
        <v>312</v>
      </c>
      <c r="D704" s="2">
        <v>2400</v>
      </c>
      <c r="E704" s="2">
        <f t="shared" si="96"/>
        <v>97</v>
      </c>
      <c r="F704" s="2">
        <f t="shared" si="96"/>
        <v>97</v>
      </c>
      <c r="G704" s="2">
        <f t="shared" si="94"/>
        <v>97</v>
      </c>
      <c r="H704" s="19" t="str">
        <f t="shared" si="95"/>
        <v>4.1-341</v>
      </c>
      <c r="I704" s="2" t="str">
        <f t="shared" si="97"/>
        <v>მბ</v>
      </c>
    </row>
    <row r="705" spans="1:9" x14ac:dyDescent="0.25">
      <c r="A705" s="2">
        <v>342</v>
      </c>
      <c r="B705" s="2" t="s">
        <v>798</v>
      </c>
      <c r="C705" s="2" t="s">
        <v>312</v>
      </c>
      <c r="D705" s="2">
        <v>2400</v>
      </c>
      <c r="E705" s="2">
        <f t="shared" si="96"/>
        <v>102</v>
      </c>
      <c r="F705" s="2">
        <f t="shared" si="96"/>
        <v>102</v>
      </c>
      <c r="G705" s="2">
        <f t="shared" si="94"/>
        <v>102</v>
      </c>
      <c r="H705" s="19" t="str">
        <f t="shared" si="95"/>
        <v>4.1-342</v>
      </c>
      <c r="I705" s="2" t="str">
        <f t="shared" si="97"/>
        <v>მბ</v>
      </c>
    </row>
    <row r="706" spans="1:9" x14ac:dyDescent="0.25">
      <c r="A706" s="2">
        <v>343</v>
      </c>
      <c r="B706" s="2" t="s">
        <v>799</v>
      </c>
      <c r="C706" s="2" t="s">
        <v>312</v>
      </c>
      <c r="D706" s="2">
        <v>2400</v>
      </c>
      <c r="E706" s="2">
        <f t="shared" si="96"/>
        <v>106</v>
      </c>
      <c r="F706" s="2">
        <f t="shared" si="96"/>
        <v>106</v>
      </c>
      <c r="G706" s="2">
        <f t="shared" si="94"/>
        <v>106</v>
      </c>
      <c r="H706" s="19" t="str">
        <f t="shared" si="95"/>
        <v>4.1-343</v>
      </c>
      <c r="I706" s="2" t="str">
        <f t="shared" si="97"/>
        <v>მბ</v>
      </c>
    </row>
    <row r="707" spans="1:9" x14ac:dyDescent="0.25">
      <c r="A707" s="2">
        <v>344</v>
      </c>
      <c r="B707" s="2" t="s">
        <v>800</v>
      </c>
      <c r="C707" s="2" t="s">
        <v>312</v>
      </c>
      <c r="D707" s="2">
        <v>2400</v>
      </c>
      <c r="E707" s="2">
        <f t="shared" si="96"/>
        <v>108</v>
      </c>
      <c r="F707" s="2">
        <f t="shared" si="96"/>
        <v>108</v>
      </c>
      <c r="G707" s="2">
        <f t="shared" si="94"/>
        <v>108</v>
      </c>
      <c r="H707" s="19" t="str">
        <f t="shared" si="95"/>
        <v>4.1-344</v>
      </c>
      <c r="I707" s="2" t="str">
        <f t="shared" si="97"/>
        <v>მბ</v>
      </c>
    </row>
    <row r="708" spans="1:9" x14ac:dyDescent="0.25">
      <c r="A708" s="2">
        <v>345</v>
      </c>
      <c r="B708" s="2" t="s">
        <v>801</v>
      </c>
      <c r="C708" s="2" t="s">
        <v>312</v>
      </c>
      <c r="D708" s="2">
        <v>2400</v>
      </c>
      <c r="E708" s="2">
        <f t="shared" si="96"/>
        <v>113</v>
      </c>
      <c r="F708" s="2">
        <f t="shared" si="96"/>
        <v>113</v>
      </c>
      <c r="G708" s="2">
        <f t="shared" si="94"/>
        <v>113</v>
      </c>
      <c r="H708" s="19" t="str">
        <f t="shared" si="95"/>
        <v>4.1-345</v>
      </c>
      <c r="I708" s="2" t="str">
        <f t="shared" si="97"/>
        <v>მბ</v>
      </c>
    </row>
    <row r="709" spans="1:9" x14ac:dyDescent="0.25">
      <c r="A709" s="2">
        <v>346</v>
      </c>
      <c r="B709" s="2" t="s">
        <v>802</v>
      </c>
      <c r="C709" s="2" t="s">
        <v>312</v>
      </c>
      <c r="D709" s="2">
        <v>2400</v>
      </c>
      <c r="E709" s="2">
        <f t="shared" si="96"/>
        <v>121</v>
      </c>
      <c r="F709" s="2">
        <f t="shared" si="96"/>
        <v>121</v>
      </c>
      <c r="G709" s="2">
        <f t="shared" si="94"/>
        <v>121</v>
      </c>
      <c r="H709" s="19" t="str">
        <f t="shared" si="95"/>
        <v>4.1-346</v>
      </c>
      <c r="I709" s="2" t="str">
        <f t="shared" si="97"/>
        <v>მბ</v>
      </c>
    </row>
    <row r="710" spans="1:9" x14ac:dyDescent="0.25">
      <c r="A710" s="2">
        <v>347</v>
      </c>
      <c r="B710" s="2" t="s">
        <v>803</v>
      </c>
      <c r="C710" s="2" t="s">
        <v>312</v>
      </c>
      <c r="D710" s="2">
        <v>2400</v>
      </c>
      <c r="E710" s="2">
        <f t="shared" si="96"/>
        <v>130</v>
      </c>
      <c r="F710" s="2">
        <f t="shared" si="96"/>
        <v>130</v>
      </c>
      <c r="G710" s="2">
        <f t="shared" si="94"/>
        <v>130</v>
      </c>
      <c r="H710" s="19" t="str">
        <f t="shared" si="95"/>
        <v>4.1-347</v>
      </c>
      <c r="I710" s="2" t="str">
        <f t="shared" si="97"/>
        <v>მბ</v>
      </c>
    </row>
    <row r="711" spans="1:9" x14ac:dyDescent="0.25">
      <c r="A711" s="2">
        <v>1</v>
      </c>
      <c r="B711" s="2" t="s">
        <v>693</v>
      </c>
      <c r="C711" s="2" t="s">
        <v>312</v>
      </c>
      <c r="D711" s="2">
        <v>0</v>
      </c>
      <c r="E711" s="2">
        <v>3.6</v>
      </c>
      <c r="F711" s="2">
        <v>3.6</v>
      </c>
      <c r="G711" s="2">
        <v>3.6</v>
      </c>
      <c r="H711" s="19" t="s">
        <v>694</v>
      </c>
      <c r="I711" s="2" t="s">
        <v>845</v>
      </c>
    </row>
    <row r="712" spans="1:9" x14ac:dyDescent="0.25">
      <c r="A712" s="2">
        <v>2</v>
      </c>
      <c r="B712" s="17" t="s">
        <v>853</v>
      </c>
      <c r="C712" s="2" t="s">
        <v>28</v>
      </c>
      <c r="D712" s="2">
        <v>1</v>
      </c>
      <c r="E712" s="2">
        <v>3.2</v>
      </c>
      <c r="F712" s="2">
        <v>3.8</v>
      </c>
      <c r="G712" s="2">
        <v>3.6</v>
      </c>
      <c r="H712" s="19" t="s">
        <v>694</v>
      </c>
      <c r="I712" s="2" t="str">
        <f t="shared" si="97"/>
        <v>მბ</v>
      </c>
    </row>
    <row r="713" spans="1:9" x14ac:dyDescent="0.25">
      <c r="A713" s="2">
        <v>3</v>
      </c>
      <c r="B713" s="17" t="s">
        <v>862</v>
      </c>
      <c r="C713" s="2" t="s">
        <v>66</v>
      </c>
      <c r="D713" s="2">
        <f>2.5*6.26</f>
        <v>15.649999999999999</v>
      </c>
      <c r="E713" s="2">
        <f>11.6*2.5</f>
        <v>29</v>
      </c>
      <c r="F713" s="2">
        <f>11.6*2.5</f>
        <v>29</v>
      </c>
      <c r="G713" s="2">
        <f t="shared" ref="G713" si="98">(E713+F713)/2</f>
        <v>29</v>
      </c>
      <c r="H713" s="19" t="s">
        <v>676</v>
      </c>
      <c r="I713" s="2" t="s">
        <v>460</v>
      </c>
    </row>
    <row r="714" spans="1:9" x14ac:dyDescent="0.25">
      <c r="A714" s="2">
        <v>4</v>
      </c>
      <c r="B714" s="17" t="s">
        <v>864</v>
      </c>
      <c r="C714" s="2" t="s">
        <v>66</v>
      </c>
      <c r="D714" s="14">
        <f>3.5*9.77</f>
        <v>34.195</v>
      </c>
      <c r="E714" s="2">
        <f>17.3*3.5</f>
        <v>60.550000000000004</v>
      </c>
      <c r="F714" s="2">
        <f>17.3*3.5</f>
        <v>60.550000000000004</v>
      </c>
      <c r="G714" s="2">
        <f>17.3*3.5</f>
        <v>60.550000000000004</v>
      </c>
      <c r="H714" s="19" t="s">
        <v>676</v>
      </c>
      <c r="I714" s="2" t="s">
        <v>460</v>
      </c>
    </row>
    <row r="715" spans="1:9" x14ac:dyDescent="0.25">
      <c r="A715" s="2">
        <v>5</v>
      </c>
      <c r="B715" s="17" t="s">
        <v>868</v>
      </c>
      <c r="C715" s="2" t="s">
        <v>66</v>
      </c>
      <c r="D715" s="2">
        <f>4*10.85</f>
        <v>43.4</v>
      </c>
      <c r="E715" s="2">
        <f>18.3*4</f>
        <v>73.2</v>
      </c>
      <c r="F715" s="2">
        <f>18.3*4</f>
        <v>73.2</v>
      </c>
      <c r="G715" s="2">
        <f>18.3*4</f>
        <v>73.2</v>
      </c>
      <c r="H715" s="19" t="s">
        <v>676</v>
      </c>
      <c r="I715" s="2" t="s">
        <v>460</v>
      </c>
    </row>
    <row r="716" spans="1:9" x14ac:dyDescent="0.25">
      <c r="A716" s="2">
        <v>6</v>
      </c>
      <c r="B716" s="17" t="s">
        <v>990</v>
      </c>
      <c r="C716" s="2"/>
      <c r="D716" s="13"/>
      <c r="E716" s="13">
        <v>72</v>
      </c>
      <c r="F716" s="13">
        <v>72</v>
      </c>
      <c r="G716" s="13">
        <v>72</v>
      </c>
      <c r="H716" s="19" t="s">
        <v>676</v>
      </c>
      <c r="I716" s="2" t="s">
        <v>460</v>
      </c>
    </row>
    <row r="717" spans="1:9" x14ac:dyDescent="0.25">
      <c r="A717" s="2">
        <v>7</v>
      </c>
      <c r="B717" s="17" t="s">
        <v>1017</v>
      </c>
      <c r="C717" s="2" t="s">
        <v>9</v>
      </c>
      <c r="D717" s="2">
        <v>1000</v>
      </c>
      <c r="E717" s="2">
        <v>3200</v>
      </c>
      <c r="F717" s="2">
        <v>3500</v>
      </c>
      <c r="G717" s="13">
        <v>72</v>
      </c>
      <c r="H717" s="19" t="s">
        <v>845</v>
      </c>
      <c r="I717" s="2" t="s">
        <v>460</v>
      </c>
    </row>
    <row r="718" spans="1:9" x14ac:dyDescent="0.25">
      <c r="A718" s="2">
        <v>9</v>
      </c>
      <c r="B718" s="2" t="s">
        <v>1147</v>
      </c>
      <c r="C718" s="2" t="s">
        <v>9</v>
      </c>
      <c r="D718" s="2">
        <v>1000</v>
      </c>
      <c r="E718" s="2">
        <v>4900</v>
      </c>
      <c r="F718" s="2">
        <v>5000</v>
      </c>
      <c r="G718" s="13">
        <v>72</v>
      </c>
      <c r="H718" s="19" t="s">
        <v>845</v>
      </c>
      <c r="I718" s="2" t="s">
        <v>682</v>
      </c>
    </row>
    <row r="719" spans="1:9" x14ac:dyDescent="0.25">
      <c r="A719" s="2">
        <v>10</v>
      </c>
      <c r="B719" s="2" t="s">
        <v>1148</v>
      </c>
      <c r="C719" s="2" t="s">
        <v>28</v>
      </c>
      <c r="D719" s="2">
        <v>1</v>
      </c>
      <c r="E719" s="2">
        <v>5</v>
      </c>
      <c r="F719" s="2">
        <v>10</v>
      </c>
      <c r="G719" s="13">
        <v>72</v>
      </c>
      <c r="H719" s="19" t="s">
        <v>845</v>
      </c>
      <c r="I719" s="2" t="s">
        <v>682</v>
      </c>
    </row>
    <row r="720" spans="1:9" x14ac:dyDescent="0.25">
      <c r="A720" s="2">
        <v>11</v>
      </c>
      <c r="B720" s="2" t="s">
        <v>1149</v>
      </c>
      <c r="C720" s="2" t="s">
        <v>99</v>
      </c>
      <c r="D720" s="2"/>
      <c r="E720" s="2">
        <v>3</v>
      </c>
      <c r="F720" s="2">
        <v>5</v>
      </c>
      <c r="G720" s="13">
        <v>72</v>
      </c>
      <c r="H720" s="19" t="s">
        <v>845</v>
      </c>
      <c r="I720" s="2" t="s">
        <v>682</v>
      </c>
    </row>
    <row r="721" spans="1:9" x14ac:dyDescent="0.25">
      <c r="A721" s="2">
        <v>12</v>
      </c>
      <c r="B721" s="2" t="s">
        <v>1128</v>
      </c>
      <c r="C721" s="2" t="s">
        <v>595</v>
      </c>
      <c r="D721" s="2">
        <v>0</v>
      </c>
      <c r="E721" s="2">
        <v>110</v>
      </c>
      <c r="F721" s="2">
        <v>150</v>
      </c>
      <c r="G721" s="2">
        <f t="shared" ref="G721:G723" si="99">(E721+F721)/2</f>
        <v>130</v>
      </c>
      <c r="H721" s="19" t="s">
        <v>845</v>
      </c>
      <c r="I721" s="2" t="s">
        <v>460</v>
      </c>
    </row>
    <row r="722" spans="1:9" x14ac:dyDescent="0.25">
      <c r="A722" s="2">
        <v>13</v>
      </c>
      <c r="B722" s="2" t="s">
        <v>1156</v>
      </c>
      <c r="C722" s="2" t="s">
        <v>312</v>
      </c>
      <c r="D722" s="2">
        <v>2500</v>
      </c>
      <c r="E722" s="2">
        <v>300</v>
      </c>
      <c r="F722" s="2">
        <v>350</v>
      </c>
      <c r="G722" s="2">
        <f t="shared" si="99"/>
        <v>325</v>
      </c>
      <c r="H722" s="19" t="s">
        <v>845</v>
      </c>
      <c r="I722" s="2" t="s">
        <v>680</v>
      </c>
    </row>
    <row r="723" spans="1:9" x14ac:dyDescent="0.25">
      <c r="A723" s="2">
        <v>14</v>
      </c>
      <c r="B723" s="2" t="s">
        <v>1176</v>
      </c>
      <c r="C723" s="2" t="s">
        <v>9</v>
      </c>
      <c r="D723" s="2">
        <v>1000</v>
      </c>
      <c r="E723" s="2">
        <v>3000</v>
      </c>
      <c r="F723" s="2">
        <v>4000</v>
      </c>
      <c r="G723" s="2">
        <f t="shared" si="99"/>
        <v>3500</v>
      </c>
      <c r="H723" s="19" t="s">
        <v>845</v>
      </c>
      <c r="I723" s="2" t="s">
        <v>460</v>
      </c>
    </row>
    <row r="724" spans="1:9" x14ac:dyDescent="0.25">
      <c r="A724" s="2">
        <v>15</v>
      </c>
      <c r="B724" s="2" t="s">
        <v>1178</v>
      </c>
      <c r="C724" s="2" t="s">
        <v>9</v>
      </c>
      <c r="D724" s="2">
        <v>1000</v>
      </c>
      <c r="E724" s="2">
        <v>2500</v>
      </c>
      <c r="F724" s="2">
        <v>3000</v>
      </c>
      <c r="G724" s="2">
        <f t="shared" ref="G724:G725" si="100">(E724+F724)/2</f>
        <v>2750</v>
      </c>
      <c r="H724" s="19" t="s">
        <v>845</v>
      </c>
      <c r="I724" s="2" t="s">
        <v>460</v>
      </c>
    </row>
    <row r="725" spans="1:9" x14ac:dyDescent="0.25">
      <c r="A725" s="2">
        <v>16</v>
      </c>
      <c r="B725" s="2" t="s">
        <v>1196</v>
      </c>
      <c r="C725" s="2" t="s">
        <v>595</v>
      </c>
      <c r="D725" s="2">
        <v>0</v>
      </c>
      <c r="E725" s="2">
        <v>3.81</v>
      </c>
      <c r="F725" s="2">
        <v>9.32</v>
      </c>
      <c r="G725" s="14">
        <f t="shared" si="100"/>
        <v>6.5650000000000004</v>
      </c>
      <c r="H725" s="19" t="s">
        <v>845</v>
      </c>
      <c r="I725" s="2" t="s">
        <v>682</v>
      </c>
    </row>
    <row r="726" spans="1:9" x14ac:dyDescent="0.25">
      <c r="A726" s="2"/>
      <c r="B726" s="2"/>
      <c r="C726" s="2"/>
      <c r="D726" s="2"/>
      <c r="E726" s="2"/>
      <c r="F726" s="2"/>
      <c r="G726" s="2"/>
      <c r="H726" s="19"/>
      <c r="I726" s="2"/>
    </row>
    <row r="727" spans="1:9" x14ac:dyDescent="0.25">
      <c r="A727" s="2"/>
      <c r="B727" s="2"/>
      <c r="C727" s="2"/>
      <c r="D727" s="2"/>
      <c r="E727" s="2"/>
      <c r="F727" s="2"/>
      <c r="G727" s="2"/>
      <c r="H727" s="19"/>
      <c r="I727" s="2"/>
    </row>
    <row r="728" spans="1:9" x14ac:dyDescent="0.25">
      <c r="A728" s="2"/>
      <c r="B728" s="2"/>
      <c r="C728" s="2"/>
      <c r="D728" s="2"/>
      <c r="E728" s="2"/>
      <c r="F728" s="2"/>
      <c r="G728" s="2"/>
      <c r="H728" s="19"/>
      <c r="I728" s="2"/>
    </row>
    <row r="729" spans="1:9" x14ac:dyDescent="0.25">
      <c r="A729" s="2"/>
      <c r="B729" s="2"/>
      <c r="C729" s="2"/>
      <c r="D729" s="2"/>
      <c r="E729" s="2"/>
      <c r="F729" s="2"/>
      <c r="G729" s="2"/>
      <c r="H729" s="19"/>
      <c r="I729" s="2"/>
    </row>
    <row r="730" spans="1:9" x14ac:dyDescent="0.25">
      <c r="A730" s="2"/>
      <c r="B730" s="2"/>
      <c r="C730" s="2"/>
      <c r="D730" s="2"/>
      <c r="E730" s="2"/>
      <c r="F730" s="2"/>
      <c r="G730" s="2"/>
      <c r="H730" s="19"/>
      <c r="I730" s="2"/>
    </row>
    <row r="731" spans="1:9" x14ac:dyDescent="0.25">
      <c r="A731" s="2"/>
      <c r="B731" s="2"/>
      <c r="C731" s="2"/>
      <c r="D731" s="2"/>
      <c r="E731" s="2"/>
      <c r="F731" s="2"/>
      <c r="G731" s="2"/>
      <c r="H731" s="19"/>
      <c r="I731" s="2"/>
    </row>
    <row r="732" spans="1:9" x14ac:dyDescent="0.25">
      <c r="A732" s="2"/>
      <c r="B732" s="2"/>
      <c r="C732" s="2"/>
      <c r="D732" s="2"/>
      <c r="E732" s="2"/>
      <c r="F732" s="2"/>
      <c r="G732" s="2"/>
      <c r="H732" s="19"/>
      <c r="I732" s="2"/>
    </row>
    <row r="733" spans="1:9" x14ac:dyDescent="0.25">
      <c r="A733" s="2"/>
      <c r="B733" s="2"/>
      <c r="C733" s="2"/>
      <c r="D733" s="2"/>
      <c r="E733" s="2"/>
      <c r="F733" s="2"/>
      <c r="G733" s="2"/>
      <c r="H733" s="19"/>
      <c r="I733" s="2"/>
    </row>
    <row r="734" spans="1:9" x14ac:dyDescent="0.25">
      <c r="A734" s="232" t="s">
        <v>655</v>
      </c>
      <c r="B734" s="233"/>
      <c r="C734" s="233"/>
      <c r="D734" s="233"/>
      <c r="E734" s="233"/>
      <c r="F734" s="233"/>
      <c r="G734" s="233"/>
      <c r="H734" s="233"/>
      <c r="I734" s="234"/>
    </row>
    <row r="735" spans="1:9" x14ac:dyDescent="0.25">
      <c r="A735" s="235"/>
      <c r="B735" s="236"/>
      <c r="C735" s="236"/>
      <c r="D735" s="236"/>
      <c r="E735" s="236"/>
      <c r="F735" s="236"/>
      <c r="G735" s="236"/>
      <c r="H735" s="236"/>
      <c r="I735" s="237"/>
    </row>
  </sheetData>
  <mergeCells count="9">
    <mergeCell ref="E2:G2"/>
    <mergeCell ref="H2:H3"/>
    <mergeCell ref="A734:I735"/>
    <mergeCell ref="I2:I3"/>
    <mergeCell ref="A1:I1"/>
    <mergeCell ref="A2:A3"/>
    <mergeCell ref="B2:B3"/>
    <mergeCell ref="C2:C3"/>
    <mergeCell ref="D2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98"/>
  <sheetViews>
    <sheetView topLeftCell="A94" zoomScale="70" zoomScaleNormal="70" workbookViewId="0">
      <selection activeCell="C94" sqref="C94"/>
    </sheetView>
  </sheetViews>
  <sheetFormatPr defaultColWidth="9.140625" defaultRowHeight="19.5" x14ac:dyDescent="0.25"/>
  <cols>
    <col min="1" max="1" width="8.7109375" style="3" customWidth="1"/>
    <col min="2" max="2" width="100.7109375" style="3" customWidth="1"/>
    <col min="3" max="5" width="10.7109375" style="3" customWidth="1"/>
    <col min="6" max="16384" width="9.140625" style="3"/>
  </cols>
  <sheetData>
    <row r="1" spans="1:5" ht="21" thickTop="1" thickBot="1" x14ac:dyDescent="0.3">
      <c r="A1" s="246" t="s">
        <v>157</v>
      </c>
      <c r="B1" s="247"/>
      <c r="C1" s="247"/>
      <c r="D1" s="247"/>
      <c r="E1" s="248"/>
    </row>
    <row r="2" spans="1:5" ht="16.5" customHeight="1" thickTop="1" thickBot="1" x14ac:dyDescent="0.3">
      <c r="A2" s="249" t="s">
        <v>0</v>
      </c>
      <c r="B2" s="249" t="s">
        <v>1</v>
      </c>
      <c r="C2" s="250" t="s">
        <v>154</v>
      </c>
      <c r="D2" s="251"/>
      <c r="E2" s="249" t="s">
        <v>6</v>
      </c>
    </row>
    <row r="3" spans="1:5" ht="21" thickTop="1" thickBot="1" x14ac:dyDescent="0.3">
      <c r="A3" s="249"/>
      <c r="B3" s="249"/>
      <c r="C3" s="4" t="s">
        <v>155</v>
      </c>
      <c r="D3" s="4" t="s">
        <v>156</v>
      </c>
      <c r="E3" s="249"/>
    </row>
    <row r="4" spans="1:5" ht="21" thickTop="1" thickBot="1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</row>
    <row r="5" spans="1:5" ht="21" thickTop="1" thickBot="1" x14ac:dyDescent="0.3">
      <c r="A5" s="4"/>
      <c r="B5" s="4"/>
      <c r="C5" s="4"/>
      <c r="D5" s="4"/>
      <c r="E5" s="4"/>
    </row>
    <row r="6" spans="1:5" ht="20.25" thickTop="1" x14ac:dyDescent="0.25">
      <c r="A6" s="2">
        <v>1</v>
      </c>
      <c r="B6" s="2" t="s">
        <v>158</v>
      </c>
      <c r="C6" s="2">
        <v>42.25</v>
      </c>
      <c r="D6" s="2">
        <v>8.5399999999999991</v>
      </c>
      <c r="E6" s="2" t="str">
        <f>"14-"&amp;A6</f>
        <v>14-1</v>
      </c>
    </row>
    <row r="7" spans="1:5" x14ac:dyDescent="0.25">
      <c r="A7" s="2"/>
      <c r="B7" s="2" t="s">
        <v>25</v>
      </c>
      <c r="C7" s="2"/>
      <c r="D7" s="2"/>
      <c r="E7" s="2"/>
    </row>
    <row r="8" spans="1:5" x14ac:dyDescent="0.25">
      <c r="A8" s="2">
        <v>4</v>
      </c>
      <c r="B8" s="2" t="s">
        <v>159</v>
      </c>
      <c r="C8" s="2">
        <v>54.75</v>
      </c>
      <c r="D8" s="2">
        <v>7.97</v>
      </c>
      <c r="E8" s="2" t="str">
        <f>"14-"&amp;A8</f>
        <v>14-4</v>
      </c>
    </row>
    <row r="9" spans="1:5" x14ac:dyDescent="0.25">
      <c r="A9" s="2">
        <v>5</v>
      </c>
      <c r="B9" s="2" t="s">
        <v>160</v>
      </c>
      <c r="C9" s="2">
        <v>1.29</v>
      </c>
      <c r="D9" s="2">
        <v>0.12</v>
      </c>
      <c r="E9" s="2" t="str">
        <f t="shared" ref="E9:E76" si="0">"14-"&amp;A9</f>
        <v>14-5</v>
      </c>
    </row>
    <row r="10" spans="1:5" x14ac:dyDescent="0.25">
      <c r="A10" s="2">
        <v>6</v>
      </c>
      <c r="B10" s="2" t="s">
        <v>161</v>
      </c>
      <c r="C10" s="2">
        <v>24.95</v>
      </c>
      <c r="D10" s="2">
        <v>8.26</v>
      </c>
      <c r="E10" s="2" t="str">
        <f t="shared" si="0"/>
        <v>14-6</v>
      </c>
    </row>
    <row r="11" spans="1:5" x14ac:dyDescent="0.25">
      <c r="A11" s="2">
        <v>7</v>
      </c>
      <c r="B11" s="2" t="s">
        <v>162</v>
      </c>
      <c r="C11" s="2">
        <v>34.74</v>
      </c>
      <c r="D11" s="2">
        <v>9.5</v>
      </c>
      <c r="E11" s="2" t="str">
        <f t="shared" si="0"/>
        <v>14-7</v>
      </c>
    </row>
    <row r="12" spans="1:5" x14ac:dyDescent="0.25">
      <c r="A12" s="2">
        <v>8</v>
      </c>
      <c r="B12" s="2" t="s">
        <v>163</v>
      </c>
      <c r="C12" s="2">
        <v>43.68</v>
      </c>
      <c r="D12" s="2">
        <v>9.6</v>
      </c>
      <c r="E12" s="2" t="str">
        <f t="shared" si="0"/>
        <v>14-8</v>
      </c>
    </row>
    <row r="13" spans="1:5" x14ac:dyDescent="0.25">
      <c r="A13" s="2">
        <v>9</v>
      </c>
      <c r="B13" s="2" t="s">
        <v>164</v>
      </c>
      <c r="C13" s="2">
        <v>50.83</v>
      </c>
      <c r="D13" s="2">
        <v>10.08</v>
      </c>
      <c r="E13" s="2" t="str">
        <f t="shared" si="0"/>
        <v>14-9</v>
      </c>
    </row>
    <row r="14" spans="1:5" x14ac:dyDescent="0.25">
      <c r="A14" s="2">
        <v>10</v>
      </c>
      <c r="B14" s="2" t="s">
        <v>165</v>
      </c>
      <c r="C14" s="2">
        <v>92.72</v>
      </c>
      <c r="D14" s="2">
        <v>14.4</v>
      </c>
      <c r="E14" s="2" t="str">
        <f t="shared" si="0"/>
        <v>14-10</v>
      </c>
    </row>
    <row r="15" spans="1:5" x14ac:dyDescent="0.25">
      <c r="A15" s="2">
        <v>11</v>
      </c>
      <c r="B15" s="2" t="s">
        <v>166</v>
      </c>
      <c r="C15" s="2">
        <v>18.440000000000001</v>
      </c>
      <c r="D15" s="2">
        <v>6.89</v>
      </c>
      <c r="E15" s="2" t="str">
        <f t="shared" si="0"/>
        <v>14-11</v>
      </c>
    </row>
    <row r="16" spans="1:5" x14ac:dyDescent="0.25">
      <c r="A16" s="2">
        <v>12</v>
      </c>
      <c r="B16" s="2" t="s">
        <v>167</v>
      </c>
      <c r="C16" s="2">
        <v>24.36</v>
      </c>
      <c r="D16" s="2">
        <v>7.87</v>
      </c>
      <c r="E16" s="2" t="str">
        <f t="shared" si="0"/>
        <v>14-12</v>
      </c>
    </row>
    <row r="17" spans="1:5" x14ac:dyDescent="0.25">
      <c r="A17" s="2">
        <v>13</v>
      </c>
      <c r="B17" s="2" t="s">
        <v>168</v>
      </c>
      <c r="C17" s="2">
        <v>48.67</v>
      </c>
      <c r="D17" s="2">
        <v>9.02</v>
      </c>
      <c r="E17" s="2" t="str">
        <f t="shared" si="0"/>
        <v>14-13</v>
      </c>
    </row>
    <row r="18" spans="1:5" x14ac:dyDescent="0.25">
      <c r="A18" s="2"/>
      <c r="B18" s="2" t="s">
        <v>25</v>
      </c>
      <c r="C18" s="2"/>
      <c r="D18" s="2"/>
      <c r="E18" s="2"/>
    </row>
    <row r="19" spans="1:5" x14ac:dyDescent="0.25">
      <c r="A19" s="2">
        <v>43</v>
      </c>
      <c r="B19" s="2" t="s">
        <v>169</v>
      </c>
      <c r="C19" s="2">
        <v>15.06</v>
      </c>
      <c r="D19" s="2">
        <v>7.76</v>
      </c>
      <c r="E19" s="2" t="str">
        <f t="shared" si="0"/>
        <v>14-43</v>
      </c>
    </row>
    <row r="20" spans="1:5" x14ac:dyDescent="0.25">
      <c r="A20" s="2">
        <v>44</v>
      </c>
      <c r="B20" s="2" t="s">
        <v>170</v>
      </c>
      <c r="C20" s="2">
        <v>31.25</v>
      </c>
      <c r="D20" s="2">
        <v>12</v>
      </c>
      <c r="E20" s="2" t="str">
        <f t="shared" si="0"/>
        <v>14-44</v>
      </c>
    </row>
    <row r="21" spans="1:5" x14ac:dyDescent="0.25">
      <c r="A21" s="2">
        <v>45</v>
      </c>
      <c r="B21" s="2" t="s">
        <v>171</v>
      </c>
      <c r="C21" s="2">
        <v>41.44</v>
      </c>
      <c r="D21" s="2">
        <v>9.0500000000000007</v>
      </c>
      <c r="E21" s="2" t="str">
        <f t="shared" si="0"/>
        <v>14-45</v>
      </c>
    </row>
    <row r="22" spans="1:5" x14ac:dyDescent="0.25">
      <c r="A22" s="2">
        <v>46</v>
      </c>
      <c r="B22" s="2" t="s">
        <v>172</v>
      </c>
      <c r="C22" s="2">
        <v>35.81</v>
      </c>
      <c r="D22" s="2">
        <v>12.29</v>
      </c>
      <c r="E22" s="2" t="str">
        <f t="shared" si="0"/>
        <v>14-46</v>
      </c>
    </row>
    <row r="23" spans="1:5" x14ac:dyDescent="0.25">
      <c r="A23" s="2">
        <v>47</v>
      </c>
      <c r="B23" s="2" t="s">
        <v>173</v>
      </c>
      <c r="C23" s="2">
        <v>30.47</v>
      </c>
      <c r="D23" s="2">
        <v>9.35</v>
      </c>
      <c r="E23" s="2" t="str">
        <f t="shared" si="0"/>
        <v>14-47</v>
      </c>
    </row>
    <row r="24" spans="1:5" x14ac:dyDescent="0.25">
      <c r="A24" s="2">
        <v>48</v>
      </c>
      <c r="B24" s="2" t="s">
        <v>174</v>
      </c>
      <c r="C24" s="2">
        <v>36.869999999999997</v>
      </c>
      <c r="D24" s="2">
        <v>14.6</v>
      </c>
      <c r="E24" s="2" t="str">
        <f t="shared" si="0"/>
        <v>14-48</v>
      </c>
    </row>
    <row r="25" spans="1:5" x14ac:dyDescent="0.25">
      <c r="A25" s="2">
        <v>49</v>
      </c>
      <c r="B25" s="2" t="s">
        <v>175</v>
      </c>
      <c r="C25" s="2">
        <v>43.84</v>
      </c>
      <c r="D25" s="2">
        <v>24.79</v>
      </c>
      <c r="E25" s="2" t="str">
        <f t="shared" si="0"/>
        <v>14-49</v>
      </c>
    </row>
    <row r="26" spans="1:5" x14ac:dyDescent="0.25">
      <c r="A26" s="2">
        <v>50</v>
      </c>
      <c r="B26" s="2" t="s">
        <v>176</v>
      </c>
      <c r="C26" s="2">
        <v>52.5</v>
      </c>
      <c r="D26" s="2">
        <v>29.95</v>
      </c>
      <c r="E26" s="2" t="str">
        <f t="shared" si="0"/>
        <v>14-50</v>
      </c>
    </row>
    <row r="27" spans="1:5" x14ac:dyDescent="0.25">
      <c r="A27" s="2">
        <v>51</v>
      </c>
      <c r="B27" s="2" t="s">
        <v>177</v>
      </c>
      <c r="C27" s="2">
        <v>29.28</v>
      </c>
      <c r="D27" s="2">
        <v>9.25</v>
      </c>
      <c r="E27" s="2" t="str">
        <f t="shared" si="0"/>
        <v>14-51</v>
      </c>
    </row>
    <row r="28" spans="1:5" x14ac:dyDescent="0.25">
      <c r="A28" s="2">
        <v>52</v>
      </c>
      <c r="B28" s="2" t="s">
        <v>178</v>
      </c>
      <c r="C28" s="2">
        <v>32.56</v>
      </c>
      <c r="D28" s="2">
        <v>13.5</v>
      </c>
      <c r="E28" s="2" t="str">
        <f t="shared" si="0"/>
        <v>14-52</v>
      </c>
    </row>
    <row r="29" spans="1:5" x14ac:dyDescent="0.25">
      <c r="A29" s="2">
        <v>53</v>
      </c>
      <c r="B29" s="2" t="s">
        <v>179</v>
      </c>
      <c r="C29" s="2">
        <v>39.64</v>
      </c>
      <c r="D29" s="2">
        <v>16.940000000000001</v>
      </c>
      <c r="E29" s="2" t="str">
        <f t="shared" si="0"/>
        <v>14-53</v>
      </c>
    </row>
    <row r="30" spans="1:5" x14ac:dyDescent="0.25">
      <c r="A30" s="2">
        <v>54</v>
      </c>
      <c r="B30" s="2" t="s">
        <v>180</v>
      </c>
      <c r="C30" s="2">
        <v>44.97</v>
      </c>
      <c r="D30" s="2">
        <v>16.940000000000001</v>
      </c>
      <c r="E30" s="2" t="str">
        <f t="shared" si="0"/>
        <v>14-54</v>
      </c>
    </row>
    <row r="31" spans="1:5" x14ac:dyDescent="0.25">
      <c r="A31" s="2">
        <v>55</v>
      </c>
      <c r="B31" s="2" t="s">
        <v>181</v>
      </c>
      <c r="C31" s="2">
        <v>55.48</v>
      </c>
      <c r="D31" s="2">
        <v>24.62</v>
      </c>
      <c r="E31" s="2" t="str">
        <f t="shared" si="0"/>
        <v>14-55</v>
      </c>
    </row>
    <row r="32" spans="1:5" x14ac:dyDescent="0.25">
      <c r="A32" s="2">
        <v>56</v>
      </c>
      <c r="B32" s="2" t="s">
        <v>182</v>
      </c>
      <c r="C32" s="2">
        <v>35.03</v>
      </c>
      <c r="D32" s="2">
        <v>8.41</v>
      </c>
      <c r="E32" s="2" t="str">
        <f t="shared" si="0"/>
        <v>14-56</v>
      </c>
    </row>
    <row r="33" spans="1:5" x14ac:dyDescent="0.25">
      <c r="A33" s="2">
        <v>57</v>
      </c>
      <c r="B33" s="2" t="s">
        <v>183</v>
      </c>
      <c r="C33" s="2">
        <v>37.72</v>
      </c>
      <c r="D33" s="2">
        <v>10.46</v>
      </c>
      <c r="E33" s="2" t="str">
        <f t="shared" si="0"/>
        <v>14-57</v>
      </c>
    </row>
    <row r="34" spans="1:5" x14ac:dyDescent="0.25">
      <c r="A34" s="2">
        <v>58</v>
      </c>
      <c r="B34" s="2" t="s">
        <v>184</v>
      </c>
      <c r="C34" s="2">
        <v>45.63</v>
      </c>
      <c r="D34" s="2">
        <v>13.25</v>
      </c>
      <c r="E34" s="2" t="str">
        <f t="shared" si="0"/>
        <v>14-58</v>
      </c>
    </row>
    <row r="35" spans="1:5" x14ac:dyDescent="0.25">
      <c r="A35" s="2">
        <v>59</v>
      </c>
      <c r="B35" s="2" t="s">
        <v>185</v>
      </c>
      <c r="C35" s="2">
        <v>52.73</v>
      </c>
      <c r="D35" s="2">
        <v>16.600000000000001</v>
      </c>
      <c r="E35" s="2" t="str">
        <f t="shared" si="0"/>
        <v>14-59</v>
      </c>
    </row>
    <row r="36" spans="1:5" x14ac:dyDescent="0.25">
      <c r="A36" s="2">
        <v>60</v>
      </c>
      <c r="B36" s="2" t="s">
        <v>186</v>
      </c>
      <c r="C36" s="2">
        <v>62.66</v>
      </c>
      <c r="D36" s="2">
        <v>17.739999999999998</v>
      </c>
      <c r="E36" s="2" t="str">
        <f t="shared" si="0"/>
        <v>14-60</v>
      </c>
    </row>
    <row r="37" spans="1:5" x14ac:dyDescent="0.25">
      <c r="A37" s="2">
        <v>61</v>
      </c>
      <c r="B37" s="2" t="s">
        <v>187</v>
      </c>
      <c r="C37" s="2">
        <v>38.61</v>
      </c>
      <c r="D37" s="2">
        <v>20.059999999999999</v>
      </c>
      <c r="E37" s="2" t="str">
        <f t="shared" si="0"/>
        <v>14-61</v>
      </c>
    </row>
    <row r="38" spans="1:5" x14ac:dyDescent="0.25">
      <c r="A38" s="2">
        <v>62</v>
      </c>
      <c r="B38" s="2" t="s">
        <v>188</v>
      </c>
      <c r="C38" s="2">
        <v>44.6</v>
      </c>
      <c r="D38" s="2">
        <v>23.23</v>
      </c>
      <c r="E38" s="2" t="str">
        <f t="shared" si="0"/>
        <v>14-62</v>
      </c>
    </row>
    <row r="39" spans="1:5" x14ac:dyDescent="0.25">
      <c r="A39" s="2">
        <v>63</v>
      </c>
      <c r="B39" s="2" t="s">
        <v>189</v>
      </c>
      <c r="C39" s="2">
        <v>61.9</v>
      </c>
      <c r="D39" s="2">
        <v>32.26</v>
      </c>
      <c r="E39" s="2" t="str">
        <f t="shared" si="0"/>
        <v>14-63</v>
      </c>
    </row>
    <row r="40" spans="1:5" x14ac:dyDescent="0.25">
      <c r="A40" s="2">
        <v>64</v>
      </c>
      <c r="B40" s="2" t="s">
        <v>190</v>
      </c>
      <c r="C40" s="2">
        <v>67.150000000000006</v>
      </c>
      <c r="D40" s="2">
        <v>31.87</v>
      </c>
      <c r="E40" s="2" t="str">
        <f t="shared" si="0"/>
        <v>14-64</v>
      </c>
    </row>
    <row r="41" spans="1:5" x14ac:dyDescent="0.25">
      <c r="A41" s="2">
        <v>65</v>
      </c>
      <c r="B41" s="2" t="s">
        <v>191</v>
      </c>
      <c r="C41" s="2">
        <v>92.12</v>
      </c>
      <c r="D41" s="2">
        <v>46.94</v>
      </c>
      <c r="E41" s="2" t="str">
        <f t="shared" si="0"/>
        <v>14-65</v>
      </c>
    </row>
    <row r="42" spans="1:5" x14ac:dyDescent="0.25">
      <c r="A42" s="2">
        <v>66</v>
      </c>
      <c r="B42" s="2" t="s">
        <v>192</v>
      </c>
      <c r="C42" s="2">
        <v>111.91</v>
      </c>
      <c r="D42" s="2">
        <v>43.42</v>
      </c>
      <c r="E42" s="2" t="str">
        <f t="shared" si="0"/>
        <v>14-66</v>
      </c>
    </row>
    <row r="43" spans="1:5" x14ac:dyDescent="0.25">
      <c r="A43" s="2">
        <v>67</v>
      </c>
      <c r="B43" s="2" t="s">
        <v>193</v>
      </c>
      <c r="C43" s="2">
        <v>21.98</v>
      </c>
      <c r="D43" s="2">
        <v>13.09</v>
      </c>
      <c r="E43" s="2" t="str">
        <f t="shared" si="0"/>
        <v>14-67</v>
      </c>
    </row>
    <row r="44" spans="1:5" x14ac:dyDescent="0.25">
      <c r="A44" s="2">
        <v>68</v>
      </c>
      <c r="B44" s="2" t="s">
        <v>194</v>
      </c>
      <c r="C44" s="2">
        <v>24.35</v>
      </c>
      <c r="D44" s="2">
        <v>11.59</v>
      </c>
      <c r="E44" s="2" t="str">
        <f t="shared" si="0"/>
        <v>14-68</v>
      </c>
    </row>
    <row r="45" spans="1:5" x14ac:dyDescent="0.25">
      <c r="A45" s="2">
        <v>69</v>
      </c>
      <c r="B45" s="2" t="s">
        <v>195</v>
      </c>
      <c r="C45" s="2">
        <v>28.79</v>
      </c>
      <c r="D45" s="2">
        <v>13.81</v>
      </c>
      <c r="E45" s="2" t="str">
        <f t="shared" si="0"/>
        <v>14-69</v>
      </c>
    </row>
    <row r="46" spans="1:5" x14ac:dyDescent="0.25">
      <c r="A46" s="2">
        <v>70</v>
      </c>
      <c r="B46" s="2" t="s">
        <v>196</v>
      </c>
      <c r="C46" s="2">
        <v>43.38</v>
      </c>
      <c r="D46" s="2">
        <v>22.37</v>
      </c>
      <c r="E46" s="2" t="str">
        <f t="shared" si="0"/>
        <v>14-70</v>
      </c>
    </row>
    <row r="47" spans="1:5" x14ac:dyDescent="0.25">
      <c r="A47" s="2">
        <v>71</v>
      </c>
      <c r="B47" s="2" t="s">
        <v>197</v>
      </c>
      <c r="C47" s="2">
        <v>47.87</v>
      </c>
      <c r="D47" s="2">
        <v>22.37</v>
      </c>
      <c r="E47" s="2" t="str">
        <f t="shared" si="0"/>
        <v>14-71</v>
      </c>
    </row>
    <row r="48" spans="1:5" x14ac:dyDescent="0.25">
      <c r="A48" s="2">
        <v>72</v>
      </c>
      <c r="B48" s="2" t="s">
        <v>198</v>
      </c>
      <c r="C48" s="2">
        <v>53.95</v>
      </c>
      <c r="D48" s="2">
        <v>23.42</v>
      </c>
      <c r="E48" s="2" t="str">
        <f t="shared" si="0"/>
        <v>14-72</v>
      </c>
    </row>
    <row r="49" spans="1:5" x14ac:dyDescent="0.25">
      <c r="A49" s="2"/>
      <c r="B49" s="2" t="s">
        <v>25</v>
      </c>
      <c r="C49" s="2"/>
      <c r="D49" s="2"/>
      <c r="E49" s="2"/>
    </row>
    <row r="50" spans="1:5" x14ac:dyDescent="0.25">
      <c r="A50" s="2">
        <v>80</v>
      </c>
      <c r="B50" s="2" t="s">
        <v>1195</v>
      </c>
      <c r="C50" s="2">
        <v>28.69</v>
      </c>
      <c r="D50" s="2">
        <v>9.7899999999999991</v>
      </c>
      <c r="E50" s="2" t="str">
        <f t="shared" si="0"/>
        <v>14-80</v>
      </c>
    </row>
    <row r="51" spans="1:5" x14ac:dyDescent="0.25">
      <c r="A51" s="2"/>
      <c r="B51" s="2" t="s">
        <v>25</v>
      </c>
      <c r="C51" s="2"/>
      <c r="D51" s="2"/>
      <c r="E51" s="2"/>
    </row>
    <row r="52" spans="1:5" x14ac:dyDescent="0.25">
      <c r="A52" s="2">
        <v>105</v>
      </c>
      <c r="B52" s="2" t="s">
        <v>1118</v>
      </c>
      <c r="C52" s="2">
        <v>26.9</v>
      </c>
      <c r="D52" s="2">
        <v>4.3600000000000003</v>
      </c>
      <c r="E52" s="2" t="str">
        <f t="shared" ref="E52" si="1">"14-"&amp;A52</f>
        <v>14-105</v>
      </c>
    </row>
    <row r="53" spans="1:5" x14ac:dyDescent="0.25">
      <c r="A53" s="2"/>
      <c r="B53" s="2" t="s">
        <v>25</v>
      </c>
      <c r="C53" s="2"/>
      <c r="D53" s="2"/>
      <c r="E53" s="2"/>
    </row>
    <row r="54" spans="1:5" x14ac:dyDescent="0.25">
      <c r="A54" s="2">
        <v>110</v>
      </c>
      <c r="B54" s="2" t="s">
        <v>199</v>
      </c>
      <c r="C54" s="2">
        <v>11.56</v>
      </c>
      <c r="D54" s="2">
        <v>23.42</v>
      </c>
      <c r="E54" s="2" t="str">
        <f t="shared" si="0"/>
        <v>14-110</v>
      </c>
    </row>
    <row r="55" spans="1:5" x14ac:dyDescent="0.25">
      <c r="A55" s="2">
        <v>111</v>
      </c>
      <c r="B55" s="2" t="s">
        <v>200</v>
      </c>
      <c r="C55" s="2">
        <v>26.27</v>
      </c>
      <c r="D55" s="2">
        <v>7.97</v>
      </c>
      <c r="E55" s="2" t="str">
        <f t="shared" si="0"/>
        <v>14-111</v>
      </c>
    </row>
    <row r="56" spans="1:5" x14ac:dyDescent="0.25">
      <c r="A56" s="2">
        <v>112</v>
      </c>
      <c r="B56" s="2" t="s">
        <v>201</v>
      </c>
      <c r="C56" s="2">
        <v>33.44</v>
      </c>
      <c r="D56" s="2">
        <v>7.97</v>
      </c>
      <c r="E56" s="2" t="str">
        <f t="shared" si="0"/>
        <v>14-112</v>
      </c>
    </row>
    <row r="57" spans="1:5" x14ac:dyDescent="0.25">
      <c r="A57" s="2">
        <v>113</v>
      </c>
      <c r="B57" s="2" t="s">
        <v>202</v>
      </c>
      <c r="C57" s="2">
        <v>24.82</v>
      </c>
      <c r="D57" s="2">
        <v>8.06</v>
      </c>
      <c r="E57" s="2" t="str">
        <f t="shared" si="0"/>
        <v>14-113</v>
      </c>
    </row>
    <row r="58" spans="1:5" x14ac:dyDescent="0.25">
      <c r="A58" s="2">
        <v>114</v>
      </c>
      <c r="B58" s="2" t="s">
        <v>204</v>
      </c>
      <c r="C58" s="2">
        <v>4.6100000000000003</v>
      </c>
      <c r="D58" s="2">
        <v>1.25</v>
      </c>
      <c r="E58" s="2" t="str">
        <f t="shared" si="0"/>
        <v>14-114</v>
      </c>
    </row>
    <row r="59" spans="1:5" x14ac:dyDescent="0.25">
      <c r="A59" s="2">
        <v>115</v>
      </c>
      <c r="B59" s="2" t="s">
        <v>203</v>
      </c>
      <c r="C59" s="2">
        <v>39.369999999999997</v>
      </c>
      <c r="D59" s="2">
        <v>14.69</v>
      </c>
      <c r="E59" s="2" t="str">
        <f t="shared" si="0"/>
        <v>14-115</v>
      </c>
    </row>
    <row r="60" spans="1:5" x14ac:dyDescent="0.25">
      <c r="A60" s="2">
        <v>116</v>
      </c>
      <c r="B60" s="2" t="s">
        <v>206</v>
      </c>
      <c r="C60" s="2">
        <v>23.43</v>
      </c>
      <c r="D60" s="2">
        <v>10.85</v>
      </c>
      <c r="E60" s="2" t="str">
        <f t="shared" si="0"/>
        <v>14-116</v>
      </c>
    </row>
    <row r="61" spans="1:5" x14ac:dyDescent="0.25">
      <c r="A61" s="2">
        <v>117</v>
      </c>
      <c r="B61" s="2" t="s">
        <v>207</v>
      </c>
      <c r="C61" s="2">
        <v>31.61</v>
      </c>
      <c r="D61" s="2">
        <v>10.85</v>
      </c>
      <c r="E61" s="2" t="str">
        <f t="shared" si="0"/>
        <v>14-117</v>
      </c>
    </row>
    <row r="62" spans="1:5" x14ac:dyDescent="0.25">
      <c r="A62" s="2">
        <v>118</v>
      </c>
      <c r="B62" s="2" t="s">
        <v>678</v>
      </c>
      <c r="C62" s="2">
        <v>41.66</v>
      </c>
      <c r="D62" s="2">
        <v>18.34</v>
      </c>
      <c r="E62" s="2" t="str">
        <f t="shared" si="0"/>
        <v>14-118</v>
      </c>
    </row>
    <row r="63" spans="1:5" x14ac:dyDescent="0.25">
      <c r="A63" s="2">
        <v>119</v>
      </c>
      <c r="B63" s="2" t="s">
        <v>208</v>
      </c>
      <c r="C63" s="2">
        <v>47.43</v>
      </c>
      <c r="D63" s="2">
        <v>19.579999999999998</v>
      </c>
      <c r="E63" s="2" t="str">
        <f t="shared" si="0"/>
        <v>14-119</v>
      </c>
    </row>
    <row r="64" spans="1:5" x14ac:dyDescent="0.25">
      <c r="A64" s="2">
        <v>120</v>
      </c>
      <c r="B64" s="2" t="s">
        <v>209</v>
      </c>
      <c r="C64" s="2">
        <v>36.299999999999997</v>
      </c>
      <c r="D64" s="2">
        <v>17.14</v>
      </c>
      <c r="E64" s="2" t="str">
        <f t="shared" si="0"/>
        <v>14-120</v>
      </c>
    </row>
    <row r="65" spans="1:5" x14ac:dyDescent="0.25">
      <c r="A65" s="2">
        <v>121</v>
      </c>
      <c r="B65" s="2" t="s">
        <v>210</v>
      </c>
      <c r="C65" s="2">
        <v>57.86</v>
      </c>
      <c r="D65" s="2">
        <v>21.31</v>
      </c>
      <c r="E65" s="2" t="str">
        <f t="shared" si="0"/>
        <v>14-121</v>
      </c>
    </row>
    <row r="66" spans="1:5" x14ac:dyDescent="0.25">
      <c r="A66" s="2">
        <v>122</v>
      </c>
      <c r="B66" s="2" t="s">
        <v>211</v>
      </c>
      <c r="C66" s="2">
        <v>43.67</v>
      </c>
      <c r="D66" s="2">
        <v>16.309999999999999</v>
      </c>
      <c r="E66" s="2" t="str">
        <f t="shared" si="0"/>
        <v>14-122</v>
      </c>
    </row>
    <row r="67" spans="1:5" x14ac:dyDescent="0.25">
      <c r="A67" s="2">
        <v>123</v>
      </c>
      <c r="B67" s="2" t="s">
        <v>212</v>
      </c>
      <c r="C67" s="2">
        <v>63.85</v>
      </c>
      <c r="D67" s="2">
        <v>21.79</v>
      </c>
      <c r="E67" s="2" t="str">
        <f t="shared" si="0"/>
        <v>14-123</v>
      </c>
    </row>
    <row r="68" spans="1:5" x14ac:dyDescent="0.25">
      <c r="A68" s="2">
        <v>124</v>
      </c>
      <c r="B68" s="2" t="s">
        <v>213</v>
      </c>
      <c r="C68" s="2">
        <v>19.71</v>
      </c>
      <c r="D68" s="2">
        <v>7.81</v>
      </c>
      <c r="E68" s="2" t="str">
        <f t="shared" si="0"/>
        <v>14-124</v>
      </c>
    </row>
    <row r="69" spans="1:5" x14ac:dyDescent="0.25">
      <c r="A69" s="2">
        <v>125</v>
      </c>
      <c r="B69" s="2" t="s">
        <v>214</v>
      </c>
      <c r="C69" s="2">
        <v>26.01</v>
      </c>
      <c r="D69" s="2">
        <v>8.58</v>
      </c>
      <c r="E69" s="2" t="str">
        <f t="shared" si="0"/>
        <v>14-125</v>
      </c>
    </row>
    <row r="70" spans="1:5" x14ac:dyDescent="0.25">
      <c r="A70" s="2">
        <v>126</v>
      </c>
      <c r="B70" s="2" t="s">
        <v>215</v>
      </c>
      <c r="C70" s="2">
        <v>18.22</v>
      </c>
      <c r="D70" s="2">
        <v>9.89</v>
      </c>
      <c r="E70" s="2" t="str">
        <f t="shared" si="0"/>
        <v>14-126</v>
      </c>
    </row>
    <row r="71" spans="1:5" x14ac:dyDescent="0.25">
      <c r="A71" s="2">
        <v>127</v>
      </c>
      <c r="B71" s="2" t="s">
        <v>216</v>
      </c>
      <c r="C71" s="2">
        <v>18.66</v>
      </c>
      <c r="D71" s="2">
        <v>11.45</v>
      </c>
      <c r="E71" s="2" t="str">
        <f t="shared" si="0"/>
        <v>14-127</v>
      </c>
    </row>
    <row r="72" spans="1:5" x14ac:dyDescent="0.25">
      <c r="A72" s="2">
        <v>128</v>
      </c>
      <c r="B72" s="2" t="s">
        <v>217</v>
      </c>
      <c r="C72" s="2">
        <v>20.58</v>
      </c>
      <c r="D72" s="2">
        <v>11.45</v>
      </c>
      <c r="E72" s="2" t="str">
        <f t="shared" si="0"/>
        <v>14-128</v>
      </c>
    </row>
    <row r="73" spans="1:5" x14ac:dyDescent="0.25">
      <c r="A73" s="2">
        <v>129</v>
      </c>
      <c r="B73" s="2" t="s">
        <v>218</v>
      </c>
      <c r="C73" s="2">
        <v>21.83</v>
      </c>
      <c r="D73" s="2">
        <v>11.45</v>
      </c>
      <c r="E73" s="2" t="str">
        <f t="shared" si="0"/>
        <v>14-129</v>
      </c>
    </row>
    <row r="74" spans="1:5" x14ac:dyDescent="0.25">
      <c r="A74" s="2">
        <v>130</v>
      </c>
      <c r="B74" s="2" t="s">
        <v>219</v>
      </c>
      <c r="C74" s="2">
        <v>23.35</v>
      </c>
      <c r="D74" s="2">
        <v>11.75</v>
      </c>
      <c r="E74" s="2" t="str">
        <f t="shared" si="0"/>
        <v>14-130</v>
      </c>
    </row>
    <row r="75" spans="1:5" x14ac:dyDescent="0.25">
      <c r="A75" s="2">
        <v>131</v>
      </c>
      <c r="B75" s="2" t="s">
        <v>220</v>
      </c>
      <c r="C75" s="2">
        <v>24.73</v>
      </c>
      <c r="D75" s="2">
        <v>11.75</v>
      </c>
      <c r="E75" s="2" t="str">
        <f t="shared" si="0"/>
        <v>14-131</v>
      </c>
    </row>
    <row r="76" spans="1:5" x14ac:dyDescent="0.25">
      <c r="A76" s="2">
        <v>132</v>
      </c>
      <c r="B76" s="2" t="s">
        <v>205</v>
      </c>
      <c r="C76" s="2">
        <v>41.05</v>
      </c>
      <c r="D76" s="2">
        <v>11.75</v>
      </c>
      <c r="E76" s="2" t="str">
        <f t="shared" si="0"/>
        <v>14-132</v>
      </c>
    </row>
    <row r="77" spans="1:5" x14ac:dyDescent="0.25">
      <c r="A77" s="2">
        <v>133</v>
      </c>
      <c r="B77" s="2" t="s">
        <v>221</v>
      </c>
      <c r="C77" s="2">
        <v>42.47</v>
      </c>
      <c r="D77" s="2">
        <v>7.24</v>
      </c>
      <c r="E77" s="2" t="str">
        <f t="shared" ref="E77:E179" si="2">"14-"&amp;A77</f>
        <v>14-133</v>
      </c>
    </row>
    <row r="78" spans="1:5" x14ac:dyDescent="0.25">
      <c r="A78" s="2">
        <v>134</v>
      </c>
      <c r="B78" s="2" t="s">
        <v>222</v>
      </c>
      <c r="C78" s="2">
        <v>45.16</v>
      </c>
      <c r="D78" s="2">
        <v>7.24</v>
      </c>
      <c r="E78" s="2" t="str">
        <f t="shared" si="2"/>
        <v>14-134</v>
      </c>
    </row>
    <row r="79" spans="1:5" x14ac:dyDescent="0.25">
      <c r="A79" s="2">
        <v>135</v>
      </c>
      <c r="B79" s="2" t="s">
        <v>223</v>
      </c>
      <c r="C79" s="2">
        <v>47.62</v>
      </c>
      <c r="D79" s="2">
        <v>7.24</v>
      </c>
      <c r="E79" s="2" t="str">
        <f t="shared" si="2"/>
        <v>14-135</v>
      </c>
    </row>
    <row r="80" spans="1:5" x14ac:dyDescent="0.25">
      <c r="A80" s="2">
        <v>136</v>
      </c>
      <c r="B80" s="2" t="s">
        <v>224</v>
      </c>
      <c r="C80" s="2">
        <v>52.28</v>
      </c>
      <c r="D80" s="2">
        <v>7.01</v>
      </c>
      <c r="E80" s="2" t="str">
        <f t="shared" si="2"/>
        <v>14-136</v>
      </c>
    </row>
    <row r="81" spans="1:5" x14ac:dyDescent="0.25">
      <c r="A81" s="2">
        <v>137</v>
      </c>
      <c r="B81" s="2" t="s">
        <v>225</v>
      </c>
      <c r="C81" s="2">
        <v>37.79</v>
      </c>
      <c r="D81" s="2">
        <v>7.01</v>
      </c>
      <c r="E81" s="2" t="str">
        <f t="shared" si="2"/>
        <v>14-137</v>
      </c>
    </row>
    <row r="82" spans="1:5" x14ac:dyDescent="0.25">
      <c r="A82" s="2">
        <v>138</v>
      </c>
      <c r="B82" s="2" t="s">
        <v>226</v>
      </c>
      <c r="C82" s="2">
        <v>32.64</v>
      </c>
      <c r="D82" s="2">
        <v>13.67</v>
      </c>
      <c r="E82" s="2" t="str">
        <f t="shared" si="2"/>
        <v>14-138</v>
      </c>
    </row>
    <row r="83" spans="1:5" x14ac:dyDescent="0.25">
      <c r="A83" s="2">
        <v>139</v>
      </c>
      <c r="B83" s="2" t="s">
        <v>227</v>
      </c>
      <c r="C83" s="2">
        <v>26.89</v>
      </c>
      <c r="D83" s="2">
        <v>11.9</v>
      </c>
      <c r="E83" s="2" t="str">
        <f t="shared" si="2"/>
        <v>14-139</v>
      </c>
    </row>
    <row r="84" spans="1:5" x14ac:dyDescent="0.25">
      <c r="A84" s="2">
        <v>140</v>
      </c>
      <c r="B84" s="2" t="s">
        <v>228</v>
      </c>
      <c r="C84" s="2">
        <v>20.63</v>
      </c>
      <c r="D84" s="2">
        <v>7.23</v>
      </c>
      <c r="E84" s="2" t="str">
        <f t="shared" si="2"/>
        <v>14-140</v>
      </c>
    </row>
    <row r="85" spans="1:5" x14ac:dyDescent="0.25">
      <c r="A85" s="2">
        <v>141</v>
      </c>
      <c r="B85" s="2" t="s">
        <v>229</v>
      </c>
      <c r="C85" s="2">
        <v>26.08</v>
      </c>
      <c r="D85" s="2">
        <v>8.74</v>
      </c>
      <c r="E85" s="2" t="str">
        <f t="shared" si="2"/>
        <v>14-141</v>
      </c>
    </row>
    <row r="86" spans="1:5" x14ac:dyDescent="0.25">
      <c r="A86" s="2">
        <v>142</v>
      </c>
      <c r="B86" s="2" t="s">
        <v>230</v>
      </c>
      <c r="C86" s="2">
        <v>33.46</v>
      </c>
      <c r="D86" s="2">
        <v>9.98</v>
      </c>
      <c r="E86" s="2" t="str">
        <f t="shared" si="2"/>
        <v>14-142</v>
      </c>
    </row>
    <row r="87" spans="1:5" x14ac:dyDescent="0.25">
      <c r="A87" s="2">
        <v>143</v>
      </c>
      <c r="B87" s="2" t="s">
        <v>231</v>
      </c>
      <c r="C87" s="2">
        <v>40.61</v>
      </c>
      <c r="D87" s="2">
        <v>9.98</v>
      </c>
      <c r="E87" s="2" t="str">
        <f t="shared" si="2"/>
        <v>14-143</v>
      </c>
    </row>
    <row r="88" spans="1:5" x14ac:dyDescent="0.25">
      <c r="A88" s="2">
        <v>144</v>
      </c>
      <c r="B88" s="2" t="s">
        <v>232</v>
      </c>
      <c r="C88" s="2">
        <v>48.82</v>
      </c>
      <c r="D88" s="2">
        <v>10.85</v>
      </c>
      <c r="E88" s="2" t="str">
        <f t="shared" si="2"/>
        <v>14-144</v>
      </c>
    </row>
    <row r="89" spans="1:5" x14ac:dyDescent="0.25">
      <c r="A89" s="2">
        <v>145</v>
      </c>
      <c r="B89" s="2" t="s">
        <v>233</v>
      </c>
      <c r="C89" s="2">
        <v>79.319999999999993</v>
      </c>
      <c r="D89" s="2">
        <v>15.36</v>
      </c>
      <c r="E89" s="2" t="str">
        <f t="shared" si="2"/>
        <v>14-145</v>
      </c>
    </row>
    <row r="90" spans="1:5" x14ac:dyDescent="0.25">
      <c r="A90" s="2">
        <v>146</v>
      </c>
      <c r="B90" s="2" t="s">
        <v>234</v>
      </c>
      <c r="C90" s="2">
        <v>38.770000000000003</v>
      </c>
      <c r="D90" s="2">
        <v>10.94</v>
      </c>
      <c r="E90" s="2" t="str">
        <f t="shared" si="2"/>
        <v>14-146</v>
      </c>
    </row>
    <row r="91" spans="1:5" x14ac:dyDescent="0.25">
      <c r="A91" s="2">
        <v>147</v>
      </c>
      <c r="B91" s="2" t="s">
        <v>235</v>
      </c>
      <c r="C91" s="2">
        <v>50.66</v>
      </c>
      <c r="D91" s="2">
        <v>11.52</v>
      </c>
      <c r="E91" s="2" t="str">
        <f t="shared" si="2"/>
        <v>14-147</v>
      </c>
    </row>
    <row r="92" spans="1:5" x14ac:dyDescent="0.25">
      <c r="A92" s="2">
        <v>148</v>
      </c>
      <c r="B92" s="2" t="s">
        <v>236</v>
      </c>
      <c r="C92" s="2">
        <v>55.23</v>
      </c>
      <c r="D92" s="2">
        <v>11.71</v>
      </c>
      <c r="E92" s="2" t="str">
        <f t="shared" si="2"/>
        <v>14-148</v>
      </c>
    </row>
    <row r="93" spans="1:5" x14ac:dyDescent="0.25">
      <c r="A93" s="2"/>
      <c r="B93" s="2" t="s">
        <v>25</v>
      </c>
      <c r="C93" s="2"/>
      <c r="D93" s="2"/>
      <c r="E93" s="2"/>
    </row>
    <row r="94" spans="1:5" x14ac:dyDescent="0.25">
      <c r="A94" s="2">
        <v>159</v>
      </c>
      <c r="B94" s="2" t="s">
        <v>983</v>
      </c>
      <c r="C94" s="2">
        <v>0.9</v>
      </c>
      <c r="D94" s="2">
        <v>0.13</v>
      </c>
      <c r="E94" s="2" t="str">
        <f t="shared" ref="E94" si="3">"14-"&amp;A94</f>
        <v>14-159</v>
      </c>
    </row>
    <row r="95" spans="1:5" x14ac:dyDescent="0.25">
      <c r="A95" s="2"/>
      <c r="B95" s="2" t="s">
        <v>25</v>
      </c>
      <c r="C95" s="2"/>
      <c r="D95" s="2"/>
      <c r="E95" s="2"/>
    </row>
    <row r="96" spans="1:5" x14ac:dyDescent="0.25">
      <c r="A96" s="2">
        <v>163</v>
      </c>
      <c r="B96" s="2" t="s">
        <v>237</v>
      </c>
      <c r="C96" s="2">
        <v>35.450000000000003</v>
      </c>
      <c r="D96" s="2">
        <v>10.73</v>
      </c>
      <c r="E96" s="2" t="str">
        <f t="shared" si="2"/>
        <v>14-163</v>
      </c>
    </row>
    <row r="97" spans="1:5" x14ac:dyDescent="0.25">
      <c r="A97" s="2">
        <v>164</v>
      </c>
      <c r="B97" s="2" t="s">
        <v>238</v>
      </c>
      <c r="C97" s="2">
        <v>42.66</v>
      </c>
      <c r="D97" s="2">
        <v>10.75</v>
      </c>
      <c r="E97" s="2" t="str">
        <f t="shared" si="2"/>
        <v>14-164</v>
      </c>
    </row>
    <row r="98" spans="1:5" x14ac:dyDescent="0.25">
      <c r="A98" s="2"/>
      <c r="B98" s="2" t="s">
        <v>25</v>
      </c>
      <c r="C98" s="2"/>
      <c r="D98" s="2"/>
      <c r="E98" s="2"/>
    </row>
    <row r="99" spans="1:5" x14ac:dyDescent="0.25">
      <c r="A99" s="2">
        <v>176</v>
      </c>
      <c r="B99" s="2" t="s">
        <v>1122</v>
      </c>
      <c r="C99" s="2">
        <v>97.82</v>
      </c>
      <c r="D99" s="2">
        <v>14.08</v>
      </c>
      <c r="E99" s="2" t="str">
        <f t="shared" si="2"/>
        <v>14-176</v>
      </c>
    </row>
    <row r="100" spans="1:5" x14ac:dyDescent="0.25">
      <c r="A100" s="2"/>
      <c r="B100" s="2" t="s">
        <v>25</v>
      </c>
      <c r="C100" s="2"/>
      <c r="D100" s="2"/>
      <c r="E100" s="2"/>
    </row>
    <row r="101" spans="1:5" x14ac:dyDescent="0.25">
      <c r="A101" s="2">
        <v>186</v>
      </c>
      <c r="B101" s="2" t="s">
        <v>1120</v>
      </c>
      <c r="C101" s="2">
        <v>13.87</v>
      </c>
      <c r="D101" s="2">
        <v>8.06</v>
      </c>
      <c r="E101" s="2" t="str">
        <f t="shared" si="2"/>
        <v>14-186</v>
      </c>
    </row>
    <row r="102" spans="1:5" x14ac:dyDescent="0.25">
      <c r="A102" s="2">
        <v>187</v>
      </c>
      <c r="B102" s="2" t="s">
        <v>1121</v>
      </c>
      <c r="C102" s="2">
        <v>41.13</v>
      </c>
      <c r="D102" s="2">
        <v>6.28</v>
      </c>
      <c r="E102" s="2" t="str">
        <f t="shared" ref="E102" si="4">"14-"&amp;A102</f>
        <v>14-187</v>
      </c>
    </row>
    <row r="103" spans="1:5" x14ac:dyDescent="0.25">
      <c r="A103" s="2"/>
      <c r="B103" s="2" t="s">
        <v>25</v>
      </c>
      <c r="C103" s="2"/>
      <c r="D103" s="2"/>
      <c r="E103" s="2"/>
    </row>
    <row r="104" spans="1:5" x14ac:dyDescent="0.25">
      <c r="A104" s="2">
        <v>198</v>
      </c>
      <c r="B104" s="2" t="s">
        <v>239</v>
      </c>
      <c r="C104" s="2">
        <v>59.65</v>
      </c>
      <c r="D104" s="2">
        <v>16.899999999999999</v>
      </c>
      <c r="E104" s="2" t="str">
        <f t="shared" si="2"/>
        <v>14-198</v>
      </c>
    </row>
    <row r="105" spans="1:5" x14ac:dyDescent="0.25">
      <c r="A105" s="2">
        <v>199</v>
      </c>
      <c r="B105" s="2" t="s">
        <v>240</v>
      </c>
      <c r="C105" s="2">
        <v>70.05</v>
      </c>
      <c r="D105" s="2">
        <v>16.899999999999999</v>
      </c>
      <c r="E105" s="2" t="str">
        <f t="shared" si="2"/>
        <v>14-199</v>
      </c>
    </row>
    <row r="106" spans="1:5" x14ac:dyDescent="0.25">
      <c r="A106" s="2">
        <v>200</v>
      </c>
      <c r="B106" s="2" t="s">
        <v>241</v>
      </c>
      <c r="C106" s="2">
        <v>30.57</v>
      </c>
      <c r="D106" s="2">
        <v>8.06</v>
      </c>
      <c r="E106" s="2" t="str">
        <f t="shared" si="2"/>
        <v>14-200</v>
      </c>
    </row>
    <row r="107" spans="1:5" x14ac:dyDescent="0.25">
      <c r="A107" s="2">
        <v>201</v>
      </c>
      <c r="B107" s="2" t="s">
        <v>244</v>
      </c>
      <c r="C107" s="2">
        <v>41.03</v>
      </c>
      <c r="D107" s="2">
        <v>8.69</v>
      </c>
      <c r="E107" s="2" t="str">
        <f t="shared" si="2"/>
        <v>14-201</v>
      </c>
    </row>
    <row r="108" spans="1:5" x14ac:dyDescent="0.25">
      <c r="A108" s="2">
        <v>202</v>
      </c>
      <c r="B108" s="2" t="s">
        <v>242</v>
      </c>
      <c r="C108" s="2">
        <v>7.46</v>
      </c>
      <c r="D108" s="2">
        <v>6.48</v>
      </c>
      <c r="E108" s="2" t="str">
        <f t="shared" si="2"/>
        <v>14-202</v>
      </c>
    </row>
    <row r="109" spans="1:5" x14ac:dyDescent="0.25">
      <c r="A109" s="2">
        <v>203</v>
      </c>
      <c r="B109" s="2" t="s">
        <v>243</v>
      </c>
      <c r="C109" s="2">
        <v>8.06</v>
      </c>
      <c r="D109" s="2">
        <v>7.32</v>
      </c>
      <c r="E109" s="2" t="str">
        <f t="shared" si="2"/>
        <v>14-203</v>
      </c>
    </row>
    <row r="110" spans="1:5" x14ac:dyDescent="0.25">
      <c r="A110" s="2">
        <v>204</v>
      </c>
      <c r="B110" s="2" t="s">
        <v>245</v>
      </c>
      <c r="C110" s="2">
        <v>29.61</v>
      </c>
      <c r="D110" s="2">
        <v>10.56</v>
      </c>
      <c r="E110" s="2" t="str">
        <f t="shared" si="2"/>
        <v>14-204</v>
      </c>
    </row>
    <row r="111" spans="1:5" x14ac:dyDescent="0.25">
      <c r="A111" s="2">
        <v>205</v>
      </c>
      <c r="B111" s="2" t="s">
        <v>246</v>
      </c>
      <c r="C111" s="2">
        <v>10.35</v>
      </c>
      <c r="D111" s="2">
        <v>0.88</v>
      </c>
      <c r="E111" s="2" t="str">
        <f t="shared" si="2"/>
        <v>14-205</v>
      </c>
    </row>
    <row r="112" spans="1:5" x14ac:dyDescent="0.25">
      <c r="A112" s="2">
        <v>206</v>
      </c>
      <c r="B112" s="2" t="s">
        <v>247</v>
      </c>
      <c r="C112" s="2">
        <v>6.51</v>
      </c>
      <c r="D112" s="2">
        <v>1.08</v>
      </c>
      <c r="E112" s="2" t="str">
        <f t="shared" si="2"/>
        <v>14-206</v>
      </c>
    </row>
    <row r="113" spans="1:5" x14ac:dyDescent="0.25">
      <c r="A113" s="2">
        <v>207</v>
      </c>
      <c r="B113" s="2" t="s">
        <v>248</v>
      </c>
      <c r="C113" s="2">
        <v>10.11</v>
      </c>
      <c r="D113" s="2">
        <v>0.57999999999999996</v>
      </c>
      <c r="E113" s="2" t="str">
        <f t="shared" si="2"/>
        <v>14-207</v>
      </c>
    </row>
    <row r="114" spans="1:5" x14ac:dyDescent="0.25">
      <c r="A114" s="2">
        <v>208</v>
      </c>
      <c r="B114" s="2" t="s">
        <v>249</v>
      </c>
      <c r="C114" s="2">
        <v>1.0900000000000001</v>
      </c>
      <c r="D114" s="2">
        <v>0.32</v>
      </c>
      <c r="E114" s="2" t="str">
        <f t="shared" si="2"/>
        <v>14-208</v>
      </c>
    </row>
    <row r="115" spans="1:5" x14ac:dyDescent="0.25">
      <c r="A115" s="2">
        <v>209</v>
      </c>
      <c r="B115" s="2" t="s">
        <v>250</v>
      </c>
      <c r="C115" s="2">
        <v>0.65</v>
      </c>
      <c r="D115" s="2">
        <v>0.32</v>
      </c>
      <c r="E115" s="2" t="str">
        <f t="shared" si="2"/>
        <v>14-209</v>
      </c>
    </row>
    <row r="116" spans="1:5" x14ac:dyDescent="0.25">
      <c r="A116" s="2">
        <v>210</v>
      </c>
      <c r="B116" s="2" t="s">
        <v>251</v>
      </c>
      <c r="C116" s="2">
        <v>1.63</v>
      </c>
      <c r="D116" s="2">
        <v>0.46</v>
      </c>
      <c r="E116" s="2" t="str">
        <f t="shared" si="2"/>
        <v>14-210</v>
      </c>
    </row>
    <row r="117" spans="1:5" x14ac:dyDescent="0.25">
      <c r="A117" s="2">
        <v>211</v>
      </c>
      <c r="B117" s="2" t="s">
        <v>252</v>
      </c>
      <c r="C117" s="2">
        <v>2.19</v>
      </c>
      <c r="D117" s="2">
        <v>0.42</v>
      </c>
      <c r="E117" s="2" t="str">
        <f t="shared" si="2"/>
        <v>14-211</v>
      </c>
    </row>
    <row r="118" spans="1:5" x14ac:dyDescent="0.25">
      <c r="A118" s="2">
        <v>212</v>
      </c>
      <c r="B118" s="2" t="s">
        <v>253</v>
      </c>
      <c r="C118" s="2">
        <v>2.2999999999999998</v>
      </c>
      <c r="D118" s="2">
        <v>0.48</v>
      </c>
      <c r="E118" s="2" t="str">
        <f t="shared" si="2"/>
        <v>14-212</v>
      </c>
    </row>
    <row r="119" spans="1:5" x14ac:dyDescent="0.25">
      <c r="A119" s="2">
        <v>213</v>
      </c>
      <c r="B119" s="2" t="s">
        <v>254</v>
      </c>
      <c r="C119" s="2">
        <v>2.0299999999999998</v>
      </c>
      <c r="D119" s="2">
        <v>0.19</v>
      </c>
      <c r="E119" s="2" t="str">
        <f t="shared" si="2"/>
        <v>14-213</v>
      </c>
    </row>
    <row r="120" spans="1:5" x14ac:dyDescent="0.25">
      <c r="A120" s="2">
        <v>214</v>
      </c>
      <c r="B120" s="2" t="s">
        <v>255</v>
      </c>
      <c r="C120" s="2">
        <v>2.46</v>
      </c>
      <c r="D120" s="2">
        <v>0.38</v>
      </c>
      <c r="E120" s="2" t="str">
        <f t="shared" si="2"/>
        <v>14-214</v>
      </c>
    </row>
    <row r="121" spans="1:5" x14ac:dyDescent="0.25">
      <c r="A121" s="2">
        <v>215</v>
      </c>
      <c r="B121" s="2" t="s">
        <v>256</v>
      </c>
      <c r="C121" s="2">
        <v>3.33</v>
      </c>
      <c r="D121" s="2">
        <v>0.48</v>
      </c>
      <c r="E121" s="2" t="str">
        <f t="shared" si="2"/>
        <v>14-215</v>
      </c>
    </row>
    <row r="122" spans="1:5" x14ac:dyDescent="0.25">
      <c r="A122" s="2">
        <v>216</v>
      </c>
      <c r="B122" s="2" t="s">
        <v>257</v>
      </c>
      <c r="C122" s="2">
        <v>7.07</v>
      </c>
      <c r="D122" s="2">
        <v>0.48</v>
      </c>
      <c r="E122" s="2" t="str">
        <f t="shared" si="2"/>
        <v>14-216</v>
      </c>
    </row>
    <row r="123" spans="1:5" x14ac:dyDescent="0.25">
      <c r="A123" s="2">
        <v>217</v>
      </c>
      <c r="B123" s="2" t="s">
        <v>258</v>
      </c>
      <c r="C123" s="2">
        <v>14.81</v>
      </c>
      <c r="D123" s="2">
        <v>7.97</v>
      </c>
      <c r="E123" s="2" t="str">
        <f t="shared" si="2"/>
        <v>14-217</v>
      </c>
    </row>
    <row r="124" spans="1:5" x14ac:dyDescent="0.25">
      <c r="A124" s="2">
        <v>218</v>
      </c>
      <c r="B124" s="2" t="s">
        <v>259</v>
      </c>
      <c r="C124" s="2">
        <v>20.39</v>
      </c>
      <c r="D124" s="2">
        <v>8.06</v>
      </c>
      <c r="E124" s="2" t="str">
        <f t="shared" si="2"/>
        <v>14-218</v>
      </c>
    </row>
    <row r="125" spans="1:5" x14ac:dyDescent="0.25">
      <c r="A125" s="2">
        <v>219</v>
      </c>
      <c r="B125" s="2" t="s">
        <v>260</v>
      </c>
      <c r="C125" s="2">
        <v>24.25</v>
      </c>
      <c r="D125" s="2">
        <v>9.02</v>
      </c>
      <c r="E125" s="2" t="str">
        <f t="shared" si="2"/>
        <v>14-219</v>
      </c>
    </row>
    <row r="126" spans="1:5" x14ac:dyDescent="0.25">
      <c r="A126" s="2">
        <v>220</v>
      </c>
      <c r="B126" s="2" t="s">
        <v>261</v>
      </c>
      <c r="C126" s="2">
        <v>25.02</v>
      </c>
      <c r="D126" s="2">
        <v>9.02</v>
      </c>
      <c r="E126" s="2" t="str">
        <f t="shared" si="2"/>
        <v>14-220</v>
      </c>
    </row>
    <row r="127" spans="1:5" x14ac:dyDescent="0.25">
      <c r="A127" s="2">
        <v>221</v>
      </c>
      <c r="B127" s="2" t="s">
        <v>262</v>
      </c>
      <c r="C127" s="2">
        <v>39.090000000000003</v>
      </c>
      <c r="D127" s="2">
        <v>9.2200000000000006</v>
      </c>
      <c r="E127" s="2" t="str">
        <f t="shared" si="2"/>
        <v>14-221</v>
      </c>
    </row>
    <row r="128" spans="1:5" x14ac:dyDescent="0.25">
      <c r="A128" s="2">
        <v>222</v>
      </c>
      <c r="B128" s="2" t="s">
        <v>263</v>
      </c>
      <c r="C128" s="2">
        <v>39.18</v>
      </c>
      <c r="D128" s="2">
        <v>9.2200000000000006</v>
      </c>
      <c r="E128" s="2" t="str">
        <f t="shared" si="2"/>
        <v>14-222</v>
      </c>
    </row>
    <row r="129" spans="1:5" x14ac:dyDescent="0.25">
      <c r="A129" s="2">
        <v>223</v>
      </c>
      <c r="B129" s="2" t="s">
        <v>264</v>
      </c>
      <c r="C129" s="2">
        <v>48.75</v>
      </c>
      <c r="D129" s="2">
        <v>9.31</v>
      </c>
      <c r="E129" s="2" t="str">
        <f t="shared" si="2"/>
        <v>14-223</v>
      </c>
    </row>
    <row r="130" spans="1:5" x14ac:dyDescent="0.25">
      <c r="A130" s="2">
        <v>224</v>
      </c>
      <c r="B130" s="2" t="s">
        <v>265</v>
      </c>
      <c r="C130" s="2">
        <v>70.040000000000006</v>
      </c>
      <c r="D130" s="2">
        <v>9.41</v>
      </c>
      <c r="E130" s="2" t="str">
        <f t="shared" si="2"/>
        <v>14-224</v>
      </c>
    </row>
    <row r="131" spans="1:5" x14ac:dyDescent="0.25">
      <c r="A131" s="2">
        <v>225</v>
      </c>
      <c r="B131" s="2" t="s">
        <v>1153</v>
      </c>
      <c r="C131" s="2">
        <v>0.85</v>
      </c>
      <c r="D131" s="2">
        <v>0.13</v>
      </c>
      <c r="E131" s="2" t="str">
        <f t="shared" si="2"/>
        <v>14-225</v>
      </c>
    </row>
    <row r="132" spans="1:5" x14ac:dyDescent="0.25">
      <c r="A132" s="2">
        <v>226</v>
      </c>
      <c r="B132" s="2" t="s">
        <v>1154</v>
      </c>
      <c r="C132" s="2">
        <v>1.56</v>
      </c>
      <c r="D132" s="2">
        <v>0.17</v>
      </c>
      <c r="E132" s="2" t="str">
        <f t="shared" si="2"/>
        <v>14-226</v>
      </c>
    </row>
    <row r="133" spans="1:5" x14ac:dyDescent="0.25">
      <c r="A133" s="2">
        <v>227</v>
      </c>
      <c r="B133" s="2" t="s">
        <v>1155</v>
      </c>
      <c r="C133" s="2">
        <v>3.65</v>
      </c>
      <c r="D133" s="2">
        <v>1.22</v>
      </c>
      <c r="E133" s="2" t="str">
        <f t="shared" si="2"/>
        <v>14-227</v>
      </c>
    </row>
    <row r="134" spans="1:5" x14ac:dyDescent="0.25">
      <c r="A134" s="2">
        <v>228</v>
      </c>
      <c r="B134" s="2" t="s">
        <v>266</v>
      </c>
      <c r="C134" s="2">
        <v>52.87</v>
      </c>
      <c r="D134" s="2">
        <v>8.74</v>
      </c>
      <c r="E134" s="2" t="str">
        <f t="shared" si="2"/>
        <v>14-228</v>
      </c>
    </row>
    <row r="135" spans="1:5" x14ac:dyDescent="0.25">
      <c r="A135" s="2">
        <v>229</v>
      </c>
      <c r="B135" s="2" t="s">
        <v>267</v>
      </c>
      <c r="C135" s="2">
        <v>31.92</v>
      </c>
      <c r="D135" s="2">
        <v>8.5399999999999991</v>
      </c>
      <c r="E135" s="2" t="str">
        <f t="shared" si="2"/>
        <v>14-229</v>
      </c>
    </row>
    <row r="136" spans="1:5" x14ac:dyDescent="0.25">
      <c r="A136" s="2">
        <v>230</v>
      </c>
      <c r="B136" s="2" t="s">
        <v>268</v>
      </c>
      <c r="C136" s="2">
        <v>33.799999999999997</v>
      </c>
      <c r="D136" s="2">
        <v>9.41</v>
      </c>
      <c r="E136" s="2" t="str">
        <f t="shared" si="2"/>
        <v>14-230</v>
      </c>
    </row>
    <row r="137" spans="1:5" x14ac:dyDescent="0.25">
      <c r="A137" s="2">
        <v>231</v>
      </c>
      <c r="B137" s="2" t="s">
        <v>269</v>
      </c>
      <c r="C137" s="2">
        <v>25.15</v>
      </c>
      <c r="D137" s="2">
        <v>10.46</v>
      </c>
      <c r="E137" s="2" t="str">
        <f t="shared" si="2"/>
        <v>14-231</v>
      </c>
    </row>
    <row r="138" spans="1:5" x14ac:dyDescent="0.25">
      <c r="A138" s="2">
        <v>232</v>
      </c>
      <c r="B138" s="2" t="s">
        <v>270</v>
      </c>
      <c r="C138" s="2">
        <v>39.92</v>
      </c>
      <c r="D138" s="2">
        <v>11.14</v>
      </c>
      <c r="E138" s="2" t="str">
        <f t="shared" si="2"/>
        <v>14-232</v>
      </c>
    </row>
    <row r="139" spans="1:5" x14ac:dyDescent="0.25">
      <c r="A139" s="2">
        <v>233</v>
      </c>
      <c r="B139" s="2" t="s">
        <v>271</v>
      </c>
      <c r="C139" s="2">
        <v>4.68</v>
      </c>
      <c r="D139" s="2">
        <v>2.38</v>
      </c>
      <c r="E139" s="2" t="str">
        <f t="shared" si="2"/>
        <v>14-233</v>
      </c>
    </row>
    <row r="140" spans="1:5" x14ac:dyDescent="0.25">
      <c r="A140" s="2"/>
      <c r="B140" s="2" t="s">
        <v>25</v>
      </c>
      <c r="C140" s="2"/>
      <c r="D140" s="2"/>
      <c r="E140" s="2"/>
    </row>
    <row r="141" spans="1:5" x14ac:dyDescent="0.25">
      <c r="A141" s="2">
        <v>256</v>
      </c>
      <c r="B141" s="2" t="s">
        <v>1117</v>
      </c>
      <c r="C141" s="2">
        <v>38.29</v>
      </c>
      <c r="D141" s="2">
        <v>9.31</v>
      </c>
      <c r="E141" s="2" t="str">
        <f t="shared" si="2"/>
        <v>14-256</v>
      </c>
    </row>
    <row r="142" spans="1:5" x14ac:dyDescent="0.25">
      <c r="A142" s="2">
        <v>257</v>
      </c>
      <c r="B142" s="2" t="s">
        <v>911</v>
      </c>
      <c r="C142" s="2">
        <v>25.1</v>
      </c>
      <c r="D142" s="2">
        <v>5.89</v>
      </c>
      <c r="E142" s="2" t="str">
        <f t="shared" si="2"/>
        <v>14-257</v>
      </c>
    </row>
    <row r="143" spans="1:5" x14ac:dyDescent="0.25">
      <c r="A143" s="2"/>
      <c r="B143" s="2" t="s">
        <v>25</v>
      </c>
      <c r="C143" s="2"/>
      <c r="D143" s="2"/>
      <c r="E143" s="2"/>
    </row>
    <row r="144" spans="1:5" x14ac:dyDescent="0.25">
      <c r="A144" s="2">
        <v>264</v>
      </c>
      <c r="B144" s="2" t="s">
        <v>272</v>
      </c>
      <c r="C144" s="2">
        <v>30.59</v>
      </c>
      <c r="D144" s="2">
        <v>12</v>
      </c>
      <c r="E144" s="2" t="str">
        <f t="shared" si="2"/>
        <v>14-264</v>
      </c>
    </row>
    <row r="145" spans="1:5" x14ac:dyDescent="0.25">
      <c r="A145" s="2">
        <v>265</v>
      </c>
      <c r="B145" s="2" t="s">
        <v>601</v>
      </c>
      <c r="C145" s="2">
        <v>45.75</v>
      </c>
      <c r="D145" s="2">
        <v>12.58</v>
      </c>
      <c r="E145" s="2" t="str">
        <f t="shared" si="2"/>
        <v>14-265</v>
      </c>
    </row>
    <row r="146" spans="1:5" x14ac:dyDescent="0.25">
      <c r="A146" s="2">
        <v>266</v>
      </c>
      <c r="B146" s="2" t="s">
        <v>602</v>
      </c>
      <c r="C146" s="2">
        <v>49.22</v>
      </c>
      <c r="D146" s="2">
        <v>13.73</v>
      </c>
      <c r="E146" s="2" t="str">
        <f t="shared" si="2"/>
        <v>14-266</v>
      </c>
    </row>
    <row r="147" spans="1:5" x14ac:dyDescent="0.25">
      <c r="A147" s="2">
        <v>267</v>
      </c>
      <c r="B147" s="2" t="s">
        <v>273</v>
      </c>
      <c r="C147" s="2">
        <v>57.77</v>
      </c>
      <c r="D147" s="2">
        <v>15.26</v>
      </c>
      <c r="E147" s="2" t="str">
        <f t="shared" si="2"/>
        <v>14-267</v>
      </c>
    </row>
    <row r="148" spans="1:5" x14ac:dyDescent="0.25">
      <c r="A148" s="2">
        <v>268</v>
      </c>
      <c r="B148" s="2" t="s">
        <v>274</v>
      </c>
      <c r="C148" s="2">
        <v>165.74</v>
      </c>
      <c r="D148" s="2">
        <v>19.489999999999998</v>
      </c>
      <c r="E148" s="2" t="str">
        <f t="shared" si="2"/>
        <v>14-268</v>
      </c>
    </row>
    <row r="149" spans="1:5" x14ac:dyDescent="0.25">
      <c r="A149" s="2"/>
      <c r="B149" s="2" t="s">
        <v>25</v>
      </c>
      <c r="C149" s="2"/>
      <c r="D149" s="2"/>
      <c r="E149" s="2"/>
    </row>
    <row r="150" spans="1:5" x14ac:dyDescent="0.25">
      <c r="A150" s="2">
        <v>293</v>
      </c>
      <c r="B150" s="2" t="s">
        <v>1119</v>
      </c>
      <c r="C150" s="2">
        <v>50.17</v>
      </c>
      <c r="D150" s="2">
        <v>9.2200000000000006</v>
      </c>
      <c r="E150" s="2" t="str">
        <f t="shared" ref="E150" si="5">"14-"&amp;A150</f>
        <v>14-293</v>
      </c>
    </row>
    <row r="151" spans="1:5" x14ac:dyDescent="0.25">
      <c r="A151" s="2"/>
      <c r="B151" s="2" t="s">
        <v>25</v>
      </c>
      <c r="C151" s="2"/>
      <c r="D151" s="2"/>
      <c r="E151" s="2"/>
    </row>
    <row r="152" spans="1:5" x14ac:dyDescent="0.25">
      <c r="A152" s="2">
        <v>299</v>
      </c>
      <c r="B152" s="2" t="s">
        <v>867</v>
      </c>
      <c r="C152" s="2">
        <v>30.29</v>
      </c>
      <c r="D152" s="2">
        <v>10.37</v>
      </c>
      <c r="E152" s="2" t="str">
        <f t="shared" ref="E152" si="6">"14-"&amp;A152</f>
        <v>14-299</v>
      </c>
    </row>
    <row r="153" spans="1:5" x14ac:dyDescent="0.25">
      <c r="A153" s="2"/>
      <c r="B153" s="2" t="s">
        <v>25</v>
      </c>
      <c r="C153" s="2"/>
      <c r="D153" s="2"/>
      <c r="E153" s="2"/>
    </row>
    <row r="154" spans="1:5" x14ac:dyDescent="0.25">
      <c r="A154" s="2">
        <v>303</v>
      </c>
      <c r="B154" s="2" t="s">
        <v>1074</v>
      </c>
      <c r="C154" s="2">
        <v>6.56</v>
      </c>
      <c r="D154" s="2"/>
      <c r="E154" s="2" t="str">
        <f t="shared" ref="E154:E156" si="7">"14-"&amp;A154</f>
        <v>14-303</v>
      </c>
    </row>
    <row r="155" spans="1:5" x14ac:dyDescent="0.25">
      <c r="A155" s="2">
        <v>304</v>
      </c>
      <c r="B155" s="2" t="s">
        <v>1075</v>
      </c>
      <c r="C155" s="2">
        <v>7.51</v>
      </c>
      <c r="D155" s="2"/>
      <c r="E155" s="2" t="str">
        <f t="shared" si="7"/>
        <v>14-304</v>
      </c>
    </row>
    <row r="156" spans="1:5" x14ac:dyDescent="0.25">
      <c r="A156" s="2">
        <v>305</v>
      </c>
      <c r="B156" s="2" t="s">
        <v>1076</v>
      </c>
      <c r="C156" s="2">
        <v>7.02</v>
      </c>
      <c r="D156" s="2"/>
      <c r="E156" s="2" t="str">
        <f t="shared" si="7"/>
        <v>14-305</v>
      </c>
    </row>
    <row r="157" spans="1:5" x14ac:dyDescent="0.25">
      <c r="A157" s="2">
        <v>306</v>
      </c>
      <c r="B157" s="2" t="s">
        <v>834</v>
      </c>
      <c r="C157" s="2">
        <v>4.17</v>
      </c>
      <c r="D157" s="2">
        <v>1.34</v>
      </c>
      <c r="E157" s="2" t="str">
        <f t="shared" si="2"/>
        <v>14-306</v>
      </c>
    </row>
    <row r="158" spans="1:5" x14ac:dyDescent="0.25">
      <c r="A158" s="2"/>
      <c r="B158" s="2" t="s">
        <v>25</v>
      </c>
      <c r="C158" s="2"/>
      <c r="D158" s="2"/>
      <c r="E158" s="2"/>
    </row>
    <row r="159" spans="1:5" x14ac:dyDescent="0.25">
      <c r="A159" s="2">
        <v>308</v>
      </c>
      <c r="B159" s="2" t="s">
        <v>769</v>
      </c>
      <c r="C159" s="2">
        <v>55.2</v>
      </c>
      <c r="D159" s="2">
        <v>12.58</v>
      </c>
      <c r="E159" s="2" t="str">
        <f t="shared" si="2"/>
        <v>14-308</v>
      </c>
    </row>
    <row r="160" spans="1:5" x14ac:dyDescent="0.25">
      <c r="A160" s="2">
        <v>309</v>
      </c>
      <c r="B160" s="2" t="s">
        <v>770</v>
      </c>
      <c r="C160" s="2">
        <v>51</v>
      </c>
      <c r="D160" s="2">
        <v>9.5</v>
      </c>
      <c r="E160" s="2" t="str">
        <f t="shared" si="2"/>
        <v>14-309</v>
      </c>
    </row>
    <row r="161" spans="1:5" x14ac:dyDescent="0.25">
      <c r="A161" s="2">
        <v>310</v>
      </c>
      <c r="B161" s="2" t="s">
        <v>771</v>
      </c>
      <c r="C161" s="2">
        <v>53.55</v>
      </c>
      <c r="D161" s="2">
        <v>11.52</v>
      </c>
      <c r="E161" s="2" t="str">
        <f t="shared" si="2"/>
        <v>14-310</v>
      </c>
    </row>
    <row r="162" spans="1:5" x14ac:dyDescent="0.25">
      <c r="A162" s="2">
        <v>311</v>
      </c>
      <c r="B162" s="2" t="s">
        <v>772</v>
      </c>
      <c r="C162" s="2">
        <v>69.41</v>
      </c>
      <c r="D162" s="2">
        <v>12.1</v>
      </c>
      <c r="E162" s="2" t="str">
        <f t="shared" si="2"/>
        <v>14-311</v>
      </c>
    </row>
    <row r="163" spans="1:5" x14ac:dyDescent="0.25">
      <c r="A163" s="2">
        <v>312</v>
      </c>
      <c r="B163" s="2" t="s">
        <v>773</v>
      </c>
      <c r="C163" s="2">
        <v>225.8</v>
      </c>
      <c r="D163" s="2">
        <v>16.13</v>
      </c>
      <c r="E163" s="2" t="str">
        <f t="shared" si="2"/>
        <v>14-312</v>
      </c>
    </row>
    <row r="164" spans="1:5" x14ac:dyDescent="0.25">
      <c r="A164" s="2">
        <v>313</v>
      </c>
      <c r="B164" s="2" t="s">
        <v>774</v>
      </c>
      <c r="C164" s="2">
        <v>425.15</v>
      </c>
      <c r="D164" s="2">
        <v>17.18</v>
      </c>
      <c r="E164" s="2" t="str">
        <f t="shared" si="2"/>
        <v>14-313</v>
      </c>
    </row>
    <row r="165" spans="1:5" x14ac:dyDescent="0.25">
      <c r="A165" s="2">
        <v>314</v>
      </c>
      <c r="B165" s="2" t="s">
        <v>775</v>
      </c>
      <c r="C165" s="2">
        <v>17.72</v>
      </c>
      <c r="D165" s="2">
        <v>5.53</v>
      </c>
      <c r="E165" s="2" t="str">
        <f t="shared" si="2"/>
        <v>14-314</v>
      </c>
    </row>
    <row r="166" spans="1:5" x14ac:dyDescent="0.25">
      <c r="A166" s="2">
        <v>315</v>
      </c>
      <c r="B166" s="2" t="s">
        <v>776</v>
      </c>
      <c r="C166" s="2">
        <v>20</v>
      </c>
      <c r="D166" s="2">
        <v>5.53</v>
      </c>
      <c r="E166" s="2" t="str">
        <f t="shared" si="2"/>
        <v>14-315</v>
      </c>
    </row>
    <row r="167" spans="1:5" x14ac:dyDescent="0.25">
      <c r="A167" s="2">
        <v>316</v>
      </c>
      <c r="B167" s="2" t="s">
        <v>777</v>
      </c>
      <c r="C167" s="2">
        <v>27.3</v>
      </c>
      <c r="D167" s="2">
        <v>5.53</v>
      </c>
      <c r="E167" s="2" t="str">
        <f t="shared" si="2"/>
        <v>14-316</v>
      </c>
    </row>
    <row r="168" spans="1:5" x14ac:dyDescent="0.25">
      <c r="A168" s="2">
        <v>317</v>
      </c>
      <c r="B168" s="2" t="s">
        <v>778</v>
      </c>
      <c r="C168" s="2">
        <v>39.659999999999997</v>
      </c>
      <c r="D168" s="2">
        <v>6.63</v>
      </c>
      <c r="E168" s="2" t="str">
        <f t="shared" si="2"/>
        <v>14-317</v>
      </c>
    </row>
    <row r="169" spans="1:5" x14ac:dyDescent="0.25">
      <c r="A169" s="2">
        <v>318</v>
      </c>
      <c r="B169" s="2" t="s">
        <v>779</v>
      </c>
      <c r="C169" s="2">
        <v>51.1</v>
      </c>
      <c r="D169" s="2">
        <v>6.63</v>
      </c>
      <c r="E169" s="2" t="str">
        <f t="shared" si="2"/>
        <v>14-318</v>
      </c>
    </row>
    <row r="170" spans="1:5" x14ac:dyDescent="0.25">
      <c r="A170" s="2"/>
      <c r="B170" s="2" t="s">
        <v>25</v>
      </c>
      <c r="C170" s="2"/>
      <c r="D170" s="2"/>
      <c r="E170" s="2"/>
    </row>
    <row r="171" spans="1:5" x14ac:dyDescent="0.25">
      <c r="A171" s="2">
        <v>324</v>
      </c>
      <c r="B171" s="2" t="s">
        <v>1077</v>
      </c>
      <c r="C171" s="2">
        <v>1.97</v>
      </c>
      <c r="D171" s="2">
        <v>0.68</v>
      </c>
      <c r="E171" s="2" t="str">
        <f t="shared" si="2"/>
        <v>14-324</v>
      </c>
    </row>
    <row r="172" spans="1:5" x14ac:dyDescent="0.25">
      <c r="A172" s="2">
        <v>325</v>
      </c>
      <c r="B172" s="2" t="s">
        <v>1078</v>
      </c>
      <c r="C172" s="2">
        <v>1.25</v>
      </c>
      <c r="D172" s="2">
        <v>0.18</v>
      </c>
      <c r="E172" s="2" t="str">
        <f t="shared" si="2"/>
        <v>14-325</v>
      </c>
    </row>
    <row r="173" spans="1:5" x14ac:dyDescent="0.25">
      <c r="A173" s="2"/>
      <c r="B173" s="2" t="s">
        <v>25</v>
      </c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2" t="s">
        <v>25</v>
      </c>
      <c r="C175" s="2"/>
      <c r="D175" s="2"/>
      <c r="E175" s="2"/>
    </row>
    <row r="176" spans="1:5" x14ac:dyDescent="0.25">
      <c r="A176" s="2">
        <v>331</v>
      </c>
      <c r="B176" s="2" t="s">
        <v>275</v>
      </c>
      <c r="C176" s="2">
        <v>19.29</v>
      </c>
      <c r="D176" s="2">
        <v>0.1</v>
      </c>
      <c r="E176" s="2" t="str">
        <f t="shared" si="2"/>
        <v>14-331</v>
      </c>
    </row>
    <row r="177" spans="1:5" x14ac:dyDescent="0.25">
      <c r="A177" s="2">
        <v>332</v>
      </c>
      <c r="B177" s="2" t="s">
        <v>276</v>
      </c>
      <c r="C177" s="2">
        <v>6.73</v>
      </c>
      <c r="D177" s="2">
        <v>5.03</v>
      </c>
      <c r="E177" s="2" t="str">
        <f t="shared" si="2"/>
        <v>14-332</v>
      </c>
    </row>
    <row r="178" spans="1:5" x14ac:dyDescent="0.25">
      <c r="A178" s="2"/>
      <c r="B178" s="2" t="s">
        <v>25</v>
      </c>
      <c r="C178" s="2"/>
      <c r="D178" s="2"/>
      <c r="E178" s="2"/>
    </row>
    <row r="179" spans="1:5" x14ac:dyDescent="0.25">
      <c r="A179" s="2">
        <v>337</v>
      </c>
      <c r="B179" s="2" t="s">
        <v>277</v>
      </c>
      <c r="C179" s="2">
        <v>1.26</v>
      </c>
      <c r="D179" s="2">
        <v>0.31</v>
      </c>
      <c r="E179" s="2" t="str">
        <f t="shared" si="2"/>
        <v>14-337</v>
      </c>
    </row>
    <row r="180" spans="1:5" x14ac:dyDescent="0.25">
      <c r="A180" s="2">
        <v>338</v>
      </c>
      <c r="B180" s="2" t="s">
        <v>832</v>
      </c>
      <c r="C180" s="2">
        <v>2.06</v>
      </c>
      <c r="D180" s="2">
        <v>1.45</v>
      </c>
      <c r="E180" s="2" t="str">
        <f>"14-"&amp;A180</f>
        <v>14-338</v>
      </c>
    </row>
    <row r="181" spans="1:5" x14ac:dyDescent="0.25">
      <c r="A181" s="2">
        <v>339</v>
      </c>
      <c r="B181" s="2" t="s">
        <v>1067</v>
      </c>
      <c r="C181" s="2">
        <v>7.77</v>
      </c>
      <c r="D181" s="2">
        <v>1.08</v>
      </c>
      <c r="E181" s="2" t="str">
        <f t="shared" ref="E181:E187" si="8">"14-"&amp;A181</f>
        <v>14-339</v>
      </c>
    </row>
    <row r="182" spans="1:5" x14ac:dyDescent="0.25">
      <c r="A182" s="2">
        <v>340</v>
      </c>
      <c r="B182" s="2" t="s">
        <v>1068</v>
      </c>
      <c r="C182" s="2">
        <v>19.48</v>
      </c>
      <c r="D182" s="2">
        <v>6</v>
      </c>
      <c r="E182" s="2" t="str">
        <f t="shared" si="8"/>
        <v>14-340</v>
      </c>
    </row>
    <row r="183" spans="1:5" x14ac:dyDescent="0.25">
      <c r="A183" s="2">
        <v>341</v>
      </c>
      <c r="B183" s="2" t="s">
        <v>1069</v>
      </c>
      <c r="C183" s="2">
        <v>23.31</v>
      </c>
      <c r="D183" s="2">
        <v>6</v>
      </c>
      <c r="E183" s="2" t="str">
        <f t="shared" si="8"/>
        <v>14-341</v>
      </c>
    </row>
    <row r="184" spans="1:5" x14ac:dyDescent="0.25">
      <c r="A184" s="2">
        <v>342</v>
      </c>
      <c r="B184" s="2" t="s">
        <v>1070</v>
      </c>
      <c r="C184" s="2">
        <v>24.79</v>
      </c>
      <c r="D184" s="2">
        <v>6</v>
      </c>
      <c r="E184" s="2" t="str">
        <f t="shared" si="8"/>
        <v>14-342</v>
      </c>
    </row>
    <row r="185" spans="1:5" x14ac:dyDescent="0.25">
      <c r="A185" s="2">
        <v>343</v>
      </c>
      <c r="B185" s="2" t="s">
        <v>1071</v>
      </c>
      <c r="C185" s="2">
        <v>28.75</v>
      </c>
      <c r="D185" s="2">
        <v>6</v>
      </c>
      <c r="E185" s="2" t="str">
        <f t="shared" si="8"/>
        <v>14-343</v>
      </c>
    </row>
    <row r="186" spans="1:5" x14ac:dyDescent="0.25">
      <c r="A186" s="2">
        <v>344</v>
      </c>
      <c r="B186" s="2" t="s">
        <v>1072</v>
      </c>
      <c r="C186" s="2">
        <v>47.05</v>
      </c>
      <c r="D186" s="2">
        <v>7.2</v>
      </c>
      <c r="E186" s="2" t="str">
        <f t="shared" si="8"/>
        <v>14-344</v>
      </c>
    </row>
    <row r="187" spans="1:5" ht="20.25" thickBot="1" x14ac:dyDescent="0.3">
      <c r="A187" s="2">
        <v>345</v>
      </c>
      <c r="B187" s="2" t="s">
        <v>1073</v>
      </c>
      <c r="C187" s="2">
        <v>6.04</v>
      </c>
      <c r="D187" s="2">
        <v>5.38</v>
      </c>
      <c r="E187" s="2" t="str">
        <f t="shared" si="8"/>
        <v>14-345</v>
      </c>
    </row>
    <row r="188" spans="1:5" ht="21" thickTop="1" thickBot="1" x14ac:dyDescent="0.3">
      <c r="A188" s="4"/>
      <c r="B188" s="4" t="s">
        <v>278</v>
      </c>
      <c r="C188" s="4"/>
      <c r="D188" s="4"/>
      <c r="E188" s="4"/>
    </row>
    <row r="189" spans="1:5" ht="20.25" thickTop="1" x14ac:dyDescent="0.25">
      <c r="A189" s="2"/>
      <c r="B189" s="2" t="s">
        <v>25</v>
      </c>
      <c r="C189" s="2"/>
      <c r="D189" s="2"/>
      <c r="E189" s="2"/>
    </row>
    <row r="190" spans="1:5" x14ac:dyDescent="0.25">
      <c r="A190" s="2">
        <v>4</v>
      </c>
      <c r="B190" s="2" t="s">
        <v>279</v>
      </c>
      <c r="C190" s="2">
        <v>148.06</v>
      </c>
      <c r="D190" s="2">
        <v>28.9</v>
      </c>
      <c r="E190" s="2" t="str">
        <f>"14.2-"&amp;A190</f>
        <v>14.2-4</v>
      </c>
    </row>
    <row r="191" spans="1:5" ht="20.25" thickBot="1" x14ac:dyDescent="0.3">
      <c r="A191" s="2"/>
      <c r="B191" s="2" t="s">
        <v>25</v>
      </c>
      <c r="C191" s="2"/>
      <c r="D191" s="2"/>
      <c r="E191" s="2"/>
    </row>
    <row r="192" spans="1:5" ht="21" thickTop="1" thickBot="1" x14ac:dyDescent="0.3">
      <c r="A192" s="4"/>
      <c r="B192" s="4" t="s">
        <v>653</v>
      </c>
      <c r="C192" s="4"/>
      <c r="D192" s="4"/>
      <c r="E192" s="4"/>
    </row>
    <row r="193" spans="1:5" ht="20.25" thickTop="1" x14ac:dyDescent="0.25">
      <c r="A193" s="2">
        <v>1</v>
      </c>
      <c r="B193" s="2" t="s">
        <v>654</v>
      </c>
      <c r="C193" s="2">
        <v>3.2</v>
      </c>
      <c r="D193" s="2"/>
      <c r="E193" s="2" t="s">
        <v>676</v>
      </c>
    </row>
    <row r="194" spans="1:5" x14ac:dyDescent="0.25">
      <c r="A194" s="2"/>
      <c r="B194" s="17" t="s">
        <v>669</v>
      </c>
      <c r="C194" s="2"/>
      <c r="D194" s="2"/>
      <c r="E194" s="2" t="s">
        <v>689</v>
      </c>
    </row>
    <row r="195" spans="1:5" x14ac:dyDescent="0.25">
      <c r="A195" s="2"/>
      <c r="B195" s="17" t="s">
        <v>836</v>
      </c>
      <c r="C195" s="2">
        <v>11.15</v>
      </c>
      <c r="D195" s="2"/>
      <c r="E195" s="2" t="s">
        <v>676</v>
      </c>
    </row>
    <row r="196" spans="1:5" x14ac:dyDescent="0.25">
      <c r="A196" s="2"/>
      <c r="B196" s="2" t="s">
        <v>872</v>
      </c>
      <c r="C196" s="2">
        <v>55</v>
      </c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243" t="s">
        <v>655</v>
      </c>
      <c r="B198" s="244"/>
      <c r="C198" s="244"/>
      <c r="D198" s="244"/>
      <c r="E198" s="245"/>
    </row>
  </sheetData>
  <mergeCells count="6">
    <mergeCell ref="A198:E198"/>
    <mergeCell ref="A1:E1"/>
    <mergeCell ref="A2:A3"/>
    <mergeCell ref="B2:B3"/>
    <mergeCell ref="C2:D2"/>
    <mergeCell ref="E2:E3"/>
  </mergeCells>
  <conditionalFormatting sqref="B195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57"/>
  <sheetViews>
    <sheetView topLeftCell="A43" zoomScale="85" zoomScaleNormal="85" workbookViewId="0">
      <selection activeCell="D77" sqref="D77"/>
    </sheetView>
  </sheetViews>
  <sheetFormatPr defaultColWidth="9.140625" defaultRowHeight="19.5" x14ac:dyDescent="0.25"/>
  <cols>
    <col min="1" max="1" width="8.7109375" style="3" customWidth="1"/>
    <col min="2" max="2" width="100.7109375" style="3" customWidth="1"/>
    <col min="3" max="3" width="10.7109375" style="3" customWidth="1"/>
    <col min="4" max="16384" width="9.140625" style="3"/>
  </cols>
  <sheetData>
    <row r="1" spans="1:3" ht="21" thickTop="1" thickBot="1" x14ac:dyDescent="0.3">
      <c r="A1" s="246" t="s">
        <v>157</v>
      </c>
      <c r="B1" s="247"/>
      <c r="C1" s="247"/>
    </row>
    <row r="2" spans="1:3" ht="16.5" customHeight="1" thickTop="1" thickBot="1" x14ac:dyDescent="0.3">
      <c r="A2" s="249" t="s">
        <v>0</v>
      </c>
      <c r="B2" s="249" t="s">
        <v>1</v>
      </c>
      <c r="C2" s="241" t="s">
        <v>610</v>
      </c>
    </row>
    <row r="3" spans="1:3" ht="21" thickTop="1" thickBot="1" x14ac:dyDescent="0.3">
      <c r="A3" s="249"/>
      <c r="B3" s="249"/>
      <c r="C3" s="242"/>
    </row>
    <row r="4" spans="1:3" ht="21" thickTop="1" thickBot="1" x14ac:dyDescent="0.3">
      <c r="A4" s="4">
        <v>1</v>
      </c>
      <c r="B4" s="4">
        <v>2</v>
      </c>
      <c r="C4" s="4">
        <v>3</v>
      </c>
    </row>
    <row r="5" spans="1:3" ht="20.25" thickTop="1" x14ac:dyDescent="0.25">
      <c r="A5" s="2">
        <v>1</v>
      </c>
      <c r="B5" s="2" t="s">
        <v>603</v>
      </c>
      <c r="C5" s="2">
        <v>6</v>
      </c>
    </row>
    <row r="6" spans="1:3" x14ac:dyDescent="0.25">
      <c r="A6" s="2">
        <v>2</v>
      </c>
      <c r="B6" s="2" t="s">
        <v>604</v>
      </c>
      <c r="C6" s="2">
        <v>6</v>
      </c>
    </row>
    <row r="7" spans="1:3" x14ac:dyDescent="0.25">
      <c r="A7" s="2">
        <v>3</v>
      </c>
      <c r="B7" s="2" t="s">
        <v>605</v>
      </c>
      <c r="C7" s="2">
        <v>6</v>
      </c>
    </row>
    <row r="8" spans="1:3" x14ac:dyDescent="0.25">
      <c r="A8" s="2">
        <v>4</v>
      </c>
      <c r="B8" s="2" t="s">
        <v>606</v>
      </c>
      <c r="C8" s="2">
        <v>6</v>
      </c>
    </row>
    <row r="9" spans="1:3" x14ac:dyDescent="0.25">
      <c r="A9" s="2">
        <v>5</v>
      </c>
      <c r="B9" s="2" t="s">
        <v>607</v>
      </c>
      <c r="C9" s="2">
        <v>6</v>
      </c>
    </row>
    <row r="10" spans="1:3" x14ac:dyDescent="0.25">
      <c r="A10" s="2">
        <v>6</v>
      </c>
      <c r="B10" s="2" t="s">
        <v>608</v>
      </c>
      <c r="C10" s="2">
        <v>6</v>
      </c>
    </row>
    <row r="11" spans="1:3" x14ac:dyDescent="0.25">
      <c r="A11" s="2">
        <v>7</v>
      </c>
      <c r="B11" s="2" t="s">
        <v>609</v>
      </c>
      <c r="C11" s="2">
        <v>6</v>
      </c>
    </row>
    <row r="12" spans="1:3" x14ac:dyDescent="0.25">
      <c r="A12" s="2">
        <v>8</v>
      </c>
      <c r="B12" s="2" t="s">
        <v>611</v>
      </c>
      <c r="C12" s="2">
        <v>7.8</v>
      </c>
    </row>
    <row r="13" spans="1:3" x14ac:dyDescent="0.25">
      <c r="A13" s="2">
        <v>9</v>
      </c>
      <c r="B13" s="2" t="s">
        <v>612</v>
      </c>
      <c r="C13" s="2">
        <v>7.8</v>
      </c>
    </row>
    <row r="14" spans="1:3" x14ac:dyDescent="0.25">
      <c r="A14" s="2">
        <v>10</v>
      </c>
      <c r="B14" s="2" t="s">
        <v>613</v>
      </c>
      <c r="C14" s="2">
        <v>7.8</v>
      </c>
    </row>
    <row r="15" spans="1:3" x14ac:dyDescent="0.25">
      <c r="A15" s="2">
        <v>11</v>
      </c>
      <c r="B15" s="2" t="s">
        <v>614</v>
      </c>
      <c r="C15" s="2">
        <v>7.8</v>
      </c>
    </row>
    <row r="16" spans="1:3" x14ac:dyDescent="0.25">
      <c r="A16" s="2">
        <v>12</v>
      </c>
      <c r="B16" s="2" t="s">
        <v>615</v>
      </c>
      <c r="C16" s="2">
        <v>7.8</v>
      </c>
    </row>
    <row r="17" spans="1:3" x14ac:dyDescent="0.25">
      <c r="A17" s="2">
        <v>13</v>
      </c>
      <c r="B17" s="2" t="s">
        <v>616</v>
      </c>
      <c r="C17" s="2">
        <v>4.5999999999999996</v>
      </c>
    </row>
    <row r="18" spans="1:3" x14ac:dyDescent="0.25">
      <c r="A18" s="2">
        <v>14</v>
      </c>
      <c r="B18" s="2" t="s">
        <v>617</v>
      </c>
      <c r="C18" s="2">
        <v>4.5999999999999996</v>
      </c>
    </row>
    <row r="19" spans="1:3" x14ac:dyDescent="0.25">
      <c r="A19" s="2">
        <v>15</v>
      </c>
      <c r="B19" s="2" t="s">
        <v>618</v>
      </c>
      <c r="C19" s="2">
        <v>7.8</v>
      </c>
    </row>
    <row r="20" spans="1:3" x14ac:dyDescent="0.25">
      <c r="A20" s="2">
        <v>16</v>
      </c>
      <c r="B20" s="2" t="s">
        <v>619</v>
      </c>
      <c r="C20" s="2">
        <v>6</v>
      </c>
    </row>
    <row r="21" spans="1:3" x14ac:dyDescent="0.25">
      <c r="A21" s="2">
        <v>17</v>
      </c>
      <c r="B21" s="2" t="s">
        <v>620</v>
      </c>
      <c r="C21" s="2">
        <v>6</v>
      </c>
    </row>
    <row r="22" spans="1:3" x14ac:dyDescent="0.25">
      <c r="A22" s="2">
        <v>18</v>
      </c>
      <c r="B22" s="2" t="s">
        <v>621</v>
      </c>
      <c r="C22" s="2">
        <v>6</v>
      </c>
    </row>
    <row r="23" spans="1:3" x14ac:dyDescent="0.25">
      <c r="A23" s="2">
        <v>19</v>
      </c>
      <c r="B23" s="2" t="s">
        <v>622</v>
      </c>
      <c r="C23" s="2">
        <v>6</v>
      </c>
    </row>
    <row r="24" spans="1:3" x14ac:dyDescent="0.25">
      <c r="A24" s="2">
        <v>20</v>
      </c>
      <c r="B24" s="2" t="s">
        <v>623</v>
      </c>
      <c r="C24" s="2">
        <v>6</v>
      </c>
    </row>
    <row r="25" spans="1:3" x14ac:dyDescent="0.25">
      <c r="A25" s="2">
        <v>21</v>
      </c>
      <c r="B25" s="2" t="s">
        <v>624</v>
      </c>
      <c r="C25" s="2">
        <v>6</v>
      </c>
    </row>
    <row r="26" spans="1:3" x14ac:dyDescent="0.25">
      <c r="A26" s="2">
        <v>22</v>
      </c>
      <c r="B26" s="2" t="s">
        <v>625</v>
      </c>
      <c r="C26" s="2">
        <v>6</v>
      </c>
    </row>
    <row r="27" spans="1:3" x14ac:dyDescent="0.25">
      <c r="A27" s="2">
        <v>23</v>
      </c>
      <c r="B27" s="2" t="s">
        <v>626</v>
      </c>
      <c r="C27" s="2">
        <v>6</v>
      </c>
    </row>
    <row r="28" spans="1:3" x14ac:dyDescent="0.25">
      <c r="A28" s="2">
        <v>24</v>
      </c>
      <c r="B28" s="2" t="s">
        <v>627</v>
      </c>
      <c r="C28" s="2">
        <v>6</v>
      </c>
    </row>
    <row r="29" spans="1:3" x14ac:dyDescent="0.25">
      <c r="A29" s="2">
        <v>25</v>
      </c>
      <c r="B29" s="2" t="s">
        <v>628</v>
      </c>
      <c r="C29" s="2">
        <v>6</v>
      </c>
    </row>
    <row r="30" spans="1:3" x14ac:dyDescent="0.25">
      <c r="A30" s="2">
        <v>26</v>
      </c>
      <c r="B30" s="2" t="s">
        <v>629</v>
      </c>
      <c r="C30" s="2">
        <v>6</v>
      </c>
    </row>
    <row r="31" spans="1:3" x14ac:dyDescent="0.25">
      <c r="A31" s="2">
        <v>27</v>
      </c>
      <c r="B31" s="2" t="s">
        <v>630</v>
      </c>
      <c r="C31" s="2">
        <v>6</v>
      </c>
    </row>
    <row r="32" spans="1:3" x14ac:dyDescent="0.25">
      <c r="A32" s="2">
        <v>28</v>
      </c>
      <c r="B32" s="2" t="s">
        <v>631</v>
      </c>
      <c r="C32" s="2">
        <v>6</v>
      </c>
    </row>
    <row r="33" spans="1:3" x14ac:dyDescent="0.25">
      <c r="A33" s="2">
        <v>29</v>
      </c>
      <c r="B33" s="2" t="s">
        <v>632</v>
      </c>
      <c r="C33" s="2">
        <v>6</v>
      </c>
    </row>
    <row r="34" spans="1:3" x14ac:dyDescent="0.25">
      <c r="A34" s="2">
        <v>30</v>
      </c>
      <c r="B34" s="2" t="s">
        <v>633</v>
      </c>
      <c r="C34" s="2">
        <v>6</v>
      </c>
    </row>
    <row r="35" spans="1:3" x14ac:dyDescent="0.25">
      <c r="A35" s="2">
        <v>31</v>
      </c>
      <c r="B35" s="2" t="s">
        <v>634</v>
      </c>
      <c r="C35" s="2">
        <v>6</v>
      </c>
    </row>
    <row r="36" spans="1:3" x14ac:dyDescent="0.25">
      <c r="A36" s="2">
        <v>32</v>
      </c>
      <c r="B36" s="2" t="s">
        <v>635</v>
      </c>
      <c r="C36" s="2">
        <v>6</v>
      </c>
    </row>
    <row r="37" spans="1:3" x14ac:dyDescent="0.25">
      <c r="A37" s="2">
        <v>33</v>
      </c>
      <c r="B37" s="2" t="s">
        <v>636</v>
      </c>
      <c r="C37" s="2">
        <v>6</v>
      </c>
    </row>
    <row r="38" spans="1:3" x14ac:dyDescent="0.25">
      <c r="A38" s="2">
        <v>34</v>
      </c>
      <c r="B38" s="2" t="s">
        <v>637</v>
      </c>
      <c r="C38" s="2">
        <v>6</v>
      </c>
    </row>
    <row r="39" spans="1:3" x14ac:dyDescent="0.25">
      <c r="A39" s="2">
        <v>35</v>
      </c>
      <c r="B39" s="2" t="s">
        <v>604</v>
      </c>
      <c r="C39" s="2">
        <v>6</v>
      </c>
    </row>
    <row r="40" spans="1:3" x14ac:dyDescent="0.25">
      <c r="A40" s="2">
        <v>36</v>
      </c>
      <c r="B40" s="2" t="s">
        <v>638</v>
      </c>
      <c r="C40" s="2">
        <v>6</v>
      </c>
    </row>
    <row r="41" spans="1:3" x14ac:dyDescent="0.25">
      <c r="A41" s="2">
        <v>37</v>
      </c>
      <c r="B41" s="2" t="s">
        <v>639</v>
      </c>
      <c r="C41" s="2">
        <v>6</v>
      </c>
    </row>
    <row r="42" spans="1:3" x14ac:dyDescent="0.25">
      <c r="A42" s="2">
        <v>38</v>
      </c>
      <c r="B42" s="2" t="s">
        <v>640</v>
      </c>
      <c r="C42" s="2">
        <v>6</v>
      </c>
    </row>
    <row r="43" spans="1:3" x14ac:dyDescent="0.25">
      <c r="A43" s="2">
        <v>39</v>
      </c>
      <c r="B43" s="2" t="s">
        <v>641</v>
      </c>
      <c r="C43" s="2">
        <v>6</v>
      </c>
    </row>
    <row r="44" spans="1:3" x14ac:dyDescent="0.25">
      <c r="A44" s="2">
        <v>40</v>
      </c>
      <c r="B44" s="2" t="s">
        <v>642</v>
      </c>
      <c r="C44" s="2">
        <v>6</v>
      </c>
    </row>
    <row r="45" spans="1:3" x14ac:dyDescent="0.25">
      <c r="A45" s="2">
        <v>41</v>
      </c>
      <c r="B45" s="2" t="s">
        <v>643</v>
      </c>
      <c r="C45" s="2">
        <v>6</v>
      </c>
    </row>
    <row r="46" spans="1:3" x14ac:dyDescent="0.25">
      <c r="A46" s="2">
        <v>42</v>
      </c>
      <c r="B46" s="2" t="s">
        <v>644</v>
      </c>
      <c r="C46" s="2">
        <v>6</v>
      </c>
    </row>
    <row r="47" spans="1:3" x14ac:dyDescent="0.25">
      <c r="A47" s="2">
        <v>43</v>
      </c>
      <c r="B47" s="2" t="s">
        <v>645</v>
      </c>
      <c r="C47" s="2">
        <v>6</v>
      </c>
    </row>
    <row r="48" spans="1:3" x14ac:dyDescent="0.25">
      <c r="A48" s="2">
        <v>44</v>
      </c>
      <c r="B48" s="2" t="s">
        <v>646</v>
      </c>
      <c r="C48" s="2">
        <v>6</v>
      </c>
    </row>
    <row r="49" spans="1:3" x14ac:dyDescent="0.25">
      <c r="A49" s="2">
        <v>45</v>
      </c>
      <c r="B49" s="2" t="s">
        <v>647</v>
      </c>
      <c r="C49" s="2">
        <v>6</v>
      </c>
    </row>
    <row r="50" spans="1:3" x14ac:dyDescent="0.25">
      <c r="A50" s="2">
        <v>46</v>
      </c>
      <c r="B50" s="2" t="s">
        <v>648</v>
      </c>
      <c r="C50" s="2">
        <v>4.5999999999999996</v>
      </c>
    </row>
    <row r="51" spans="1:3" x14ac:dyDescent="0.25">
      <c r="A51" s="2">
        <v>47</v>
      </c>
      <c r="B51" s="2" t="s">
        <v>649</v>
      </c>
      <c r="C51" s="2">
        <v>6</v>
      </c>
    </row>
    <row r="52" spans="1:3" x14ac:dyDescent="0.25">
      <c r="A52" s="2">
        <v>48</v>
      </c>
      <c r="B52" s="2" t="s">
        <v>650</v>
      </c>
      <c r="C52" s="2">
        <v>6</v>
      </c>
    </row>
    <row r="53" spans="1:3" x14ac:dyDescent="0.25">
      <c r="A53" s="2">
        <v>49</v>
      </c>
      <c r="B53" s="2" t="s">
        <v>651</v>
      </c>
      <c r="C53" s="2">
        <v>6</v>
      </c>
    </row>
    <row r="54" spans="1:3" x14ac:dyDescent="0.25">
      <c r="A54" s="2">
        <v>50</v>
      </c>
      <c r="B54" s="2" t="s">
        <v>652</v>
      </c>
      <c r="C54" s="2">
        <v>6</v>
      </c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43" t="s">
        <v>655</v>
      </c>
      <c r="B57" s="244"/>
      <c r="C57" s="245"/>
    </row>
  </sheetData>
  <mergeCells count="5">
    <mergeCell ref="A57:C57"/>
    <mergeCell ref="A1:C1"/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კრებსითი</vt:lpstr>
      <vt:lpstr>1-1</vt:lpstr>
      <vt:lpstr>2-1</vt:lpstr>
      <vt:lpstr>3-1</vt:lpstr>
      <vt:lpstr>4-1</vt:lpstr>
      <vt:lpstr>4-2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2019-01-30T08:35:14Z</dcterms:modified>
</cp:coreProperties>
</file>