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11700" tabRatio="924" activeTab="10"/>
  </bookViews>
  <sheets>
    <sheet name="kr" sheetId="74" r:id="rId1"/>
    <sheet name="o-1" sheetId="72" r:id="rId2"/>
    <sheet name="1-1" sheetId="78" r:id="rId3"/>
    <sheet name="1-2" sheetId="77" r:id="rId4"/>
    <sheet name="1-3" sheetId="89" r:id="rId5"/>
    <sheet name="1-4" sheetId="90" r:id="rId6"/>
    <sheet name="2-" sheetId="96" r:id="rId7"/>
    <sheet name="3" sheetId="97" r:id="rId8"/>
    <sheet name="4" sheetId="68" r:id="rId9"/>
    <sheet name="5" sheetId="94" r:id="rId10"/>
    <sheet name="6" sheetId="95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fgu9">#REF!</definedName>
    <definedName name="___gfd56">#REF!</definedName>
    <definedName name="___gfh23">#REF!</definedName>
    <definedName name="___ggg6">#REF!</definedName>
    <definedName name="___gtf5">#REF!</definedName>
    <definedName name="___gth1">#REF!</definedName>
    <definedName name="___hgf478">[1]x2w!#REF!</definedName>
    <definedName name="___hgf665">#REF!</definedName>
    <definedName name="___hgh55">#REF!</definedName>
    <definedName name="___HGU5478">[2]x!#REF!</definedName>
    <definedName name="___hhh2">#REF!</definedName>
    <definedName name="___hhh222">#REF!</definedName>
    <definedName name="___hjk4">#REF!</definedName>
    <definedName name="___ijo45">#REF!</definedName>
    <definedName name="___iuy98">#REF!</definedName>
    <definedName name="___jhk324">#REF!</definedName>
    <definedName name="___jim56">#REF!</definedName>
    <definedName name="___jk45">#REF!</definedName>
    <definedName name="___jkl6547">#REF!</definedName>
    <definedName name="___jnb1">#REF!</definedName>
    <definedName name="___kij4">#REF!</definedName>
    <definedName name="___kij85">#REF!</definedName>
    <definedName name="___kjk5">#REF!</definedName>
    <definedName name="___kkk444">#REF!</definedName>
    <definedName name="___km1">#REF!</definedName>
    <definedName name="___lki2654">#REF!</definedName>
    <definedName name="___lkm2">#REF!</definedName>
    <definedName name="___lll555">[3]x1!#REF!</definedName>
    <definedName name="___lo3">#REF!</definedName>
    <definedName name="___lok1402">#REF!</definedName>
    <definedName name="___lpl522">#REF!</definedName>
    <definedName name="___mj56">#REF!</definedName>
    <definedName name="___mji147">#REF!</definedName>
    <definedName name="___mmm111">#REF!</definedName>
    <definedName name="___mmm1114">#REF!</definedName>
    <definedName name="___nn22">#REF!</definedName>
    <definedName name="___nnn333">#REF!</definedName>
    <definedName name="___oik601">#REF!</definedName>
    <definedName name="___oil36">#REF!</definedName>
    <definedName name="___oil984">#REF!</definedName>
    <definedName name="___ok547">#REF!</definedName>
    <definedName name="___okm44">#REF!</definedName>
    <definedName name="___opi4">#REF!</definedName>
    <definedName name="___opl321">#REF!</definedName>
    <definedName name="___pm2">#REF!</definedName>
    <definedName name="___po69">#REF!</definedName>
    <definedName name="___poi54">#REF!</definedName>
    <definedName name="___poi6">#REF!</definedName>
    <definedName name="___pok7845">#REF!</definedName>
    <definedName name="___pol2">#REF!</definedName>
    <definedName name="___ppp3">'[4]x r '!$F$174</definedName>
    <definedName name="___ppp9">#REF!</definedName>
    <definedName name="___tre589">#REF!</definedName>
    <definedName name="___ty859">#REF!</definedName>
    <definedName name="___uhn369">#REF!</definedName>
    <definedName name="___uio2">#REF!</definedName>
    <definedName name="___wqr75">#REF!</definedName>
    <definedName name="___yu621">#REF!</definedName>
    <definedName name="__asa121">[5]x2!#REF!</definedName>
    <definedName name="__fgu9">#REF!</definedName>
    <definedName name="__gfd56">#REF!</definedName>
    <definedName name="__gfh23">#REF!</definedName>
    <definedName name="__ggg10140">#REF!</definedName>
    <definedName name="__ggg6">#REF!</definedName>
    <definedName name="__gtf5">#REF!</definedName>
    <definedName name="__gth1">#REF!</definedName>
    <definedName name="__h77765">[6]x1!#REF!</definedName>
    <definedName name="__hbg1247">#REF!</definedName>
    <definedName name="__hgf478">[7]x2w!#REF!</definedName>
    <definedName name="__hgf665">#REF!</definedName>
    <definedName name="__hgh55">#REF!</definedName>
    <definedName name="__HGU5478">[2]x!#REF!</definedName>
    <definedName name="__hhh111">[5]x2!#REF!</definedName>
    <definedName name="__hhh2">#REF!</definedName>
    <definedName name="__hhh222">#REF!</definedName>
    <definedName name="__hjh1415">#REF!</definedName>
    <definedName name="__hjk4">#REF!</definedName>
    <definedName name="__ijo45">#REF!</definedName>
    <definedName name="__iuy98">#REF!</definedName>
    <definedName name="__jhk324">#REF!</definedName>
    <definedName name="__jim56">#REF!</definedName>
    <definedName name="__jk45">#REF!</definedName>
    <definedName name="__jkl6547">#REF!</definedName>
    <definedName name="__jkm2147">#REF!</definedName>
    <definedName name="__jnb1">#REF!</definedName>
    <definedName name="__kij4">#REF!</definedName>
    <definedName name="__kij85">#REF!</definedName>
    <definedName name="__kjk5">#REF!</definedName>
    <definedName name="__kk22">[8]x3!#REF!</definedName>
    <definedName name="__kkk444">#REF!</definedName>
    <definedName name="__kkk896899">#REF!</definedName>
    <definedName name="__km1">#REF!</definedName>
    <definedName name="__lki2654">#REF!</definedName>
    <definedName name="__lkj145">#REF!</definedName>
    <definedName name="__lkm2">#REF!</definedName>
    <definedName name="__lll555">[9]x1!#REF!</definedName>
    <definedName name="__lm20101">#REF!</definedName>
    <definedName name="__lm5478">#REF!</definedName>
    <definedName name="__lmz9">#REF!</definedName>
    <definedName name="__lo3">#REF!</definedName>
    <definedName name="__lok1402">#REF!</definedName>
    <definedName name="__lok47">#REF!</definedName>
    <definedName name="__lok4786">#REF!</definedName>
    <definedName name="__lpl522">#REF!</definedName>
    <definedName name="__mj56">#REF!</definedName>
    <definedName name="__mji147">#REF!</definedName>
    <definedName name="__mmm111">#REF!</definedName>
    <definedName name="__mmm1114">#REF!</definedName>
    <definedName name="__nn22">#REF!</definedName>
    <definedName name="__nnn333">#REF!</definedName>
    <definedName name="__oik601">#REF!</definedName>
    <definedName name="__oil36">#REF!</definedName>
    <definedName name="__oil984">#REF!</definedName>
    <definedName name="__oil987">[10]x11!#REF!</definedName>
    <definedName name="__ok547">#REF!</definedName>
    <definedName name="__okm44">#REF!</definedName>
    <definedName name="__opi4">#REF!</definedName>
    <definedName name="__opl321">#REF!</definedName>
    <definedName name="__opl658">#REF!</definedName>
    <definedName name="__pm2">#REF!</definedName>
    <definedName name="__po69">#REF!</definedName>
    <definedName name="__poi54">#REF!</definedName>
    <definedName name="__poi6">#REF!</definedName>
    <definedName name="__pok7845">#REF!</definedName>
    <definedName name="__pol2">#REF!</definedName>
    <definedName name="__pol456">#REF!</definedName>
    <definedName name="__ppp3">'[11]x r '!$F$174</definedName>
    <definedName name="__ppp9">#REF!</definedName>
    <definedName name="__tik65">#REF!</definedName>
    <definedName name="__tre589">#REF!</definedName>
    <definedName name="__ty859">#REF!</definedName>
    <definedName name="__uhn369">#REF!</definedName>
    <definedName name="__uio2">#REF!</definedName>
    <definedName name="__uyt5454">[8]x3!#REF!</definedName>
    <definedName name="__wqr75">#REF!</definedName>
    <definedName name="__yu621">#REF!</definedName>
    <definedName name="_asa121">[5]x2!#REF!</definedName>
    <definedName name="_fgu9">#REF!</definedName>
    <definedName name="_gfd56">#REF!</definedName>
    <definedName name="_gfh23">#REF!</definedName>
    <definedName name="_ggg10140">#REF!</definedName>
    <definedName name="_ggg6">#REF!</definedName>
    <definedName name="_gtf5">#REF!</definedName>
    <definedName name="_gth1">#REF!</definedName>
    <definedName name="_h77765">[6]x1!#REF!</definedName>
    <definedName name="_hbg1247">#REF!</definedName>
    <definedName name="_hgf478">[7]x2w!#REF!</definedName>
    <definedName name="_hgf665">#REF!</definedName>
    <definedName name="_hgh55">#REF!</definedName>
    <definedName name="_HGU5478">[2]x!#REF!</definedName>
    <definedName name="_hhh111">[5]x2!#REF!</definedName>
    <definedName name="_hhh2">#REF!</definedName>
    <definedName name="_hhh222">#REF!</definedName>
    <definedName name="_hjh1415">#REF!</definedName>
    <definedName name="_hjk4">#REF!</definedName>
    <definedName name="_ijo45">#REF!</definedName>
    <definedName name="_iuy98">#REF!</definedName>
    <definedName name="_jhk324">#REF!</definedName>
    <definedName name="_jim56">#REF!</definedName>
    <definedName name="_jk45">#REF!</definedName>
    <definedName name="_jkl6547">#REF!</definedName>
    <definedName name="_jkm2147">#REF!</definedName>
    <definedName name="_jnb1">#REF!</definedName>
    <definedName name="_kij4">#REF!</definedName>
    <definedName name="_kij85">#REF!</definedName>
    <definedName name="_kjk5">#REF!</definedName>
    <definedName name="_kk22">[8]x3!#REF!</definedName>
    <definedName name="_kkk444">#REF!</definedName>
    <definedName name="_kkk896899">#REF!</definedName>
    <definedName name="_km1">#REF!</definedName>
    <definedName name="_lki2654">#REF!</definedName>
    <definedName name="_lkj145">#REF!</definedName>
    <definedName name="_lkm2">#REF!</definedName>
    <definedName name="_lll555">[9]x1!#REF!</definedName>
    <definedName name="_lm20101">#REF!</definedName>
    <definedName name="_lm5478">#REF!</definedName>
    <definedName name="_lmz9">#REF!</definedName>
    <definedName name="_lo3">#REF!</definedName>
    <definedName name="_lok1402">#REF!</definedName>
    <definedName name="_lok47">#REF!</definedName>
    <definedName name="_lok4786">#REF!</definedName>
    <definedName name="_lpl522">#REF!</definedName>
    <definedName name="_mj56">#REF!</definedName>
    <definedName name="_mji147">#REF!</definedName>
    <definedName name="_mmm111">#REF!</definedName>
    <definedName name="_mmm1114">#REF!</definedName>
    <definedName name="_nn22">#REF!</definedName>
    <definedName name="_nnn333">#REF!</definedName>
    <definedName name="_oik601">#REF!</definedName>
    <definedName name="_oil36">#REF!</definedName>
    <definedName name="_oil984">#REF!</definedName>
    <definedName name="_oil987">[10]x11!#REF!</definedName>
    <definedName name="_ok547">#REF!</definedName>
    <definedName name="_okm44">#REF!</definedName>
    <definedName name="_opi4">#REF!</definedName>
    <definedName name="_opl321">#REF!</definedName>
    <definedName name="_opl658">#REF!</definedName>
    <definedName name="_pm2">#REF!</definedName>
    <definedName name="_po69">#REF!</definedName>
    <definedName name="_poi54">#REF!</definedName>
    <definedName name="_poi6">#REF!</definedName>
    <definedName name="_pok7845">#REF!</definedName>
    <definedName name="_pol2">#REF!</definedName>
    <definedName name="_pol456">#REF!</definedName>
    <definedName name="_ppp3">'[11]x r '!$F$174</definedName>
    <definedName name="_ppp9">#REF!</definedName>
    <definedName name="_tik65">#REF!</definedName>
    <definedName name="_tre589">#REF!</definedName>
    <definedName name="_ty859">#REF!</definedName>
    <definedName name="_uhn369">#REF!</definedName>
    <definedName name="_uio2">#REF!</definedName>
    <definedName name="_uyt5454">[8]x3!#REF!</definedName>
    <definedName name="_wqr75">#REF!</definedName>
    <definedName name="_yu621">#REF!</definedName>
    <definedName name="_xlnm._FilterDatabase" localSheetId="2" hidden="1">'1-1'!$A$32:$U$98</definedName>
    <definedName name="a1s2">#REF!</definedName>
    <definedName name="aaaa">#REF!</definedName>
    <definedName name="aaaa12">#REF!</definedName>
    <definedName name="aaaa4444">#REF!</definedName>
    <definedName name="aaaaaa44545874">'5'!$F$28</definedName>
    <definedName name="aaaazzzxx0147">#REF!</definedName>
    <definedName name="adfgh69">#REF!</definedName>
    <definedName name="adfhak">#REF!</definedName>
    <definedName name="adin">#REF!</definedName>
    <definedName name="adlp">#REF!</definedName>
    <definedName name="asdz">#REF!</definedName>
    <definedName name="ati">#REF!</definedName>
    <definedName name="aweyth65">#REF!</definedName>
    <definedName name="b00">#REF!</definedName>
    <definedName name="bbbb4">#REF!</definedName>
    <definedName name="bbbbbb">#REF!</definedName>
    <definedName name="bbbbbb77777">#REF!</definedName>
    <definedName name="bnj">#REF!</definedName>
    <definedName name="bnmk">[12]niveloba!#REF!</definedName>
    <definedName name="bnvhgfc14789">[13]x1!#REF!</definedName>
    <definedName name="bvcccc11144">[9]x1!#REF!</definedName>
    <definedName name="bvfdscxza1024876">[5]x1!#REF!</definedName>
    <definedName name="bytl">#REF!</definedName>
    <definedName name="ccccc1111">#REF!</definedName>
    <definedName name="cftslp">#REF!</definedName>
    <definedName name="cxra">#REF!</definedName>
    <definedName name="d41d2">[8]x3!#REF!</definedName>
    <definedName name="dddcdcdcdc4787454">#REF!</definedName>
    <definedName name="dddd8d88d88d8d8ddde88d8dd8">[8]x1!$F$15</definedName>
    <definedName name="dddd9999">#REF!</definedName>
    <definedName name="ddddccvf55141023">#REF!</definedName>
    <definedName name="ddddddddd000000">#REF!</definedName>
    <definedName name="ddddldlldkoi5879">#REF!</definedName>
    <definedName name="dddsssaaa55555">#REF!</definedName>
    <definedName name="desz">#REF!</definedName>
    <definedName name="dfdfg414789">'[13]x2,'!#REF!</definedName>
    <definedName name="dfgfdsasdf1014785">[8]x2!$F$11</definedName>
    <definedName name="dfghfjkljhsa414789456">#REF!</definedName>
    <definedName name="dfghj20147">#REF!</definedName>
    <definedName name="dlynv">#REF!</definedName>
    <definedName name="dsa">#REF!</definedName>
    <definedName name="dsas1201">#REF!</definedName>
    <definedName name="dsawa20145">#REF!</definedName>
    <definedName name="dsfghyujik747859">#REF!</definedName>
    <definedName name="dva">#REF!</definedName>
    <definedName name="edfr10145">#REF!</definedName>
    <definedName name="eeee41474874">#REF!</definedName>
    <definedName name="ewqa">#REF!</definedName>
    <definedName name="ews">#REF!</definedName>
    <definedName name="exvsi">#REF!</definedName>
    <definedName name="eywh23">#REF!</definedName>
    <definedName name="F22345u">#REF!</definedName>
    <definedName name="F45plok510">#REF!</definedName>
    <definedName name="f4f4f4f4f4f4f44d4ed44ed44">'[14]7'!$F$44</definedName>
    <definedName name="fdaAFG">[2]x!#REF!</definedName>
    <definedName name="fdgd354">'[15]1'!#REF!</definedName>
    <definedName name="fdgh2145">#REF!</definedName>
    <definedName name="fdrt124">#REF!</definedName>
    <definedName name="fds">#REF!</definedName>
    <definedName name="fdsa474">#REF!</definedName>
    <definedName name="fdsgtr14789">[16]x3!#REF!</definedName>
    <definedName name="fff5f5f5f5f5f52">'[14]8'!$F$13</definedName>
    <definedName name="ffff5">#REF!</definedName>
    <definedName name="ffff5555">#REF!</definedName>
    <definedName name="fffffvvv30214">#REF!</definedName>
    <definedName name="fgdfgtghj4178564">#REF!</definedName>
    <definedName name="fgdm">#REF!</definedName>
    <definedName name="fgffff44f4f4f4f44">'[14]7'!$F$30</definedName>
    <definedName name="fgfghjuk4741425">#REF!</definedName>
    <definedName name="fghbhjb20145">#REF!</definedName>
    <definedName name="fghj546">[6]x1!#REF!</definedName>
    <definedName name="frgtyrter">#REF!</definedName>
    <definedName name="fthjk85621">#REF!</definedName>
    <definedName name="fvb">#REF!</definedName>
    <definedName name="fvfbg2145789">#REF!</definedName>
    <definedName name="fvg6472145">[17]x1!#REF!</definedName>
    <definedName name="fvghg414789">#REF!</definedName>
    <definedName name="fwsg">#REF!</definedName>
    <definedName name="fxza">#REF!</definedName>
    <definedName name="gads4545">[5]x2!#REF!</definedName>
    <definedName name="gbgaqwert747896">#REF!</definedName>
    <definedName name="gbhbn478456">#REF!</definedName>
    <definedName name="gbhgnjuio4789654">#REF!</definedName>
    <definedName name="gdsdfgh45763">[18]x1!#REF!</definedName>
    <definedName name="gfd">'[19]res ur'!#REF!</definedName>
    <definedName name="gfds">#REF!</definedName>
    <definedName name="gfds987415">[17]x1!#REF!</definedName>
    <definedName name="gfdsaxcvvbnm">#REF!</definedName>
    <definedName name="gfgf547874">#REF!</definedName>
    <definedName name="gfgfhgf147854">[8]x2!$F$37</definedName>
    <definedName name="gfghjhyhjhj95841565">#REF!</definedName>
    <definedName name="gfhj5484">'[15]1'!#REF!</definedName>
    <definedName name="gfhjkl65214">'[15]1'!#REF!</definedName>
    <definedName name="gfhy1456">#REF!</definedName>
    <definedName name="gfhy56">#REF!</definedName>
    <definedName name="gfrdrtyui">[8]x1!$F$39</definedName>
    <definedName name="gfredv0000111">#REF!</definedName>
    <definedName name="gggffddd">#REF!</definedName>
    <definedName name="gggg11">#REF!</definedName>
    <definedName name="ggggbbb00147">#REF!</definedName>
    <definedName name="ggggddd51515">#REF!</definedName>
    <definedName name="ggvvvgvgvg014014010">#REF!</definedName>
    <definedName name="ghbca">#REF!</definedName>
    <definedName name="ghbnj21478">#REF!</definedName>
    <definedName name="ghdah584">#REF!</definedName>
    <definedName name="ghgfd4147896">#REF!</definedName>
    <definedName name="ghgfds41417875">[8]x2!$F$19</definedName>
    <definedName name="ghgfhjkjh54789">#REF!</definedName>
    <definedName name="ghghgjki4178456">#REF!</definedName>
    <definedName name="ghhjgh254">#REF!</definedName>
    <definedName name="ghjkhgfhj102145">#REF!</definedName>
    <definedName name="ghjkil256">[20]x!#REF!</definedName>
    <definedName name="ghjkj5478">#REF!</definedName>
    <definedName name="ghjkl">#REF!</definedName>
    <definedName name="ghnb6547">[5]x2!#REF!</definedName>
    <definedName name="ghrtwewq1479">[5]x1!#REF!</definedName>
    <definedName name="ghujkiolp62457">#REF!</definedName>
    <definedName name="gsgs54">#REF!</definedName>
    <definedName name="gtfd">#REF!</definedName>
    <definedName name="gtfd45">#REF!</definedName>
    <definedName name="gvgbhjh547898">#REF!</definedName>
    <definedName name="gyghuji32156">#REF!</definedName>
    <definedName name="gyth3">#REF!</definedName>
    <definedName name="gytjk">#REF!</definedName>
    <definedName name="h1h">#REF!</definedName>
    <definedName name="hasdha">#REF!</definedName>
    <definedName name="hazxc">#REF!</definedName>
    <definedName name="hbhbhb01012">#REF!</definedName>
    <definedName name="hbhj14142">#REF!</definedName>
    <definedName name="hbnhjktyu01021">#REF!</definedName>
    <definedName name="hbpl">#REF!</definedName>
    <definedName name="hbvgf1024787">#REF!</definedName>
    <definedName name="hdah56">[20]x!#REF!</definedName>
    <definedName name="hfdsgjhk4789">[5]x1!#REF!</definedName>
    <definedName name="HFGAY125">#REF!</definedName>
    <definedName name="hgaqw56">'[21]xar #1 (3)'!#REF!</definedName>
    <definedName name="hgbhg21456">#REF!</definedName>
    <definedName name="hgbv451">#REF!</definedName>
    <definedName name="hgbvfjuhylk7894541">#REF!</definedName>
    <definedName name="hgfd">#REF!</definedName>
    <definedName name="hgfd256">#REF!</definedName>
    <definedName name="HGFD457">#REF!</definedName>
    <definedName name="hgfd74789">#REF!</definedName>
    <definedName name="hgfdlkijh41548">#REF!</definedName>
    <definedName name="hgfds23">#REF!</definedName>
    <definedName name="hgfdsaert478965014789">#REF!</definedName>
    <definedName name="hgfdty7777777">#REF!</definedName>
    <definedName name="hgfdvbn5412">#REF!</definedName>
    <definedName name="hgfv">#REF!</definedName>
    <definedName name="hgfwqa980">[17]x1!#REF!</definedName>
    <definedName name="hggg4145897">#REF!</definedName>
    <definedName name="hgggggytf747896">#REF!</definedName>
    <definedName name="hghghguhjjh47878">#REF!</definedName>
    <definedName name="hghghjhghg2012450">#REF!</definedName>
    <definedName name="hghjhkui">#REF!</definedName>
    <definedName name="hghjjkjlkopo6514874">#REF!</definedName>
    <definedName name="hghjkjijk547869">#REF!</definedName>
    <definedName name="hghjkjijmkj">#REF!</definedName>
    <definedName name="hghjkuioljkj23216">#REF!</definedName>
    <definedName name="hgjhkjh">[8]x3!#REF!</definedName>
    <definedName name="hgjiklo456">[15]x1!#REF!</definedName>
    <definedName name="hgjkil256">#REF!</definedName>
    <definedName name="hgjklk65487">'[15]1'!#REF!</definedName>
    <definedName name="hgjklopiuyu6547">#REF!</definedName>
    <definedName name="hgnbgftyuiopljkj621458">[8]x3!#REF!</definedName>
    <definedName name="hgv">#REF!</definedName>
    <definedName name="hgvfds547879">[13]x1!#REF!</definedName>
    <definedName name="hgyt657">#REF!</definedName>
    <definedName name="hgyui54876">#REF!</definedName>
    <definedName name="hgyutfd1478986">#REF!</definedName>
    <definedName name="hhhh111222555">[6]x1!#REF!</definedName>
    <definedName name="hhhh444">[6]x1!#REF!</definedName>
    <definedName name="hhhh555">#REF!</definedName>
    <definedName name="hhhh74">#REF!</definedName>
    <definedName name="hhhhh111144">[18]x1!#REF!</definedName>
    <definedName name="hhhjjj20145">#REF!</definedName>
    <definedName name="hhhnnm2015">#REF!</definedName>
    <definedName name="hhjuhuki101245">#REF!</definedName>
    <definedName name="hjgf7845">#REF!</definedName>
    <definedName name="hjghuh414hj">#REF!</definedName>
    <definedName name="hjhgfkjl7478965">#REF!</definedName>
    <definedName name="hjhu4kj">#REF!</definedName>
    <definedName name="hjhuhk784568">#REF!</definedName>
    <definedName name="hjka">#REF!</definedName>
    <definedName name="hjki547">[15]x1!#REF!</definedName>
    <definedName name="hjkih2015">'[22]1'!#REF!</definedName>
    <definedName name="hjkiklk654789">#REF!</definedName>
    <definedName name="hjkil14789">#REF!</definedName>
    <definedName name="hjkil4587">#REF!</definedName>
    <definedName name="hjkl32">#REF!</definedName>
    <definedName name="hjklas102">#REF!</definedName>
    <definedName name="hjnjn01045">#REF!</definedName>
    <definedName name="hju">#REF!</definedName>
    <definedName name="hjuko1478">#REF!</definedName>
    <definedName name="hjuykiop14896">[6]x1!#REF!</definedName>
    <definedName name="hkhjhgf414785">#REF!</definedName>
    <definedName name="hnbg">#REF!</definedName>
    <definedName name="hori1">#REF!</definedName>
    <definedName name="hrkfmd45">#REF!</definedName>
    <definedName name="huhgas475">[23]x!#REF!</definedName>
    <definedName name="huji236">#REF!</definedName>
    <definedName name="hujk">#REF!</definedName>
    <definedName name="huy">#REF!</definedName>
    <definedName name="huyg32">#REF!</definedName>
    <definedName name="hyfaq8">#REF!</definedName>
    <definedName name="hytrew">#REF!</definedName>
    <definedName name="ighfdsae58">'[24]x#1'!#REF!</definedName>
    <definedName name="ihl">#REF!</definedName>
    <definedName name="iiiiii22222">#REF!</definedName>
    <definedName name="iiikkkkk201">#REF!</definedName>
    <definedName name="iijijiok7879">#REF!</definedName>
    <definedName name="iitoi647">[20]x!#REF!</definedName>
    <definedName name="ijhgtr96210">[5]x2!#REF!</definedName>
    <definedName name="ijhuy4587">#REF!</definedName>
    <definedName name="ijhygf65487">#REF!</definedName>
    <definedName name="ijijhuygf54789">[25]x1!#REF!</definedName>
    <definedName name="ijijkj54789">'[14]6'!$F$18</definedName>
    <definedName name="ijj3j33j33jj333jj">[25]x1!#REF!</definedName>
    <definedName name="ijkop5478">[16]x2!#REF!</definedName>
    <definedName name="ijuhg">#REF!</definedName>
    <definedName name="ik1kio">#REF!</definedName>
    <definedName name="ikijio12145">#REF!</definedName>
    <definedName name="ikik47888">'[14]8'!$F$55</definedName>
    <definedName name="ikikji747875">'[14]7'!$F$37</definedName>
    <definedName name="ikilokk65414786">#REF!</definedName>
    <definedName name="ikilopo47896">[8]x1!$F$35</definedName>
    <definedName name="ikjuj9847">[5]x2!#REF!</definedName>
    <definedName name="iklj4785">#REF!</definedName>
    <definedName name="ikolp54546">[5]x2!#REF!</definedName>
    <definedName name="ikolp9874123">[5]x2!#REF!</definedName>
    <definedName name="ikolpi1245">#REF!</definedName>
    <definedName name="ikolpkij478965">#REF!</definedName>
    <definedName name="ikolpl21458">#REF!</definedName>
    <definedName name="iobv3">#REF!</definedName>
    <definedName name="ioklp9874">#REF!</definedName>
    <definedName name="ioklpo14789">#REF!</definedName>
    <definedName name="ioklqa587">[23]x!#REF!</definedName>
    <definedName name="iolk3601">#REF!</definedName>
    <definedName name="iolp256">#REF!</definedName>
    <definedName name="iolpk5478o145">#REF!</definedName>
    <definedName name="iopasd589">#REF!</definedName>
    <definedName name="iuiyui0104">#REF!</definedName>
    <definedName name="iujkh62104">[5]x2!#REF!</definedName>
    <definedName name="iukiolo54847">#REF!</definedName>
    <definedName name="iuklo2568">[26]x2!#REF!</definedName>
    <definedName name="iuop">#REF!</definedName>
    <definedName name="iuy">#REF!</definedName>
    <definedName name="iuyhgykju8745">#REF!</definedName>
    <definedName name="iuyt14587">[8]x3!#REF!</definedName>
    <definedName name="iuytr987">[27]x1!#REF!</definedName>
    <definedName name="iuytre745">#REF!</definedName>
    <definedName name="jfdyrt14790">#REF!</definedName>
    <definedName name="jhg">#REF!</definedName>
    <definedName name="jhgf">#REF!</definedName>
    <definedName name="jhgf454876">#REF!</definedName>
    <definedName name="jhgf4587">#REF!</definedName>
    <definedName name="jhgfd">#REF!</definedName>
    <definedName name="jhgfrtyhyu47846458">#REF!</definedName>
    <definedName name="jhgu514">[15]x1!#REF!</definedName>
    <definedName name="jhgyt256">#REF!</definedName>
    <definedName name="jhgyt47879">#REF!</definedName>
    <definedName name="jhgytflkij54784">#REF!</definedName>
    <definedName name="jhgytjuih">[16]x2!#REF!</definedName>
    <definedName name="jhikolp4578">#REF!</definedName>
    <definedName name="jhjhkliok20203.569">#REF!</definedName>
    <definedName name="jhkio5695">#REF!</definedName>
    <definedName name="jhkiol">#REF!</definedName>
    <definedName name="jhkiuolp24789">#REF!</definedName>
    <definedName name="jhkjuikloi47896">#REF!</definedName>
    <definedName name="jhklp5484">#REF!</definedName>
    <definedName name="jhkuioi547845">#REF!</definedName>
    <definedName name="jhm">#REF!</definedName>
    <definedName name="jhug1478">#REF!</definedName>
    <definedName name="jhuy2145">#REF!</definedName>
    <definedName name="jhuy458">#REF!</definedName>
    <definedName name="jhyg41">'[15]1'!#REF!</definedName>
    <definedName name="jijkolp101256">#REF!</definedName>
    <definedName name="jilo">#REF!</definedName>
    <definedName name="jiuyokliu2012">#REF!</definedName>
    <definedName name="jjhgfd658">#REF!</definedName>
    <definedName name="jjjj111">[6]x1!#REF!</definedName>
    <definedName name="jjjj2j2j2j2j2j2j2">[25]x1!#REF!</definedName>
    <definedName name="jjjj5555">[9]x1!#REF!</definedName>
    <definedName name="jjjjhh5142">#REF!</definedName>
    <definedName name="jjjjj1">#REF!</definedName>
    <definedName name="jjjjj1kkk1">#REF!</definedName>
    <definedName name="jjjjj4444">#REF!</definedName>
    <definedName name="jjjjjjj5555555">#REF!</definedName>
    <definedName name="jjjjvvvqqq66620">#REF!</definedName>
    <definedName name="jjjkklop145786">#REF!</definedName>
    <definedName name="jk32kl">[8]x3!#REF!</definedName>
    <definedName name="jkfx30">#REF!</definedName>
    <definedName name="jkfyu365">[23]x!#REF!</definedName>
    <definedName name="jkgffduytryu64702">[20]x!#REF!</definedName>
    <definedName name="jkhjgkliob1012">#REF!</definedName>
    <definedName name="jkhlo20145">#REF!</definedName>
    <definedName name="jki">#REF!</definedName>
    <definedName name="jkih215">#REF!</definedName>
    <definedName name="jkil56">#REF!</definedName>
    <definedName name="jkio54576">#REF!</definedName>
    <definedName name="jkiolp1456">#REF!</definedName>
    <definedName name="jkiolp6254">#REF!</definedName>
    <definedName name="jkiuh14586">#REF!</definedName>
    <definedName name="jkiuohp1478">#REF!</definedName>
    <definedName name="jkjikolp14789">#REF!</definedName>
    <definedName name="jkjkjh102336">#REF!</definedName>
    <definedName name="jkjkl4789">#REF!</definedName>
    <definedName name="jklhg654789">#REF!</definedName>
    <definedName name="jklkk14578">[25]x1!#REF!</definedName>
    <definedName name="jklkpolk47896">#REF!</definedName>
    <definedName name="jklo4568">#REF!</definedName>
    <definedName name="jklo63201">[5]x2!#REF!</definedName>
    <definedName name="jklop415268">[5]x2!#REF!</definedName>
    <definedName name="jklopi654789">[25]x1!#REF!</definedName>
    <definedName name="jkoiplyujhk21457">#REF!</definedName>
    <definedName name="jnbhgf4145">#REF!</definedName>
    <definedName name="jnhgyhjkm">[8]x2!$F$28</definedName>
    <definedName name="jnhyug20147">#REF!</definedName>
    <definedName name="jnmh2101">[5]x2!#REF!</definedName>
    <definedName name="jsef">#REF!</definedName>
    <definedName name="jshj">#REF!</definedName>
    <definedName name="juhg">#REF!</definedName>
    <definedName name="juhg02">#REF!</definedName>
    <definedName name="juikl9847">[5]x2!#REF!</definedName>
    <definedName name="juiklo458">#REF!</definedName>
    <definedName name="jukil365">#REF!</definedName>
    <definedName name="jukil6521">#REF!</definedName>
    <definedName name="jukiop548786">#REF!</definedName>
    <definedName name="juytgb">#REF!</definedName>
    <definedName name="jzawqr62147">#REF!</definedName>
    <definedName name="k">#REF!</definedName>
    <definedName name="k5k">[8]x3!#REF!</definedName>
    <definedName name="kaeeeeee">#REF!</definedName>
    <definedName name="kaqw">#REF!</definedName>
    <definedName name="kawr896">#REF!</definedName>
    <definedName name="KBMPJ147">[2]x!#REF!</definedName>
    <definedName name="kbvc">#REF!</definedName>
    <definedName name="kdewqamn">#REF!</definedName>
    <definedName name="kgkgfkd568">#REF!</definedName>
    <definedName name="kgyutiu68574">[20]x!#REF!</definedName>
    <definedName name="khgfd584">#REF!</definedName>
    <definedName name="khuy">#REF!</definedName>
    <definedName name="kigfd5">#REF!</definedName>
    <definedName name="kij">#REF!</definedName>
    <definedName name="kijh">#REF!</definedName>
    <definedName name="kijhg">#REF!</definedName>
    <definedName name="kijhl">#REF!</definedName>
    <definedName name="kijol321">[15]x1!#REF!</definedName>
    <definedName name="kiju1478">#REF!</definedName>
    <definedName name="kiju745">#REF!</definedName>
    <definedName name="kijuij1401245">#REF!</definedName>
    <definedName name="kijulkij32">#REF!</definedName>
    <definedName name="kijulopki">#REF!</definedName>
    <definedName name="kik">#REF!</definedName>
    <definedName name="kikol84758">#REF!</definedName>
    <definedName name="kiljuh1468">[15]x1!#REF!</definedName>
    <definedName name="kilko47869">#REF!</definedName>
    <definedName name="kilopjhuk1478">#REF!</definedName>
    <definedName name="kioa">#REF!</definedName>
    <definedName name="kioj1248">#REF!</definedName>
    <definedName name="kiojh">#REF!</definedName>
    <definedName name="kiojh1478">#REF!</definedName>
    <definedName name="kiol547">#REF!</definedName>
    <definedName name="kiol5487">#REF!</definedName>
    <definedName name="kiolp2586">#REF!</definedName>
    <definedName name="kiop">#REF!</definedName>
    <definedName name="kiouij589796">#REF!</definedName>
    <definedName name="kiuj362">'[24]x#2'!#REF!</definedName>
    <definedName name="kiuy">#REF!</definedName>
    <definedName name="kjasawq">#REF!</definedName>
    <definedName name="kjbhfs65">#REF!</definedName>
    <definedName name="kjghdt2145">[23]x!#REF!</definedName>
    <definedName name="kjh">#REF!</definedName>
    <definedName name="kjhg">#REF!</definedName>
    <definedName name="kjhg1457">[8]x2!#REF!</definedName>
    <definedName name="kjhg471047">[16]x3!#REF!</definedName>
    <definedName name="kjhg4787">#REF!</definedName>
    <definedName name="kjhg6214">#REF!</definedName>
    <definedName name="kjhgf">#REF!</definedName>
    <definedName name="kjhgf4565">#REF!</definedName>
    <definedName name="kjhgf58">'[24]x#1'!#REF!</definedName>
    <definedName name="kjhgfds21478">[23]x!#REF!</definedName>
    <definedName name="kjhgfrtyui15476">[5]x1!#REF!</definedName>
    <definedName name="kjhglopi568741">[28]x1!#REF!</definedName>
    <definedName name="kjhjgui548">#REF!</definedName>
    <definedName name="kjhk65">#REF!</definedName>
    <definedName name="kjhq">#REF!</definedName>
    <definedName name="kjhu1478">#REF!</definedName>
    <definedName name="kjhuiu145786">#REF!</definedName>
    <definedName name="kjhuloki5478">#REF!</definedName>
    <definedName name="kjhuyg1456">[7]x2w!#REF!</definedName>
    <definedName name="kjhuygf14578">[13]x1!#REF!</definedName>
    <definedName name="kjhygtfd54787">#REF!</definedName>
    <definedName name="kjih5486">#REF!</definedName>
    <definedName name="kjij3214">[29]x1!#REF!</definedName>
    <definedName name="kjilo65">#REF!</definedName>
    <definedName name="kjio">#REF!</definedName>
    <definedName name="kjio41111111">#REF!</definedName>
    <definedName name="kjiu6214">[6]x1!#REF!</definedName>
    <definedName name="kjiu65847">#REF!</definedName>
    <definedName name="kjiulp62014">#REF!</definedName>
    <definedName name="kjjhgfkjkl478965">#REF!</definedName>
    <definedName name="kjjj55558">#REF!</definedName>
    <definedName name="kjkljl214578">[8]x3!#REF!</definedName>
    <definedName name="kjlhuiop478965">[8]x3!#REF!</definedName>
    <definedName name="kjlo2514">#REF!</definedName>
    <definedName name="kjlop547012">[20]x!#REF!</definedName>
    <definedName name="kjmkop7486">#REF!</definedName>
    <definedName name="kjnhb14789654">#REF!</definedName>
    <definedName name="kjnhgyt5487">#REF!</definedName>
    <definedName name="kjnm510">#REF!</definedName>
    <definedName name="kjnnnn123">#REF!</definedName>
    <definedName name="kjop">#REF!</definedName>
    <definedName name="kjse">#REF!</definedName>
    <definedName name="kjuh">#REF!</definedName>
    <definedName name="kjuh111">#REF!</definedName>
    <definedName name="kjuhg">#REF!</definedName>
    <definedName name="kjuhg12048">#REF!</definedName>
    <definedName name="kjuhgy41078">#REF!</definedName>
    <definedName name="kjwa68">#REF!</definedName>
    <definedName name="kkkjj235">#REF!</definedName>
    <definedName name="kkkjjhhmnb">#REF!</definedName>
    <definedName name="kkkk444433">[9]x1!#REF!</definedName>
    <definedName name="kkkk55">#REF!</definedName>
    <definedName name="kkkkk000222">#REF!</definedName>
    <definedName name="kkkkk6k66k6k6kk66">[8]x1!$F$11</definedName>
    <definedName name="kkkkkkmmmm5551111">#REF!</definedName>
    <definedName name="kkkkll6514">#REF!</definedName>
    <definedName name="kkkkmmmnnn">[30]Лист2!$F$56</definedName>
    <definedName name="kkkllljj10145">#REF!</definedName>
    <definedName name="kkkm">#REF!</definedName>
    <definedName name="kkkmmnmm52140">#REF!</definedName>
    <definedName name="kkkoilok666999">'[22]x2,'!#REF!</definedName>
    <definedName name="kkl">#REF!</definedName>
    <definedName name="kkolij">[15]x1!#REF!</definedName>
    <definedName name="kkolpk10215">#REF!</definedName>
    <definedName name="kl">#REF!</definedName>
    <definedName name="kljiuop14578">#REF!</definedName>
    <definedName name="klkk222">#REF!</definedName>
    <definedName name="klmn">#REF!</definedName>
    <definedName name="kloijuh254">'[16]x3 (2)'!#REF!</definedName>
    <definedName name="kloint">#REF!</definedName>
    <definedName name="kloiu2458">[8]x3!#REF!</definedName>
    <definedName name="klok65847">#REF!</definedName>
    <definedName name="klokj25">[5]x2!#REF!</definedName>
    <definedName name="klokj5487">#REF!</definedName>
    <definedName name="klop">#REF!</definedName>
    <definedName name="klop14784">#REF!</definedName>
    <definedName name="klop478">#REF!</definedName>
    <definedName name="klop47896">#REF!</definedName>
    <definedName name="klop652">#REF!</definedName>
    <definedName name="klopi2457">[20]x!#REF!</definedName>
    <definedName name="klopi65487">#REF!</definedName>
    <definedName name="klopijuh568">#REF!</definedName>
    <definedName name="klopl14758">#REF!</definedName>
    <definedName name="klopo25468">#REF!</definedName>
    <definedName name="klpk125">[5]x2!#REF!</definedName>
    <definedName name="kls">#REF!</definedName>
    <definedName name="km">#REF!</definedName>
    <definedName name="kmb">#REF!</definedName>
    <definedName name="kmjm">#REF!</definedName>
    <definedName name="kmjn457">#REF!</definedName>
    <definedName name="kmjnh3201">[30]Лист2!$F$14</definedName>
    <definedName name="kmjnh51478">#REF!</definedName>
    <definedName name="kmjnjnm">#REF!</definedName>
    <definedName name="kmkmjnj74879">#REF!</definedName>
    <definedName name="kml9oi1456">#REF!</definedName>
    <definedName name="kmn">#REF!</definedName>
    <definedName name="kmnbh6214">[5]x2!#REF!</definedName>
    <definedName name="kmnbv62014">#REF!</definedName>
    <definedName name="kmnj6201">#REF!</definedName>
    <definedName name="kmnjh1548">#REF!</definedName>
    <definedName name="knhyb">#REF!</definedName>
    <definedName name="knmjhgf145478">[13]x1!#REF!</definedName>
    <definedName name="koij1458">#REF!</definedName>
    <definedName name="kokl222555">#REF!</definedName>
    <definedName name="kolhg6532">#REF!</definedName>
    <definedName name="koli45">'[31]x 3'!#REF!</definedName>
    <definedName name="koliu14786">[9]x1!#REF!</definedName>
    <definedName name="kolo125">#REF!</definedName>
    <definedName name="kolop2145458">#REF!</definedName>
    <definedName name="kolp">#REF!</definedName>
    <definedName name="kolpijkl20145">#REF!</definedName>
    <definedName name="kolpijuhki45789">[28]x1!#REF!</definedName>
    <definedName name="kolplo47896">#REF!</definedName>
    <definedName name="kolpqaz178">#REF!</definedName>
    <definedName name="kop">#REF!</definedName>
    <definedName name="kopw">#REF!</definedName>
    <definedName name="kot">#REF!</definedName>
    <definedName name="kp">#REF!</definedName>
    <definedName name="ks">#REF!</definedName>
    <definedName name="ksael">#REF!</definedName>
    <definedName name="kx">#REF!</definedName>
    <definedName name="l1l2">#REF!</definedName>
    <definedName name="lazm2">#REF!</definedName>
    <definedName name="lghfxdtryuti2487">[20]x!#REF!</definedName>
    <definedName name="liokpo7474010101">[8]x1!$F$27</definedName>
    <definedName name="ljhggfdd23">#REF!</definedName>
    <definedName name="lkij">#REF!</definedName>
    <definedName name="lkijh625">[5]x2!#REF!</definedName>
    <definedName name="lkijh6548">#REF!</definedName>
    <definedName name="lkijo">#REF!</definedName>
    <definedName name="lkiju5104">#REF!</definedName>
    <definedName name="lkiop">#REF!</definedName>
    <definedName name="lkiu">#REF!</definedName>
    <definedName name="lkj">#REF!</definedName>
    <definedName name="lkjbh624">#REF!</definedName>
    <definedName name="lkjh">#REF!</definedName>
    <definedName name="lkjh1457">#REF!</definedName>
    <definedName name="lkjh41478sasdxc02145">#REF!</definedName>
    <definedName name="lkjh545">#REF!</definedName>
    <definedName name="lkjh548321">#REF!</definedName>
    <definedName name="lkjhb1">#REF!</definedName>
    <definedName name="lkjhg14547">[8]x2!#REF!</definedName>
    <definedName name="lkjhg4578">#REF!</definedName>
    <definedName name="lkjhg514">#REF!</definedName>
    <definedName name="lkjhg9514">#REF!</definedName>
    <definedName name="lkjhu478">#REF!</definedName>
    <definedName name="lkji5478">[29]x1!#REF!</definedName>
    <definedName name="lkjijnj140">#REF!</definedName>
    <definedName name="lkjiop2169">#REF!</definedName>
    <definedName name="lkjiu5147">#REF!</definedName>
    <definedName name="lkjiuh547876">[28]x1!#REF!</definedName>
    <definedName name="lkjiuhg45784">#REF!</definedName>
    <definedName name="lkjjhh">#REF!</definedName>
    <definedName name="lkjo4786">#REF!</definedName>
    <definedName name="lkkjhh5h4h4h4h4">'[14]7'!$F$56</definedName>
    <definedName name="lkkk5555">#REF!</definedName>
    <definedName name="lkma81">[6]x1!#REF!</definedName>
    <definedName name="lkmjn625">#REF!</definedName>
    <definedName name="lkmjn951470">'[32]x5)'!#REF!</definedName>
    <definedName name="lkmnh20147">#REF!</definedName>
    <definedName name="lkoij2015">#REF!</definedName>
    <definedName name="lkoij23564">'[15]1'!#REF!</definedName>
    <definedName name="lkoij5478">#REF!</definedName>
    <definedName name="lkoijh4789">#REF!</definedName>
    <definedName name="lkoj124">#REF!</definedName>
    <definedName name="lkojiu4879">#REF!</definedName>
    <definedName name="lkojl1456">'[15]1'!#REF!</definedName>
    <definedName name="lkokp147">#REF!</definedName>
    <definedName name="lkop548">#REF!</definedName>
    <definedName name="lkop620">#REF!</definedName>
    <definedName name="lkopu5478">#REF!</definedName>
    <definedName name="lkpoi14786">#REF!</definedName>
    <definedName name="llkk65454">[8]x3!#REF!</definedName>
    <definedName name="llkmjn65210">[6]x1!#REF!</definedName>
    <definedName name="llko0123">[29]x1!#REF!</definedName>
    <definedName name="lllkkk8889999">#REF!</definedName>
    <definedName name="llll20147">#REF!</definedName>
    <definedName name="llll2222000">#REF!</definedName>
    <definedName name="llll54">#REF!</definedName>
    <definedName name="llll555">#REF!</definedName>
    <definedName name="lllll0000">#REF!</definedName>
    <definedName name="lllll555">[5]x2!#REF!</definedName>
    <definedName name="llllllll333">#REF!</definedName>
    <definedName name="lllllpppp2454">#REF!</definedName>
    <definedName name="llllmmmnn201025">#REF!</definedName>
    <definedName name="llllmmmnnn111444">#REF!</definedName>
    <definedName name="LMBVCX">#REF!</definedName>
    <definedName name="lmkijh2548">#REF!</definedName>
    <definedName name="lmkj20147">#REF!</definedName>
    <definedName name="lmkjn621">#REF!</definedName>
    <definedName name="lmknj414789">[25]x1!#REF!</definedName>
    <definedName name="lmuioa">#REF!</definedName>
    <definedName name="lmutaz">#REF!</definedName>
    <definedName name="loiu">#REF!</definedName>
    <definedName name="lok">#REF!</definedName>
    <definedName name="loki254">#REF!</definedName>
    <definedName name="loki3210">[5]x2!#REF!</definedName>
    <definedName name="loki478">[20]x!#REF!</definedName>
    <definedName name="loki541">#REF!</definedName>
    <definedName name="lokij10478">#REF!</definedName>
    <definedName name="lokij1245">#REF!</definedName>
    <definedName name="lokij2546">[7]x2w!#REF!</definedName>
    <definedName name="lokijjjj1010">#REF!</definedName>
    <definedName name="lokiju3265">#REF!</definedName>
    <definedName name="lokj">#REF!</definedName>
    <definedName name="lokj741">#REF!</definedName>
    <definedName name="lokp4789">#REF!</definedName>
    <definedName name="lokphg1258">[23]x!#REF!</definedName>
    <definedName name="lokpij1245">#REF!</definedName>
    <definedName name="lokpijuh1478">[26]x2!#REF!</definedName>
    <definedName name="lokpiuyt5487">#REF!</definedName>
    <definedName name="lokpo2154">#REF!</definedName>
    <definedName name="lolp478965">#REF!</definedName>
    <definedName name="lolpkiji">#REF!</definedName>
    <definedName name="lomj">#REF!</definedName>
    <definedName name="lomz">#REF!</definedName>
    <definedName name="lopilku2147">[20]x!#REF!</definedName>
    <definedName name="lopk2">#REF!</definedName>
    <definedName name="lopki1475">#REF!</definedName>
    <definedName name="lopkio14756">#REF!</definedName>
    <definedName name="lopkiu325">[23]x!#REF!</definedName>
    <definedName name="lopkj569">#REF!</definedName>
    <definedName name="loplolp4789653">'[13]x2,'!#REF!</definedName>
    <definedName name="lozaq3">#REF!</definedName>
    <definedName name="lpkoj20154">#REF!</definedName>
    <definedName name="lplo1424">#REF!</definedName>
    <definedName name="lpo">#REF!</definedName>
    <definedName name="lpoki">#REF!</definedName>
    <definedName name="lpoki478796">#REF!</definedName>
    <definedName name="lpokj548">#REF!</definedName>
    <definedName name="lpokl2654">#REF!</definedName>
    <definedName name="lpokoilju10245">#REF!</definedName>
    <definedName name="lqat">#REF!</definedName>
    <definedName name="ltjg8965">#REF!</definedName>
    <definedName name="lymhg5692">#REF!</definedName>
    <definedName name="lzo">#REF!</definedName>
    <definedName name="mbnvx">#REF!</definedName>
    <definedName name="mdshg">#REF!</definedName>
    <definedName name="me">#REF!</definedName>
    <definedName name="mecxre">#REF!</definedName>
    <definedName name="meeqvse">#REF!</definedName>
    <definedName name="meore">#REF!</definedName>
    <definedName name="meotx">#REF!</definedName>
    <definedName name="merve">#REF!</definedName>
    <definedName name="mes">#REF!</definedName>
    <definedName name="mesvide">#REF!</definedName>
    <definedName name="mioh">#REF!</definedName>
    <definedName name="mkh">#REF!</definedName>
    <definedName name="mkjh2014">#REF!</definedName>
    <definedName name="mkjiulokij5146">[33]x1!$F$61</definedName>
    <definedName name="mkol145">#REF!</definedName>
    <definedName name="mmm1111222">[9]x1!#REF!</definedName>
    <definedName name="mmmm13">#REF!</definedName>
    <definedName name="mmn">#REF!</definedName>
    <definedName name="mnbnv">#REF!</definedName>
    <definedName name="mnmnmn101010">#REF!</definedName>
    <definedName name="more">#REF!</definedName>
    <definedName name="mrewa">#REF!</definedName>
    <definedName name="nbvcx12369">#REF!</definedName>
    <definedName name="nczxh21">#REF!</definedName>
    <definedName name="nmjh564">[7]x1!#REF!</definedName>
    <definedName name="nnnn88">#REF!</definedName>
    <definedName name="nnnw123">#REF!</definedName>
    <definedName name="nuaq">#REF!</definedName>
    <definedName name="o">#REF!</definedName>
    <definedName name="oiesd456">'[24]x#1'!#REF!</definedName>
    <definedName name="oiiiiii6666">#REF!</definedName>
    <definedName name="oij9ho562214">#REF!</definedName>
    <definedName name="oijkuytt41023">[20]x!#REF!</definedName>
    <definedName name="oijuhy98745">#REF!</definedName>
    <definedName name="oijuhyg54786">#REF!</definedName>
    <definedName name="oikjl254">[15]x1!#REF!</definedName>
    <definedName name="oikjplo5145">#REF!</definedName>
    <definedName name="oikuy458">#REF!</definedName>
    <definedName name="oilkm365">#REF!</definedName>
    <definedName name="oipl478">#REF!</definedName>
    <definedName name="oipo14576">[8]x2!#REF!</definedName>
    <definedName name="oiutytop21564">#REF!</definedName>
    <definedName name="oiuu478">#REF!</definedName>
    <definedName name="oiuy">#REF!</definedName>
    <definedName name="okihuyjuki47879">#REF!</definedName>
    <definedName name="okij4747">#REF!</definedName>
    <definedName name="okij4789966">[25]x1!#REF!</definedName>
    <definedName name="okijh5214">#REF!</definedName>
    <definedName name="okijuh87478">'[14]6'!$F$28</definedName>
    <definedName name="okijuhg4786">#REF!</definedName>
    <definedName name="okijuhy54789">'[14]8'!$F$48</definedName>
    <definedName name="okijukiuh102154">#REF!</definedName>
    <definedName name="okil">#REF!</definedName>
    <definedName name="okjh145">#REF!</definedName>
    <definedName name="okli6250">[5]x2!#REF!</definedName>
    <definedName name="oklij21456">[7]x1!#REF!</definedName>
    <definedName name="oklij5487">[28]x1!#REF!</definedName>
    <definedName name="oklp4789">#REF!</definedName>
    <definedName name="oklphji">#REF!</definedName>
    <definedName name="oklpi54876">#REF!</definedName>
    <definedName name="oknjh95147">#REF!</definedName>
    <definedName name="okoklpokiju658796">#REF!</definedName>
    <definedName name="olkiioyhfd32145s89">#REF!</definedName>
    <definedName name="olkij8745">#REF!</definedName>
    <definedName name="olkil625">#REF!</definedName>
    <definedName name="olkkkk111100">'[13]x2,'!#REF!</definedName>
    <definedName name="olm">#REF!</definedName>
    <definedName name="oloko">'[15]1'!#REF!</definedName>
    <definedName name="olol4574">'[14]7'!$F$19</definedName>
    <definedName name="ololikjhyu49494">#REF!</definedName>
    <definedName name="ololol547896">[8]x3!#REF!</definedName>
    <definedName name="olololo10101">#REF!</definedName>
    <definedName name="olopk14245">'[22]x2,'!#REF!</definedName>
    <definedName name="olpiuy4789730">#REF!</definedName>
    <definedName name="olpkiujk14578">[28]x1!#REF!</definedName>
    <definedName name="olpl1457">#REF!</definedName>
    <definedName name="olplp10147">#REF!</definedName>
    <definedName name="olpo14578">#REF!</definedName>
    <definedName name="olpouu586">#REF!</definedName>
    <definedName name="oo55l5o">#REF!</definedName>
    <definedName name="ooii">#REF!</definedName>
    <definedName name="ooo6o65o456">[8]x3!#REF!</definedName>
    <definedName name="oooi456">'[15]1'!#REF!</definedName>
    <definedName name="ooolol62541">#REF!</definedName>
    <definedName name="ooolp2154">#REF!</definedName>
    <definedName name="oooo547">#REF!</definedName>
    <definedName name="oooo6">#REF!</definedName>
    <definedName name="oooommmm">#REF!</definedName>
    <definedName name="ooooooii">#REF!</definedName>
    <definedName name="ooooppp20145">#REF!</definedName>
    <definedName name="ooopplo6254">#REF!</definedName>
    <definedName name="oopolkkil">#REF!</definedName>
    <definedName name="opidm210">[23]x!#REF!</definedName>
    <definedName name="opilu6584">#REF!</definedName>
    <definedName name="opkiu236">#REF!</definedName>
    <definedName name="opkoj2050145">#REF!</definedName>
    <definedName name="opl">#REF!</definedName>
    <definedName name="oplo1245">#REF!</definedName>
    <definedName name="oplokijuhyg478965235">#REF!</definedName>
    <definedName name="oplop321">#REF!</definedName>
    <definedName name="oplp145632223">#REF!</definedName>
    <definedName name="oplp65487">#REF!</definedName>
    <definedName name="opoiu7487">#REF!</definedName>
    <definedName name="opuyu">#REF!</definedName>
    <definedName name="orda8012">[20]x!#REF!</definedName>
    <definedName name="otxi">#REF!</definedName>
    <definedName name="ouyrfer458">#REF!</definedName>
    <definedName name="pazxs">#REF!</definedName>
    <definedName name="pi">#REF!</definedName>
    <definedName name="pirveli">#REF!</definedName>
    <definedName name="piyuytr1457">#REF!</definedName>
    <definedName name="pjkio1478">#REF!</definedName>
    <definedName name="pkmnj">#REF!</definedName>
    <definedName name="pkoi">#REF!</definedName>
    <definedName name="plikdrtyu874789">[25]x1!#REF!</definedName>
    <definedName name="plki1457">#REF!</definedName>
    <definedName name="plki8747">#REF!</definedName>
    <definedName name="plkijh41478">#REF!</definedName>
    <definedName name="plkj621">#REF!</definedName>
    <definedName name="plkjl">#REF!</definedName>
    <definedName name="plkjuyr5417">[5]x2!#REF!</definedName>
    <definedName name="plkm8123">[9]x1!#REF!</definedName>
    <definedName name="plkoj10214">#REF!</definedName>
    <definedName name="plmnb95478">#REF!</definedName>
    <definedName name="plmz">#REF!</definedName>
    <definedName name="ploi2145">#REF!</definedName>
    <definedName name="ploik1489">[23]x!#REF!</definedName>
    <definedName name="plok1214">'[32]x1 (2)'!#REF!</definedName>
    <definedName name="plok125">#REF!</definedName>
    <definedName name="plok2514">#REF!</definedName>
    <definedName name="plok265">#REF!</definedName>
    <definedName name="ploki125">#REF!</definedName>
    <definedName name="ploki1256">#REF!</definedName>
    <definedName name="ploki2145">[15]x1!#REF!</definedName>
    <definedName name="ploki414789">#REF!</definedName>
    <definedName name="ploki4578410mnb">#REF!</definedName>
    <definedName name="ploki51487">#REF!</definedName>
    <definedName name="ploki54786">#REF!</definedName>
    <definedName name="ploki5487">#REF!</definedName>
    <definedName name="plokij1457">#REF!</definedName>
    <definedName name="plokij14789">#REF!</definedName>
    <definedName name="plokij147895">#REF!</definedName>
    <definedName name="PLOKIJ45784">#REF!</definedName>
    <definedName name="plokij51484">'[32]x5)'!#REF!</definedName>
    <definedName name="plokij5478">#REF!</definedName>
    <definedName name="plokij658487">#REF!</definedName>
    <definedName name="plokij78496">#REF!</definedName>
    <definedName name="plokiju45789">#REF!</definedName>
    <definedName name="plokj">#REF!</definedName>
    <definedName name="plokj2143">#REF!</definedName>
    <definedName name="plokju21548">#REF!</definedName>
    <definedName name="plokju6584">[27]x1!#REF!</definedName>
    <definedName name="poi">#REF!</definedName>
    <definedName name="poijuh12548">#REF!</definedName>
    <definedName name="poikj654">#REF!</definedName>
    <definedName name="poil456">#REF!</definedName>
    <definedName name="poiliu4587">#REF!</definedName>
    <definedName name="poilkoi14576">#REF!</definedName>
    <definedName name="poim5">#REF!</definedName>
    <definedName name="poiplokij47895">'[13]x2,'!#REF!</definedName>
    <definedName name="poipolo201457">#REF!</definedName>
    <definedName name="poiu">#REF!</definedName>
    <definedName name="poiu1478">#REF!</definedName>
    <definedName name="poiu45456">'[15]1'!#REF!</definedName>
    <definedName name="poiu87">#REF!</definedName>
    <definedName name="poiuikljiu5487">'[22]x2,'!#REF!</definedName>
    <definedName name="poiuoloki1478">#REF!</definedName>
    <definedName name="poiuy">#REF!</definedName>
    <definedName name="poiuy487">#REF!</definedName>
    <definedName name="pokas1478">[15]x1!#REF!</definedName>
    <definedName name="pokcds">#REF!</definedName>
    <definedName name="pokgde478">#REF!</definedName>
    <definedName name="pokil4789">#REF!</definedName>
    <definedName name="pokilu4789">#REF!</definedName>
    <definedName name="pokiu54786">[28]x1!#REF!</definedName>
    <definedName name="pokli456">#REF!</definedName>
    <definedName name="poli">#REF!</definedName>
    <definedName name="poli654873256">#REF!</definedName>
    <definedName name="polipku547896">[8]x3!#REF!</definedName>
    <definedName name="polki14l">#REF!</definedName>
    <definedName name="polki2547">#REF!</definedName>
    <definedName name="polki4714">[20]x!#REF!</definedName>
    <definedName name="polki4784">#REF!</definedName>
    <definedName name="polki4787">#REF!</definedName>
    <definedName name="polki659">#REF!</definedName>
    <definedName name="polkij125478">#REF!</definedName>
    <definedName name="polkijnmbg">#REF!</definedName>
    <definedName name="polkiuy6587">[23]x!#REF!</definedName>
    <definedName name="polllllm52525">#REF!</definedName>
    <definedName name="polo25">#REF!</definedName>
    <definedName name="polo2564">#REF!</definedName>
    <definedName name="polo65478">#REF!</definedName>
    <definedName name="poyoi65">#REF!</definedName>
    <definedName name="ppp">#REF!</definedName>
    <definedName name="pppll1014">#REF!</definedName>
    <definedName name="pppllllkkk666555">#REF!</definedName>
    <definedName name="pppolol8979">#REF!</definedName>
    <definedName name="pppooolll62145">#REF!</definedName>
    <definedName name="pppp5475">#REF!</definedName>
    <definedName name="pppplllll222">#REF!</definedName>
    <definedName name="pppppooooo">#REF!</definedName>
    <definedName name="ppppttt41786">#REF!</definedName>
    <definedName name="ppprrr78978">#REF!</definedName>
    <definedName name="putrew85">#REF!</definedName>
    <definedName name="pxaq">#REF!</definedName>
    <definedName name="qaqaw95984">#REF!</definedName>
    <definedName name="qqqaqaqaqa1478747">#REF!</definedName>
    <definedName name="qqqqq000111">#REF!</definedName>
    <definedName name="qrttrujkl984">[20]x!#REF!</definedName>
    <definedName name="qwsdrty6587">[23]x!#REF!</definedName>
    <definedName name="rat">#REF!</definedName>
    <definedName name="rcx">#REF!</definedName>
    <definedName name="rer">#REF!</definedName>
    <definedName name="rex">#REF!</definedName>
    <definedName name="rfgtyhjkm321456">#REF!</definedName>
    <definedName name="rfrgthyujkiop4785689">#REF!</definedName>
    <definedName name="rmexuT">#REF!</definedName>
    <definedName name="ror">#REF!</definedName>
    <definedName name="rot">#REF!</definedName>
    <definedName name="rqwtryj65">#REF!</definedName>
    <definedName name="rrf5rf585fr85fr85frffrff">[8]x1!#REF!</definedName>
    <definedName name="rrfrgty47879">#REF!</definedName>
    <definedName name="rrrr8r8r44ft4f4tf44r4r">[8]x1!#REF!</definedName>
    <definedName name="rrrrrrr8rrr8r5r85r8r5r58">[8]x1!$F$19</definedName>
    <definedName name="rrv">#REF!</definedName>
    <definedName name="rsa">#REF!</definedName>
    <definedName name="rsv">#REF!</definedName>
    <definedName name="rte">#REF!</definedName>
    <definedName name="rto">#REF!</definedName>
    <definedName name="rva">#REF!</definedName>
    <definedName name="rwqa10">#REF!</definedName>
    <definedName name="rwqrfgg940">[23]x!#REF!</definedName>
    <definedName name="rxu">#REF!</definedName>
    <definedName name="scsdfgtyhujikol987456">#REF!</definedName>
    <definedName name="sderfg1478">#REF!</definedName>
    <definedName name="sdsss41458">#REF!</definedName>
    <definedName name="sdxza">#REF!</definedName>
    <definedName name="sssddfgv47852">#REF!</definedName>
    <definedName name="sssss2222">#REF!</definedName>
    <definedName name="sssss5478785">#REF!</definedName>
    <definedName name="svidi">#REF!</definedName>
    <definedName name="sxefi">#REF!</definedName>
    <definedName name="tea">#REF!</definedName>
    <definedName name="tertmeti">#REF!</definedName>
    <definedName name="tfgtyujhikj">#REF!</definedName>
    <definedName name="tftrdesokijuh">#REF!</definedName>
    <definedName name="tgfhjk65214">#REF!</definedName>
    <definedName name="tghtgt147845632">#REF!</definedName>
    <definedName name="tghyugf4789">[16]x2!#REF!</definedName>
    <definedName name="tghyujkiolp4789653">#REF!</definedName>
    <definedName name="tgr7r7r7vr7f7f44r44">'[14]7'!$F$61</definedName>
    <definedName name="tgtghhgyt478965">[25]x1!#REF!</definedName>
    <definedName name="tgtgt">#REF!</definedName>
    <definedName name="tgthyujik98745487">#REF!</definedName>
    <definedName name="tormeti">#REF!</definedName>
    <definedName name="trew41478">#REF!</definedName>
    <definedName name="trew7895">#REF!</definedName>
    <definedName name="trfgdwq65478">#REF!</definedName>
    <definedName name="tri">#REF!</definedName>
    <definedName name="tttt1t1t1t4t1t41">#REF!</definedName>
    <definedName name="ttttokiju47896">#REF!</definedName>
    <definedName name="ttttt4444455">[32]x1!#REF!</definedName>
    <definedName name="ttttttt66t6t6t6t">#REF!</definedName>
    <definedName name="ttty">#REF!</definedName>
    <definedName name="tytu">#REF!</definedName>
    <definedName name="tytyioplu">#REF!</definedName>
    <definedName name="tyuio65478">#REF!</definedName>
    <definedName name="ubez">#REF!</definedName>
    <definedName name="uhjgf6548">#REF!</definedName>
    <definedName name="uhjkjil2487">#REF!</definedName>
    <definedName name="uhuhgtyjk4785214">#REF!</definedName>
    <definedName name="uhuhio14578">#REF!</definedName>
    <definedName name="uhuhuhuh747874">'[14]7'!$F$51</definedName>
    <definedName name="uhuhuhuhjijii36548965">#REF!</definedName>
    <definedName name="uhygt4789633333">#REF!</definedName>
    <definedName name="uhygtf8741">#REF!</definedName>
    <definedName name="uhygtflkiju4787">#REF!</definedName>
    <definedName name="uihjkiolk65478">#REF!</definedName>
    <definedName name="uijkil">#REF!</definedName>
    <definedName name="uijkl254">#REF!</definedName>
    <definedName name="uijkolp47896">#REF!</definedName>
    <definedName name="uikjlo6587">#REF!</definedName>
    <definedName name="uiko748">#REF!</definedName>
    <definedName name="uiok">#REF!</definedName>
    <definedName name="uiokl235">#REF!</definedName>
    <definedName name="uiop564">[9]x1!#REF!</definedName>
    <definedName name="uiyv">#REF!</definedName>
    <definedName name="ujhygfploki879457">#REF!</definedName>
    <definedName name="ujkiolp21457">#REF!</definedName>
    <definedName name="ujkiolp45789">[28]x1!#REF!</definedName>
    <definedName name="ujkiolp4789653">#REF!</definedName>
    <definedName name="ujkolp54786">#REF!</definedName>
    <definedName name="ujuhytgthjk47856521">'[13]x2,'!#REF!</definedName>
    <definedName name="ujuikio1074">'[34]x2,'!#REF!</definedName>
    <definedName name="ujujiuij87879656">[28]x1!#REF!</definedName>
    <definedName name="ujujkilk141414">#REF!</definedName>
    <definedName name="ujuk14">[35]x1!#REF!</definedName>
    <definedName name="ujukiolpl547896">#REF!</definedName>
    <definedName name="ukjlo25">#REF!</definedName>
    <definedName name="uqapo896">#REF!</definedName>
    <definedName name="uuiklopk2014578">[13]x1!#REF!</definedName>
    <definedName name="uuji231jkl">[8]x3!#REF!</definedName>
    <definedName name="uuuu4">#REF!</definedName>
    <definedName name="uyhi4548">[15]x1!#REF!</definedName>
    <definedName name="uyikj265">#REF!</definedName>
    <definedName name="uyiolp5487">#REF!</definedName>
    <definedName name="uyiytre478965">[8]x3!#REF!</definedName>
    <definedName name="uyjhkol5487">#REF!</definedName>
    <definedName name="uyjkiol3654">[20]x!#REF!</definedName>
    <definedName name="uyjuiko65478">#REF!</definedName>
    <definedName name="uyt">#REF!</definedName>
    <definedName name="uytn">#REF!</definedName>
    <definedName name="uytr6547">#REF!</definedName>
    <definedName name="uytr74789">#REF!</definedName>
    <definedName name="uytyhjk56">#REF!</definedName>
    <definedName name="uyuu5478">'[14]8'!$F$32</definedName>
    <definedName name="uyuy321">#REF!</definedName>
    <definedName name="v">#REF!</definedName>
    <definedName name="vbcx">#REF!</definedName>
    <definedName name="vbnm12">#REF!</definedName>
    <definedName name="wsder11111000001">#REF!</definedName>
    <definedName name="wsdertf201456">#REF!</definedName>
    <definedName name="wwwwlll1079">#REF!</definedName>
    <definedName name="xdrt">#REF!</definedName>
    <definedName name="xuti">#REF!</definedName>
    <definedName name="xxcv">[12]niveloba!#REF!</definedName>
    <definedName name="yghtjkl65478">#REF!</definedName>
    <definedName name="yhgytuiklop54786">[28]x1!#REF!</definedName>
    <definedName name="yhjkl6254">#REF!</definedName>
    <definedName name="yhjuikj65412147">#REF!</definedName>
    <definedName name="yhjuki012456">#REF!</definedName>
    <definedName name="yhygtjhg14578">#REF!</definedName>
    <definedName name="yhyhyerdqa7895">#REF!</definedName>
    <definedName name="yhyjku54789jk">#REF!</definedName>
    <definedName name="yhyujkiu4785689">#REF!</definedName>
    <definedName name="ythgyujkiokl32145786">#REF!</definedName>
    <definedName name="ytrer7">#REF!</definedName>
    <definedName name="ytrewhjkl214">#REF!</definedName>
    <definedName name="ytrfgh87456">#REF!</definedName>
    <definedName name="ytrrjh56">#REF!</definedName>
    <definedName name="ytruiopp32014">#REF!</definedName>
    <definedName name="ytui458">'[24]x#2'!#REF!</definedName>
    <definedName name="ytuijkl47896">#REF!</definedName>
    <definedName name="yui56">#REF!</definedName>
    <definedName name="yuijkol65487">[25]x1!#REF!</definedName>
    <definedName name="yuioiuytr64548">#REF!</definedName>
    <definedName name="yuiop65487">#REF!</definedName>
    <definedName name="yuiopl4568">#REF!</definedName>
    <definedName name="yuiuiopo478745">'[14]8'!$F$23</definedName>
    <definedName name="yujk1465">#REF!</definedName>
    <definedName name="yukoil21045">#REF!</definedName>
    <definedName name="yyy4y4y45g544t5">'[14]8'!$F$35</definedName>
    <definedName name="yyyhhgy01245">#REF!</definedName>
    <definedName name="yyyy333">#REF!</definedName>
    <definedName name="yyyy8y8y74787">'[14]8'!$F$15</definedName>
    <definedName name="yyyyyy110">#REF!</definedName>
    <definedName name="zzzz444">#REF!</definedName>
    <definedName name="zzzzzxxxx0022">#REF!</definedName>
    <definedName name="лллл">#REF!</definedName>
    <definedName name="ыыыы">#REF!</definedName>
    <definedName name="ტტტგტჰყყუჰჯ478568">'5'!$F$24</definedName>
  </definedNames>
  <calcPr calcId="145621" fullPrecision="0"/>
</workbook>
</file>

<file path=xl/calcChain.xml><?xml version="1.0" encoding="utf-8"?>
<calcChain xmlns="http://schemas.openxmlformats.org/spreadsheetml/2006/main">
  <c r="J45" i="96" l="1"/>
  <c r="J46" i="96"/>
  <c r="J47" i="96"/>
  <c r="J48" i="96"/>
  <c r="J49" i="96"/>
  <c r="J50" i="96"/>
  <c r="J51" i="96"/>
  <c r="J52" i="96"/>
  <c r="J44" i="96"/>
  <c r="J55" i="96"/>
  <c r="J56" i="96"/>
  <c r="J57" i="96"/>
  <c r="J54" i="96"/>
  <c r="J20" i="77" l="1"/>
  <c r="A166" i="78" l="1"/>
  <c r="A167" i="78" s="1"/>
  <c r="A168" i="78" s="1"/>
  <c r="A169" i="78" s="1"/>
  <c r="F12" i="95" l="1"/>
  <c r="H12" i="95" s="1"/>
  <c r="F11" i="95"/>
  <c r="H11" i="95" s="1"/>
  <c r="A11" i="95"/>
  <c r="A12" i="95" s="1"/>
  <c r="H10" i="95" l="1"/>
  <c r="H13" i="95" s="1"/>
  <c r="H14" i="95"/>
  <c r="F26" i="94"/>
  <c r="F30" i="94"/>
  <c r="F25" i="94"/>
  <c r="A64" i="77"/>
  <c r="A65" i="77" s="1"/>
  <c r="A66" i="77" s="1"/>
  <c r="A49" i="77"/>
  <c r="A50" i="77" s="1"/>
  <c r="A51" i="77" s="1"/>
  <c r="A44" i="77"/>
  <c r="A45" i="77" s="1"/>
  <c r="A46" i="77" s="1"/>
  <c r="H16" i="95" l="1"/>
  <c r="H15" i="95"/>
  <c r="E33" i="74"/>
  <c r="H17" i="95" l="1"/>
  <c r="H18" i="95" s="1"/>
  <c r="A203" i="78"/>
  <c r="A204" i="78"/>
  <c r="A205" i="78" s="1"/>
  <c r="A206" i="78" s="1"/>
  <c r="F204" i="78"/>
  <c r="H204" i="78" s="1"/>
  <c r="E205" i="78"/>
  <c r="F205" i="78" s="1"/>
  <c r="F206" i="78"/>
  <c r="H206" i="78"/>
  <c r="F149" i="78"/>
  <c r="F154" i="78"/>
  <c r="F170" i="78"/>
  <c r="F169" i="78"/>
  <c r="F168" i="78"/>
  <c r="F167" i="78"/>
  <c r="E166" i="78"/>
  <c r="F166" i="78" s="1"/>
  <c r="H19" i="95" l="1"/>
  <c r="H20" i="95" s="1"/>
  <c r="H205" i="78"/>
  <c r="H203" i="78" s="1"/>
  <c r="H166" i="78"/>
  <c r="H167" i="78"/>
  <c r="H168" i="78"/>
  <c r="H169" i="78"/>
  <c r="H170" i="78"/>
  <c r="E3" i="95" l="1"/>
  <c r="D32" i="74"/>
  <c r="H32" i="74" s="1"/>
  <c r="H165" i="78"/>
  <c r="E79" i="78" l="1"/>
  <c r="F79" i="78" s="1"/>
  <c r="H79" i="78" s="1"/>
  <c r="E78" i="78"/>
  <c r="F78" i="78" s="1"/>
  <c r="H78" i="78" s="1"/>
  <c r="E131" i="78"/>
  <c r="A130" i="78"/>
  <c r="A131" i="78" s="1"/>
  <c r="A132" i="78" s="1"/>
  <c r="A133" i="78" s="1"/>
  <c r="A134" i="78" s="1"/>
  <c r="F134" i="78"/>
  <c r="F174" i="78"/>
  <c r="F172" i="78"/>
  <c r="F73" i="78"/>
  <c r="F94" i="78"/>
  <c r="H94" i="78" s="1"/>
  <c r="E93" i="78"/>
  <c r="F93" i="78" s="1"/>
  <c r="H93" i="78" s="1"/>
  <c r="E92" i="78"/>
  <c r="F92" i="78" s="1"/>
  <c r="H92" i="78" s="1"/>
  <c r="F90" i="78"/>
  <c r="H90" i="78" s="1"/>
  <c r="E89" i="78"/>
  <c r="F89" i="78" s="1"/>
  <c r="H89" i="78" s="1"/>
  <c r="E88" i="78"/>
  <c r="F88" i="78" s="1"/>
  <c r="H88" i="78" s="1"/>
  <c r="F86" i="78"/>
  <c r="H86" i="78" s="1"/>
  <c r="F85" i="78"/>
  <c r="H85" i="78" s="1"/>
  <c r="H84" i="78"/>
  <c r="F83" i="78"/>
  <c r="H83" i="78" s="1"/>
  <c r="F82" i="78"/>
  <c r="H82" i="78" s="1"/>
  <c r="F81" i="78"/>
  <c r="H81" i="78" s="1"/>
  <c r="F80" i="78"/>
  <c r="H80" i="78" s="1"/>
  <c r="H87" i="78" l="1"/>
  <c r="H134" i="78"/>
  <c r="F130" i="78"/>
  <c r="F131" i="78"/>
  <c r="F132" i="78"/>
  <c r="F133" i="78"/>
  <c r="H77" i="78"/>
  <c r="H91" i="78"/>
  <c r="E108" i="78"/>
  <c r="F108" i="78" s="1"/>
  <c r="E99" i="78"/>
  <c r="F99" i="78" s="1"/>
  <c r="H99" i="78" s="1"/>
  <c r="F142" i="78"/>
  <c r="E31" i="78"/>
  <c r="F30" i="78"/>
  <c r="H30" i="78" s="1"/>
  <c r="E29" i="78"/>
  <c r="F27" i="78"/>
  <c r="H27" i="78" s="1"/>
  <c r="F26" i="78"/>
  <c r="H26" i="78" s="1"/>
  <c r="F25" i="78"/>
  <c r="H25" i="78" s="1"/>
  <c r="A24" i="78"/>
  <c r="F43" i="94"/>
  <c r="F42" i="94"/>
  <c r="F41" i="94"/>
  <c r="F40" i="94"/>
  <c r="F39" i="94"/>
  <c r="F38" i="94"/>
  <c r="F37" i="94"/>
  <c r="F36" i="94"/>
  <c r="E31" i="94"/>
  <c r="F31" i="94" s="1"/>
  <c r="E29" i="94"/>
  <c r="F29" i="94" s="1"/>
  <c r="E28" i="94"/>
  <c r="F28" i="94" s="1"/>
  <c r="E27" i="94"/>
  <c r="F27" i="94" s="1"/>
  <c r="E23" i="94"/>
  <c r="F23" i="94" s="1"/>
  <c r="E22" i="94"/>
  <c r="F22" i="94" s="1"/>
  <c r="E21" i="94"/>
  <c r="F21" i="94" s="1"/>
  <c r="E20" i="94"/>
  <c r="F20" i="94" s="1"/>
  <c r="E19" i="94"/>
  <c r="F19" i="94" s="1"/>
  <c r="E18" i="94"/>
  <c r="F18" i="94" s="1"/>
  <c r="E15" i="94"/>
  <c r="E14" i="94"/>
  <c r="F13" i="94"/>
  <c r="A13" i="94"/>
  <c r="A24" i="94" s="1"/>
  <c r="E12" i="94"/>
  <c r="F11" i="94"/>
  <c r="F15" i="94" l="1"/>
  <c r="F12" i="94"/>
  <c r="H12" i="94" s="1"/>
  <c r="H11" i="94" s="1"/>
  <c r="H36" i="94"/>
  <c r="H132" i="78"/>
  <c r="H133" i="78"/>
  <c r="H130" i="78"/>
  <c r="H131" i="78"/>
  <c r="A25" i="78"/>
  <c r="H24" i="78"/>
  <c r="F29" i="78"/>
  <c r="H29" i="78" s="1"/>
  <c r="F31" i="78"/>
  <c r="H31" i="78" s="1"/>
  <c r="H19" i="94"/>
  <c r="H22" i="94"/>
  <c r="H20" i="94"/>
  <c r="A25" i="94"/>
  <c r="A26" i="94" s="1"/>
  <c r="A27" i="94" s="1"/>
  <c r="A28" i="94" s="1"/>
  <c r="A29" i="94" s="1"/>
  <c r="A30" i="94" s="1"/>
  <c r="A31" i="94" s="1"/>
  <c r="H18" i="94"/>
  <c r="H21" i="94"/>
  <c r="H23" i="94"/>
  <c r="H37" i="94"/>
  <c r="H38" i="94"/>
  <c r="H39" i="94"/>
  <c r="H40" i="94"/>
  <c r="H41" i="94"/>
  <c r="H42" i="94"/>
  <c r="H43" i="94"/>
  <c r="F14" i="94"/>
  <c r="F51" i="78"/>
  <c r="E50" i="78"/>
  <c r="F50" i="78" s="1"/>
  <c r="F49" i="78"/>
  <c r="H49" i="78" s="1"/>
  <c r="H48" i="78"/>
  <c r="F47" i="78"/>
  <c r="H47" i="78" s="1"/>
  <c r="F46" i="78"/>
  <c r="F45" i="78"/>
  <c r="F65" i="78"/>
  <c r="F61" i="78"/>
  <c r="E14" i="78"/>
  <c r="F14" i="78" s="1"/>
  <c r="H14" i="78" s="1"/>
  <c r="H13" i="78" s="1"/>
  <c r="A13" i="78"/>
  <c r="E12" i="78"/>
  <c r="F12" i="78" s="1"/>
  <c r="H12" i="78" s="1"/>
  <c r="F11" i="78"/>
  <c r="H11" i="78" s="1"/>
  <c r="E10" i="78"/>
  <c r="F10" i="78" s="1"/>
  <c r="H10" i="78" s="1"/>
  <c r="A10" i="78"/>
  <c r="A11" i="78" s="1"/>
  <c r="A12" i="78" s="1"/>
  <c r="E23" i="78"/>
  <c r="F23" i="78" s="1"/>
  <c r="H23" i="78" s="1"/>
  <c r="F22" i="78"/>
  <c r="H22" i="78" s="1"/>
  <c r="E21" i="78"/>
  <c r="F21" i="78" s="1"/>
  <c r="H21" i="78" s="1"/>
  <c r="E20" i="78"/>
  <c r="F20" i="78" s="1"/>
  <c r="H20" i="78" s="1"/>
  <c r="H19" i="78"/>
  <c r="E18" i="78"/>
  <c r="F18" i="78" s="1"/>
  <c r="H18" i="78" s="1"/>
  <c r="E17" i="78"/>
  <c r="F17" i="78" s="1"/>
  <c r="H17" i="78" s="1"/>
  <c r="E16" i="78"/>
  <c r="F16" i="78" s="1"/>
  <c r="H16" i="78" s="1"/>
  <c r="F52" i="97"/>
  <c r="H52" i="97" s="1"/>
  <c r="H51" i="97" s="1"/>
  <c r="A52" i="97"/>
  <c r="F50" i="97"/>
  <c r="H50" i="97" s="1"/>
  <c r="H49" i="97" s="1"/>
  <c r="A50" i="97"/>
  <c r="H48" i="97"/>
  <c r="F47" i="97"/>
  <c r="H47" i="97" s="1"/>
  <c r="F46" i="97"/>
  <c r="H46" i="97" s="1"/>
  <c r="A46" i="97"/>
  <c r="A47" i="97" s="1"/>
  <c r="A48" i="97" s="1"/>
  <c r="F44" i="97"/>
  <c r="H44" i="97" s="1"/>
  <c r="H43" i="97" s="1"/>
  <c r="A44" i="97"/>
  <c r="H42" i="97"/>
  <c r="H41" i="97"/>
  <c r="H40" i="97"/>
  <c r="A38" i="97"/>
  <c r="A39" i="97" s="1"/>
  <c r="A40" i="97" s="1"/>
  <c r="A41" i="97" s="1"/>
  <c r="A42" i="97" s="1"/>
  <c r="F37" i="97"/>
  <c r="H36" i="97"/>
  <c r="F35" i="97"/>
  <c r="H35" i="97" s="1"/>
  <c r="A35" i="97"/>
  <c r="A36" i="97" s="1"/>
  <c r="H33" i="97"/>
  <c r="H32" i="97"/>
  <c r="F31" i="97"/>
  <c r="F30" i="97"/>
  <c r="A30" i="97"/>
  <c r="A31" i="97" s="1"/>
  <c r="A32" i="97" s="1"/>
  <c r="A33" i="97" s="1"/>
  <c r="H28" i="97"/>
  <c r="F27" i="97"/>
  <c r="H27" i="97" s="1"/>
  <c r="F26" i="97"/>
  <c r="A26" i="97"/>
  <c r="A27" i="97" s="1"/>
  <c r="H24" i="97"/>
  <c r="H23" i="97"/>
  <c r="A23" i="97"/>
  <c r="F22" i="97"/>
  <c r="F21" i="97"/>
  <c r="A21" i="97"/>
  <c r="A22" i="97" s="1"/>
  <c r="A24" i="97" s="1"/>
  <c r="F19" i="97"/>
  <c r="F18" i="97"/>
  <c r="H18" i="97" s="1"/>
  <c r="F17" i="97"/>
  <c r="H15" i="97"/>
  <c r="F14" i="97"/>
  <c r="F13" i="97"/>
  <c r="H13" i="97" s="1"/>
  <c r="F11" i="97"/>
  <c r="H72" i="77"/>
  <c r="J72" i="77" s="1"/>
  <c r="H71" i="77"/>
  <c r="J71" i="77" s="1"/>
  <c r="H70" i="77"/>
  <c r="J70" i="77" s="1"/>
  <c r="H69" i="77"/>
  <c r="J69" i="77" s="1"/>
  <c r="A68" i="77"/>
  <c r="A69" i="77" s="1"/>
  <c r="A70" i="77" s="1"/>
  <c r="A71" i="77" s="1"/>
  <c r="H67" i="77"/>
  <c r="J67" i="77" s="1"/>
  <c r="H66" i="77"/>
  <c r="J66" i="77" s="1"/>
  <c r="H65" i="77"/>
  <c r="J65" i="77" s="1"/>
  <c r="H64" i="77"/>
  <c r="J64" i="77" s="1"/>
  <c r="H62" i="77"/>
  <c r="J62" i="77" s="1"/>
  <c r="H61" i="77"/>
  <c r="J61" i="77" s="1"/>
  <c r="H60" i="77"/>
  <c r="J60" i="77" s="1"/>
  <c r="H59" i="77"/>
  <c r="J59" i="77" s="1"/>
  <c r="A58" i="77"/>
  <c r="A59" i="77" s="1"/>
  <c r="A60" i="77" s="1"/>
  <c r="A61" i="77" s="1"/>
  <c r="A62" i="77" s="1"/>
  <c r="H57" i="77"/>
  <c r="J57" i="77" s="1"/>
  <c r="H56" i="77"/>
  <c r="J56" i="77" s="1"/>
  <c r="H55" i="77"/>
  <c r="J55" i="77" s="1"/>
  <c r="H54" i="77"/>
  <c r="J54" i="77" s="1"/>
  <c r="A53" i="77"/>
  <c r="A54" i="77" s="1"/>
  <c r="A55" i="77" s="1"/>
  <c r="A56" i="77" s="1"/>
  <c r="H52" i="77"/>
  <c r="J52" i="77" s="1"/>
  <c r="H51" i="77"/>
  <c r="J51" i="77" s="1"/>
  <c r="H50" i="77"/>
  <c r="J50" i="77" s="1"/>
  <c r="H49" i="77"/>
  <c r="J49" i="77" s="1"/>
  <c r="H47" i="77"/>
  <c r="J47" i="77" s="1"/>
  <c r="H46" i="77"/>
  <c r="J46" i="77" s="1"/>
  <c r="H45" i="77"/>
  <c r="J45" i="77" s="1"/>
  <c r="H44" i="77"/>
  <c r="J44" i="77" s="1"/>
  <c r="H42" i="77"/>
  <c r="J42" i="77" s="1"/>
  <c r="H41" i="77"/>
  <c r="J41" i="77" s="1"/>
  <c r="H40" i="77"/>
  <c r="J40" i="77" s="1"/>
  <c r="H38" i="77"/>
  <c r="J38" i="77" s="1"/>
  <c r="H37" i="77"/>
  <c r="J37" i="77" s="1"/>
  <c r="H36" i="77"/>
  <c r="J36" i="77" s="1"/>
  <c r="H35" i="77"/>
  <c r="J35" i="77" s="1"/>
  <c r="H34" i="77"/>
  <c r="J34" i="77" s="1"/>
  <c r="A34" i="77"/>
  <c r="A35" i="77" s="1"/>
  <c r="A36" i="77" s="1"/>
  <c r="A37" i="77" s="1"/>
  <c r="A38" i="77" s="1"/>
  <c r="H32" i="77"/>
  <c r="J32" i="77" s="1"/>
  <c r="H31" i="77"/>
  <c r="J31" i="77" s="1"/>
  <c r="H30" i="77"/>
  <c r="J30" i="77" s="1"/>
  <c r="H29" i="77"/>
  <c r="J29" i="77" s="1"/>
  <c r="H28" i="77"/>
  <c r="J28" i="77" s="1"/>
  <c r="H27" i="77"/>
  <c r="J27" i="77" s="1"/>
  <c r="A27" i="77"/>
  <c r="A28" i="77" s="1"/>
  <c r="A29" i="77" s="1"/>
  <c r="A30" i="77" s="1"/>
  <c r="A31" i="77" s="1"/>
  <c r="H25" i="77"/>
  <c r="J25" i="77" s="1"/>
  <c r="H24" i="77"/>
  <c r="J24" i="77" s="1"/>
  <c r="H23" i="77"/>
  <c r="J23" i="77" s="1"/>
  <c r="H22" i="77"/>
  <c r="J22" i="77" s="1"/>
  <c r="A22" i="77"/>
  <c r="A23" i="77" s="1"/>
  <c r="A24" i="77" s="1"/>
  <c r="A25" i="77" s="1"/>
  <c r="H20" i="77"/>
  <c r="H19" i="77"/>
  <c r="J19" i="77" s="1"/>
  <c r="H18" i="77"/>
  <c r="J18" i="77" s="1"/>
  <c r="H17" i="77"/>
  <c r="J17" i="77" s="1"/>
  <c r="A17" i="77"/>
  <c r="A18" i="77" s="1"/>
  <c r="A19" i="77" s="1"/>
  <c r="H15" i="77"/>
  <c r="J15" i="77" s="1"/>
  <c r="H14" i="77"/>
  <c r="J14" i="77" s="1"/>
  <c r="H13" i="77"/>
  <c r="J13" i="77" s="1"/>
  <c r="H12" i="77"/>
  <c r="J12" i="77" s="1"/>
  <c r="A12" i="77"/>
  <c r="A13" i="77" s="1"/>
  <c r="A14" i="77" s="1"/>
  <c r="A15" i="77" s="1"/>
  <c r="H97" i="96"/>
  <c r="J97" i="96" s="1"/>
  <c r="H96" i="96"/>
  <c r="J96" i="96" s="1"/>
  <c r="H95" i="96"/>
  <c r="J95" i="96" s="1"/>
  <c r="H94" i="96"/>
  <c r="J94" i="96" s="1"/>
  <c r="A94" i="96"/>
  <c r="H92" i="96"/>
  <c r="J92" i="96" s="1"/>
  <c r="H91" i="96"/>
  <c r="J91" i="96" s="1"/>
  <c r="H90" i="96"/>
  <c r="J90" i="96" s="1"/>
  <c r="H89" i="96"/>
  <c r="J89" i="96" s="1"/>
  <c r="A89" i="96"/>
  <c r="J87" i="96"/>
  <c r="J86" i="96"/>
  <c r="H85" i="96"/>
  <c r="J85" i="96" s="1"/>
  <c r="H84" i="96"/>
  <c r="J84" i="96" s="1"/>
  <c r="A84" i="96"/>
  <c r="A85" i="96" s="1"/>
  <c r="A86" i="96" s="1"/>
  <c r="H82" i="96"/>
  <c r="J82" i="96" s="1"/>
  <c r="J81" i="96" s="1"/>
  <c r="A82" i="96"/>
  <c r="H80" i="96"/>
  <c r="J80" i="96" s="1"/>
  <c r="J79" i="96" s="1"/>
  <c r="A80" i="96"/>
  <c r="J78" i="96"/>
  <c r="J77" i="96"/>
  <c r="H76" i="96"/>
  <c r="J76" i="96" s="1"/>
  <c r="H75" i="96"/>
  <c r="J75" i="96" s="1"/>
  <c r="A75" i="96"/>
  <c r="H73" i="96"/>
  <c r="J73" i="96" s="1"/>
  <c r="H72" i="96"/>
  <c r="J72" i="96" s="1"/>
  <c r="A72" i="96"/>
  <c r="H70" i="96"/>
  <c r="J70" i="96" s="1"/>
  <c r="H69" i="96"/>
  <c r="J69" i="96" s="1"/>
  <c r="A69" i="96"/>
  <c r="H67" i="96"/>
  <c r="J67" i="96" s="1"/>
  <c r="J66" i="96"/>
  <c r="H65" i="96"/>
  <c r="J65" i="96" s="1"/>
  <c r="H64" i="96"/>
  <c r="J64" i="96" s="1"/>
  <c r="H63" i="96"/>
  <c r="J63" i="96" s="1"/>
  <c r="H62" i="96"/>
  <c r="J62" i="96" s="1"/>
  <c r="H61" i="96"/>
  <c r="J61" i="96" s="1"/>
  <c r="H60" i="96"/>
  <c r="J60" i="96" s="1"/>
  <c r="H59" i="96"/>
  <c r="J59" i="96" s="1"/>
  <c r="A59" i="96"/>
  <c r="A60" i="96" s="1"/>
  <c r="A61" i="96" s="1"/>
  <c r="A62" i="96" s="1"/>
  <c r="A63" i="96" s="1"/>
  <c r="A54" i="96"/>
  <c r="A55" i="96" s="1"/>
  <c r="A56" i="96" s="1"/>
  <c r="A57" i="96" s="1"/>
  <c r="J53" i="96"/>
  <c r="A44" i="96"/>
  <c r="A45" i="96" s="1"/>
  <c r="A46" i="96" s="1"/>
  <c r="A47" i="96" s="1"/>
  <c r="A48" i="96" s="1"/>
  <c r="A49" i="96" s="1"/>
  <c r="A50" i="96" s="1"/>
  <c r="A51" i="96" s="1"/>
  <c r="J43" i="96"/>
  <c r="H42" i="96"/>
  <c r="J42" i="96" s="1"/>
  <c r="H41" i="96"/>
  <c r="J41" i="96" s="1"/>
  <c r="H40" i="96"/>
  <c r="J40" i="96" s="1"/>
  <c r="H39" i="96"/>
  <c r="J39" i="96" s="1"/>
  <c r="A39" i="96"/>
  <c r="A40" i="96" s="1"/>
  <c r="A41" i="96" s="1"/>
  <c r="A42" i="96" s="1"/>
  <c r="H37" i="96"/>
  <c r="J37" i="96" s="1"/>
  <c r="H36" i="96"/>
  <c r="J36" i="96" s="1"/>
  <c r="H35" i="96"/>
  <c r="J35" i="96" s="1"/>
  <c r="H34" i="96"/>
  <c r="J34" i="96" s="1"/>
  <c r="A34" i="96"/>
  <c r="A35" i="96" s="1"/>
  <c r="A36" i="96" s="1"/>
  <c r="H32" i="96"/>
  <c r="J32" i="96" s="1"/>
  <c r="H31" i="96"/>
  <c r="J31" i="96" s="1"/>
  <c r="H30" i="96"/>
  <c r="J30" i="96" s="1"/>
  <c r="H29" i="96"/>
  <c r="J29" i="96" s="1"/>
  <c r="A29" i="96"/>
  <c r="A30" i="96" s="1"/>
  <c r="A31" i="96" s="1"/>
  <c r="H27" i="96"/>
  <c r="J27" i="96" s="1"/>
  <c r="H26" i="96"/>
  <c r="J26" i="96" s="1"/>
  <c r="H25" i="96"/>
  <c r="J25" i="96" s="1"/>
  <c r="H24" i="96"/>
  <c r="J24" i="96" s="1"/>
  <c r="A24" i="96"/>
  <c r="A25" i="96" s="1"/>
  <c r="A26" i="96" s="1"/>
  <c r="J22" i="96"/>
  <c r="J21" i="96"/>
  <c r="H20" i="96"/>
  <c r="J20" i="96" s="1"/>
  <c r="H19" i="96"/>
  <c r="J19" i="96" s="1"/>
  <c r="A19" i="96"/>
  <c r="A20" i="96" s="1"/>
  <c r="A21" i="96" s="1"/>
  <c r="H17" i="96"/>
  <c r="J17" i="96" s="1"/>
  <c r="H16" i="96"/>
  <c r="J16" i="96" s="1"/>
  <c r="H15" i="96"/>
  <c r="J15" i="96" s="1"/>
  <c r="H14" i="96"/>
  <c r="J14" i="96" s="1"/>
  <c r="A14" i="96"/>
  <c r="A15" i="96" s="1"/>
  <c r="A16" i="96" s="1"/>
  <c r="H12" i="96"/>
  <c r="J12" i="96" s="1"/>
  <c r="H11" i="96"/>
  <c r="J11" i="96" s="1"/>
  <c r="H10" i="96"/>
  <c r="J10" i="96" s="1"/>
  <c r="H9" i="96"/>
  <c r="J9" i="96" s="1"/>
  <c r="A9" i="96"/>
  <c r="A10" i="96" s="1"/>
  <c r="A11" i="96" s="1"/>
  <c r="F18" i="68"/>
  <c r="F20" i="68" s="1"/>
  <c r="F15" i="68"/>
  <c r="F14" i="68"/>
  <c r="H34" i="97" l="1"/>
  <c r="J75" i="77"/>
  <c r="J100" i="96"/>
  <c r="J76" i="77"/>
  <c r="H9" i="78"/>
  <c r="H26" i="97"/>
  <c r="H25" i="97" s="1"/>
  <c r="H31" i="97"/>
  <c r="H15" i="94"/>
  <c r="J74" i="77"/>
  <c r="J39" i="77"/>
  <c r="J53" i="77"/>
  <c r="J68" i="77"/>
  <c r="H17" i="97"/>
  <c r="H14" i="97"/>
  <c r="H12" i="97" s="1"/>
  <c r="H21" i="97"/>
  <c r="H30" i="97"/>
  <c r="H29" i="97" s="1"/>
  <c r="H35" i="94"/>
  <c r="J21" i="77"/>
  <c r="J58" i="77"/>
  <c r="J63" i="77"/>
  <c r="H11" i="97"/>
  <c r="H10" i="97" s="1"/>
  <c r="H22" i="97"/>
  <c r="J43" i="77"/>
  <c r="H129" i="78"/>
  <c r="H28" i="78"/>
  <c r="A33" i="94"/>
  <c r="A34" i="94" s="1"/>
  <c r="A35" i="94"/>
  <c r="A36" i="94" s="1"/>
  <c r="A37" i="94" s="1"/>
  <c r="A38" i="94" s="1"/>
  <c r="A39" i="94" s="1"/>
  <c r="A40" i="94" s="1"/>
  <c r="A41" i="94" s="1"/>
  <c r="A42" i="94" s="1"/>
  <c r="A43" i="94" s="1"/>
  <c r="H14" i="94"/>
  <c r="H13" i="94" s="1"/>
  <c r="H17" i="94"/>
  <c r="H50" i="78"/>
  <c r="H45" i="78"/>
  <c r="H46" i="78"/>
  <c r="H51" i="78"/>
  <c r="A14" i="78"/>
  <c r="H15" i="78"/>
  <c r="H45" i="97"/>
  <c r="F38" i="97"/>
  <c r="H19" i="97"/>
  <c r="H16" i="97" s="1"/>
  <c r="F39" i="97"/>
  <c r="J11" i="77"/>
  <c r="J33" i="77"/>
  <c r="J16" i="77"/>
  <c r="J26" i="77"/>
  <c r="J48" i="77"/>
  <c r="J83" i="96"/>
  <c r="J8" i="96"/>
  <c r="J18" i="96"/>
  <c r="J71" i="96"/>
  <c r="J23" i="96"/>
  <c r="J33" i="96"/>
  <c r="J58" i="96"/>
  <c r="J13" i="96"/>
  <c r="J28" i="96"/>
  <c r="J38" i="96"/>
  <c r="J68" i="96"/>
  <c r="J74" i="96"/>
  <c r="J88" i="96"/>
  <c r="J93" i="96"/>
  <c r="J99" i="96"/>
  <c r="H31" i="90"/>
  <c r="F30" i="90"/>
  <c r="H30" i="90" s="1"/>
  <c r="F29" i="90"/>
  <c r="H29" i="90" s="1"/>
  <c r="A29" i="90"/>
  <c r="A30" i="90" s="1"/>
  <c r="A31" i="90" s="1"/>
  <c r="H27" i="90"/>
  <c r="F26" i="90"/>
  <c r="F25" i="90"/>
  <c r="A25" i="90"/>
  <c r="A26" i="90" s="1"/>
  <c r="A27" i="90" s="1"/>
  <c r="H23" i="90"/>
  <c r="F22" i="90"/>
  <c r="A22" i="90"/>
  <c r="A23" i="90" s="1"/>
  <c r="H20" i="90"/>
  <c r="F19" i="90"/>
  <c r="H19" i="90" s="1"/>
  <c r="F18" i="90"/>
  <c r="A18" i="90"/>
  <c r="A19" i="90" s="1"/>
  <c r="A20" i="90" s="1"/>
  <c r="H16" i="90"/>
  <c r="F15" i="90"/>
  <c r="H15" i="90" s="1"/>
  <c r="F14" i="90"/>
  <c r="H14" i="90" s="1"/>
  <c r="A14" i="90"/>
  <c r="A15" i="90" s="1"/>
  <c r="A16" i="90" s="1"/>
  <c r="H45" i="89"/>
  <c r="F44" i="89"/>
  <c r="H44" i="89" s="1"/>
  <c r="F43" i="89"/>
  <c r="H43" i="89" s="1"/>
  <c r="A43" i="89"/>
  <c r="A44" i="89" s="1"/>
  <c r="A45" i="89" s="1"/>
  <c r="F41" i="89"/>
  <c r="H41" i="89" s="1"/>
  <c r="F40" i="89"/>
  <c r="H40" i="89" s="1"/>
  <c r="F39" i="89"/>
  <c r="H39" i="89" s="1"/>
  <c r="A39" i="89"/>
  <c r="A40" i="89" s="1"/>
  <c r="A41" i="89" s="1"/>
  <c r="H37" i="89"/>
  <c r="A35" i="89"/>
  <c r="A36" i="89" s="1"/>
  <c r="A37" i="89" s="1"/>
  <c r="F34" i="89"/>
  <c r="F36" i="89" s="1"/>
  <c r="H33" i="89"/>
  <c r="A31" i="89"/>
  <c r="A32" i="89" s="1"/>
  <c r="A33" i="89" s="1"/>
  <c r="F30" i="89"/>
  <c r="H29" i="89"/>
  <c r="H28" i="89"/>
  <c r="A26" i="89"/>
  <c r="A27" i="89" s="1"/>
  <c r="A28" i="89" s="1"/>
  <c r="A29" i="89" s="1"/>
  <c r="F25" i="89"/>
  <c r="F27" i="89" s="1"/>
  <c r="H24" i="89"/>
  <c r="H23" i="89"/>
  <c r="A21" i="89"/>
  <c r="A22" i="89" s="1"/>
  <c r="A23" i="89" s="1"/>
  <c r="A24" i="89" s="1"/>
  <c r="F20" i="89"/>
  <c r="F22" i="89" s="1"/>
  <c r="H19" i="89"/>
  <c r="H18" i="89"/>
  <c r="A16" i="89"/>
  <c r="A17" i="89" s="1"/>
  <c r="A18" i="89" s="1"/>
  <c r="A19" i="89" s="1"/>
  <c r="F15" i="89"/>
  <c r="H14" i="89"/>
  <c r="A12" i="89"/>
  <c r="A13" i="89" s="1"/>
  <c r="A14" i="89" s="1"/>
  <c r="F11" i="89"/>
  <c r="F13" i="89" s="1"/>
  <c r="J98" i="96" l="1"/>
  <c r="J101" i="96" s="1"/>
  <c r="J102" i="96" s="1"/>
  <c r="H28" i="90"/>
  <c r="J73" i="77"/>
  <c r="H20" i="97"/>
  <c r="H42" i="89"/>
  <c r="H22" i="90"/>
  <c r="H21" i="90" s="1"/>
  <c r="H38" i="89"/>
  <c r="H44" i="78"/>
  <c r="H38" i="97"/>
  <c r="B58" i="97"/>
  <c r="H58" i="97" s="1"/>
  <c r="H39" i="97"/>
  <c r="H55" i="97" s="1"/>
  <c r="H13" i="90"/>
  <c r="H18" i="90"/>
  <c r="H17" i="90" s="1"/>
  <c r="H25" i="90"/>
  <c r="H26" i="90"/>
  <c r="H34" i="90" s="1"/>
  <c r="H22" i="89"/>
  <c r="H27" i="89"/>
  <c r="H13" i="89"/>
  <c r="H36" i="89"/>
  <c r="F31" i="89"/>
  <c r="F16" i="89"/>
  <c r="F17" i="89"/>
  <c r="F32" i="89"/>
  <c r="F21" i="89"/>
  <c r="F35" i="89"/>
  <c r="F12" i="89"/>
  <c r="F26" i="89"/>
  <c r="J77" i="77" l="1"/>
  <c r="J78" i="77" s="1"/>
  <c r="H37" i="97"/>
  <c r="H53" i="97" s="1"/>
  <c r="H54" i="97"/>
  <c r="B59" i="97"/>
  <c r="H59" i="97" s="1"/>
  <c r="J103" i="96"/>
  <c r="J104" i="96" s="1"/>
  <c r="H24" i="90"/>
  <c r="H32" i="90" s="1"/>
  <c r="H33" i="90"/>
  <c r="H26" i="89"/>
  <c r="H25" i="89" s="1"/>
  <c r="H12" i="89"/>
  <c r="H35" i="89"/>
  <c r="H34" i="89" s="1"/>
  <c r="H16" i="89"/>
  <c r="H32" i="89"/>
  <c r="H17" i="89"/>
  <c r="H48" i="89" s="1"/>
  <c r="H21" i="89"/>
  <c r="H20" i="89" s="1"/>
  <c r="H31" i="89"/>
  <c r="H35" i="90" l="1"/>
  <c r="H30" i="89"/>
  <c r="D4" i="97"/>
  <c r="H56" i="97"/>
  <c r="H57" i="97" s="1"/>
  <c r="H60" i="97" s="1"/>
  <c r="J79" i="77"/>
  <c r="J80" i="77" s="1"/>
  <c r="G2" i="77" s="1"/>
  <c r="D10" i="72" s="1"/>
  <c r="J105" i="96"/>
  <c r="J106" i="96" s="1"/>
  <c r="D7" i="90"/>
  <c r="H36" i="90"/>
  <c r="H37" i="90"/>
  <c r="H15" i="89"/>
  <c r="H47" i="89"/>
  <c r="H11" i="89"/>
  <c r="G3" i="96" l="1"/>
  <c r="D25" i="74" s="1"/>
  <c r="H46" i="89"/>
  <c r="H49" i="89" s="1"/>
  <c r="H38" i="90"/>
  <c r="H61" i="97"/>
  <c r="H62" i="97" s="1"/>
  <c r="D3" i="97" s="1"/>
  <c r="E26" i="74" s="1"/>
  <c r="H39" i="90"/>
  <c r="H50" i="89"/>
  <c r="E5" i="89"/>
  <c r="H51" i="89"/>
  <c r="H40" i="90" l="1"/>
  <c r="D6" i="90" s="1"/>
  <c r="H52" i="89"/>
  <c r="H53" i="89" l="1"/>
  <c r="H54" i="89" s="1"/>
  <c r="E4" i="89" s="1"/>
  <c r="E11" i="72" s="1"/>
  <c r="F29" i="68"/>
  <c r="F28" i="68"/>
  <c r="F27" i="68"/>
  <c r="H26" i="68"/>
  <c r="F25" i="68"/>
  <c r="F24" i="68"/>
  <c r="F23" i="68"/>
  <c r="H23" i="68" s="1"/>
  <c r="H24" i="68" l="1"/>
  <c r="H25" i="68"/>
  <c r="H27" i="68"/>
  <c r="H28" i="68"/>
  <c r="H29" i="68"/>
  <c r="H22" i="68" l="1"/>
  <c r="E12" i="72"/>
  <c r="H31" i="68" l="1"/>
  <c r="H30" i="68"/>
  <c r="F217" i="78"/>
  <c r="F196" i="78"/>
  <c r="F148" i="78" l="1"/>
  <c r="H148" i="78" s="1"/>
  <c r="E147" i="78"/>
  <c r="F147" i="78" s="1"/>
  <c r="H147" i="78" s="1"/>
  <c r="F146" i="78"/>
  <c r="H146" i="78" s="1"/>
  <c r="F145" i="78"/>
  <c r="H145" i="78" s="1"/>
  <c r="E113" i="78"/>
  <c r="F113" i="78" s="1"/>
  <c r="F111" i="78"/>
  <c r="H111" i="78" s="1"/>
  <c r="F110" i="78"/>
  <c r="H110" i="78" s="1"/>
  <c r="F107" i="78"/>
  <c r="E106" i="78"/>
  <c r="F106" i="78" s="1"/>
  <c r="H106" i="78" s="1"/>
  <c r="F105" i="78"/>
  <c r="F76" i="78"/>
  <c r="F75" i="78"/>
  <c r="F74" i="78"/>
  <c r="H73" i="78"/>
  <c r="F72" i="78"/>
  <c r="H72" i="78" s="1"/>
  <c r="F71" i="78"/>
  <c r="H71" i="78" s="1"/>
  <c r="F70" i="78"/>
  <c r="H70" i="78" s="1"/>
  <c r="E103" i="78"/>
  <c r="F103" i="78" s="1"/>
  <c r="H102" i="78"/>
  <c r="F101" i="78"/>
  <c r="F100" i="78"/>
  <c r="F98" i="78"/>
  <c r="E97" i="78"/>
  <c r="F97" i="78" s="1"/>
  <c r="E96" i="78"/>
  <c r="F96" i="78" s="1"/>
  <c r="H100" i="78" l="1"/>
  <c r="H144" i="78"/>
  <c r="H105" i="78"/>
  <c r="H108" i="78"/>
  <c r="H113" i="78"/>
  <c r="H107" i="78"/>
  <c r="H74" i="78"/>
  <c r="H75" i="78"/>
  <c r="H76" i="78"/>
  <c r="H96" i="78"/>
  <c r="H97" i="78"/>
  <c r="H98" i="78"/>
  <c r="H101" i="78"/>
  <c r="H103" i="78"/>
  <c r="H104" i="78" l="1"/>
  <c r="H69" i="78"/>
  <c r="H95" i="78"/>
  <c r="F60" i="78" l="1"/>
  <c r="F59" i="78"/>
  <c r="E58" i="78"/>
  <c r="F58" i="78" s="1"/>
  <c r="F57" i="78"/>
  <c r="H56" i="78"/>
  <c r="F55" i="78"/>
  <c r="H55" i="78" s="1"/>
  <c r="F54" i="78"/>
  <c r="F53" i="78"/>
  <c r="H14" i="68"/>
  <c r="E13" i="68"/>
  <c r="F13" i="68" s="1"/>
  <c r="H13" i="68" s="1"/>
  <c r="E12" i="68"/>
  <c r="F12" i="68" s="1"/>
  <c r="H12" i="68" s="1"/>
  <c r="A11" i="68"/>
  <c r="A12" i="68" s="1"/>
  <c r="A13" i="68" s="1"/>
  <c r="A14" i="68" s="1"/>
  <c r="A15" i="68" s="1"/>
  <c r="A16" i="68" s="1"/>
  <c r="A17" i="68" s="1"/>
  <c r="F11" i="68"/>
  <c r="H11" i="68" s="1"/>
  <c r="F17" i="68"/>
  <c r="H54" i="78" l="1"/>
  <c r="H57" i="78"/>
  <c r="H59" i="78"/>
  <c r="H60" i="78"/>
  <c r="H58" i="78"/>
  <c r="H53" i="78"/>
  <c r="H16" i="68"/>
  <c r="H15" i="68"/>
  <c r="H17" i="68"/>
  <c r="H52" i="78" l="1"/>
  <c r="H10" i="68"/>
  <c r="H26" i="74" l="1"/>
  <c r="E27" i="74"/>
  <c r="E46" i="68" l="1"/>
  <c r="F21" i="68"/>
  <c r="F40" i="68"/>
  <c r="E39" i="68"/>
  <c r="F39" i="68" s="1"/>
  <c r="F38" i="68"/>
  <c r="F37" i="68"/>
  <c r="F36" i="68"/>
  <c r="F35" i="68"/>
  <c r="F34" i="68"/>
  <c r="F33" i="68"/>
  <c r="A19" i="68"/>
  <c r="F19" i="68"/>
  <c r="F46" i="68" l="1"/>
  <c r="H40" i="68"/>
  <c r="F42" i="68"/>
  <c r="F44" i="68"/>
  <c r="F45" i="68"/>
  <c r="H37" i="68"/>
  <c r="H38" i="68"/>
  <c r="H21" i="68"/>
  <c r="H20" i="68" s="1"/>
  <c r="F43" i="68"/>
  <c r="H39" i="68"/>
  <c r="H19" i="68"/>
  <c r="H18" i="68" s="1"/>
  <c r="A33" i="68"/>
  <c r="A34" i="68" s="1"/>
  <c r="A35" i="68" s="1"/>
  <c r="A36" i="68" s="1"/>
  <c r="A37" i="68" s="1"/>
  <c r="A38" i="68" s="1"/>
  <c r="A39" i="68" s="1"/>
  <c r="A40" i="68" s="1"/>
  <c r="H33" i="68"/>
  <c r="H34" i="68"/>
  <c r="H35" i="68"/>
  <c r="H36" i="68"/>
  <c r="E228" i="78"/>
  <c r="F228" i="78" s="1"/>
  <c r="F227" i="78"/>
  <c r="E226" i="78"/>
  <c r="F226" i="78" s="1"/>
  <c r="E225" i="78"/>
  <c r="F225" i="78" s="1"/>
  <c r="E224" i="78"/>
  <c r="F224" i="78" s="1"/>
  <c r="E222" i="78"/>
  <c r="E221" i="78"/>
  <c r="E220" i="78"/>
  <c r="E219" i="78"/>
  <c r="E218" i="78"/>
  <c r="E216" i="78"/>
  <c r="F216" i="78" s="1"/>
  <c r="F215" i="78"/>
  <c r="F214" i="78"/>
  <c r="E213" i="78"/>
  <c r="F213" i="78" s="1"/>
  <c r="E212" i="78"/>
  <c r="F212" i="78" s="1"/>
  <c r="E210" i="78"/>
  <c r="F210" i="78" s="1"/>
  <c r="E209" i="78"/>
  <c r="F209" i="78" s="1"/>
  <c r="F208" i="78"/>
  <c r="E201" i="78"/>
  <c r="E199" i="78"/>
  <c r="E198" i="78"/>
  <c r="E197" i="78"/>
  <c r="F195" i="78"/>
  <c r="F194" i="78"/>
  <c r="F193" i="78"/>
  <c r="E192" i="78"/>
  <c r="F192" i="78" s="1"/>
  <c r="E191" i="78"/>
  <c r="F191" i="78" s="1"/>
  <c r="F189" i="78"/>
  <c r="E188" i="78"/>
  <c r="F188" i="78" s="1"/>
  <c r="F187" i="78"/>
  <c r="F186" i="78"/>
  <c r="F184" i="78"/>
  <c r="E183" i="78"/>
  <c r="F183" i="78" s="1"/>
  <c r="H183" i="78" s="1"/>
  <c r="F182" i="78"/>
  <c r="E179" i="78"/>
  <c r="E178" i="78"/>
  <c r="E177" i="78"/>
  <c r="E176" i="78"/>
  <c r="E175" i="78"/>
  <c r="H173" i="78"/>
  <c r="F163" i="78"/>
  <c r="F164" i="78" s="1"/>
  <c r="E162" i="78"/>
  <c r="F162" i="78" s="1"/>
  <c r="E161" i="78"/>
  <c r="F161" i="78" s="1"/>
  <c r="E159" i="78"/>
  <c r="F159" i="78" s="1"/>
  <c r="H159" i="78" s="1"/>
  <c r="F158" i="78"/>
  <c r="F157" i="78"/>
  <c r="E156" i="78"/>
  <c r="F156" i="78" s="1"/>
  <c r="F155" i="78"/>
  <c r="H155" i="78" s="1"/>
  <c r="E153" i="78"/>
  <c r="E152" i="78"/>
  <c r="E151" i="78"/>
  <c r="E150" i="78"/>
  <c r="A142" i="78"/>
  <c r="A144" i="78" s="1"/>
  <c r="F140" i="78"/>
  <c r="F139" i="78"/>
  <c r="F138" i="78"/>
  <c r="E137" i="78"/>
  <c r="F137" i="78" s="1"/>
  <c r="F136" i="78"/>
  <c r="H136" i="78" s="1"/>
  <c r="A136" i="78"/>
  <c r="A137" i="78" s="1"/>
  <c r="A138" i="78" s="1"/>
  <c r="A139" i="78" s="1"/>
  <c r="A140" i="78" s="1"/>
  <c r="F128" i="78"/>
  <c r="F127" i="78"/>
  <c r="F126" i="78"/>
  <c r="E125" i="78"/>
  <c r="F125" i="78" s="1"/>
  <c r="F124" i="78"/>
  <c r="H124" i="78" s="1"/>
  <c r="A124" i="78"/>
  <c r="A125" i="78" s="1"/>
  <c r="A126" i="78" s="1"/>
  <c r="A127" i="78" s="1"/>
  <c r="A128" i="78" s="1"/>
  <c r="E122" i="78"/>
  <c r="F122" i="78" s="1"/>
  <c r="E121" i="78"/>
  <c r="F121" i="78" s="1"/>
  <c r="F120" i="78"/>
  <c r="F119" i="78"/>
  <c r="F118" i="78"/>
  <c r="H118" i="78" s="1"/>
  <c r="F117" i="78"/>
  <c r="F116" i="78"/>
  <c r="F68" i="78"/>
  <c r="F67" i="78"/>
  <c r="F66" i="78"/>
  <c r="H65" i="78"/>
  <c r="F64" i="78"/>
  <c r="F63" i="78"/>
  <c r="F62" i="78"/>
  <c r="H62" i="78" s="1"/>
  <c r="F43" i="78"/>
  <c r="E42" i="78"/>
  <c r="F42" i="78" s="1"/>
  <c r="F41" i="78"/>
  <c r="H41" i="78" s="1"/>
  <c r="H40" i="78"/>
  <c r="F39" i="78"/>
  <c r="F38" i="78"/>
  <c r="F37" i="78"/>
  <c r="F35" i="78"/>
  <c r="E33" i="78"/>
  <c r="A33" i="78"/>
  <c r="G50" i="74"/>
  <c r="A48" i="74"/>
  <c r="A30" i="74"/>
  <c r="A31" i="74" s="1"/>
  <c r="A13" i="74"/>
  <c r="H10" i="72"/>
  <c r="A35" i="78" l="1"/>
  <c r="A36" i="78"/>
  <c r="A44" i="78" s="1"/>
  <c r="H46" i="68"/>
  <c r="H45" i="68"/>
  <c r="F221" i="78"/>
  <c r="H67" i="78"/>
  <c r="H214" i="78"/>
  <c r="F179" i="78"/>
  <c r="H42" i="78"/>
  <c r="F178" i="78"/>
  <c r="H193" i="78"/>
  <c r="H227" i="78"/>
  <c r="H163" i="78"/>
  <c r="F176" i="78"/>
  <c r="H176" i="78" s="1"/>
  <c r="H39" i="78"/>
  <c r="H43" i="78"/>
  <c r="H191" i="78"/>
  <c r="H225" i="78"/>
  <c r="H156" i="78"/>
  <c r="H226" i="78"/>
  <c r="H38" i="78"/>
  <c r="H117" i="78"/>
  <c r="H120" i="78"/>
  <c r="H121" i="78"/>
  <c r="H138" i="78"/>
  <c r="H142" i="78"/>
  <c r="H161" i="78"/>
  <c r="H162" i="78"/>
  <c r="H182" i="78"/>
  <c r="H209" i="78"/>
  <c r="H212" i="78"/>
  <c r="H213" i="78"/>
  <c r="H215" i="78"/>
  <c r="H63" i="78"/>
  <c r="H68" i="78"/>
  <c r="H116" i="78"/>
  <c r="H119" i="78"/>
  <c r="H128" i="78"/>
  <c r="H208" i="78"/>
  <c r="F175" i="78"/>
  <c r="H175" i="78" s="1"/>
  <c r="F199" i="78"/>
  <c r="H43" i="68"/>
  <c r="H42" i="68"/>
  <c r="H44" i="68"/>
  <c r="H11" i="72"/>
  <c r="A42" i="68"/>
  <c r="A43" i="68" s="1"/>
  <c r="A44" i="68" s="1"/>
  <c r="A45" i="68" s="1"/>
  <c r="A46" i="68" s="1"/>
  <c r="H32" i="68"/>
  <c r="A21" i="68"/>
  <c r="H158" i="78"/>
  <c r="F153" i="78"/>
  <c r="H125" i="78"/>
  <c r="F33" i="78"/>
  <c r="H126" i="78"/>
  <c r="H157" i="78"/>
  <c r="H164" i="78"/>
  <c r="H37" i="78"/>
  <c r="H64" i="78"/>
  <c r="H127" i="78"/>
  <c r="H137" i="78"/>
  <c r="H139" i="78"/>
  <c r="H172" i="78"/>
  <c r="H195" i="78"/>
  <c r="F222" i="78"/>
  <c r="H66" i="78"/>
  <c r="H35" i="78"/>
  <c r="H34" i="78" s="1"/>
  <c r="H122" i="78"/>
  <c r="H140" i="78"/>
  <c r="F152" i="78"/>
  <c r="F151" i="78"/>
  <c r="F150" i="78"/>
  <c r="H188" i="78"/>
  <c r="H187" i="78"/>
  <c r="H186" i="78"/>
  <c r="H210" i="78"/>
  <c r="F177" i="78"/>
  <c r="H189" i="78"/>
  <c r="F200" i="78"/>
  <c r="F197" i="78"/>
  <c r="F198" i="78"/>
  <c r="F201" i="78"/>
  <c r="H216" i="78"/>
  <c r="H224" i="78"/>
  <c r="H228" i="78"/>
  <c r="H184" i="78"/>
  <c r="H192" i="78"/>
  <c r="H194" i="78"/>
  <c r="A22" i="68" l="1"/>
  <c r="A37" i="78"/>
  <c r="A38" i="78" s="1"/>
  <c r="A40" i="78" s="1"/>
  <c r="A41" i="78" s="1"/>
  <c r="A42" i="78" s="1"/>
  <c r="A43" i="78" s="1"/>
  <c r="A45" i="78"/>
  <c r="A46" i="78" s="1"/>
  <c r="A48" i="78" s="1"/>
  <c r="A49" i="78" s="1"/>
  <c r="A50" i="78" s="1"/>
  <c r="A51" i="78" s="1"/>
  <c r="A52" i="78"/>
  <c r="A16" i="78"/>
  <c r="A17" i="78" s="1"/>
  <c r="A18" i="78" s="1"/>
  <c r="A19" i="78" s="1"/>
  <c r="A20" i="78" s="1"/>
  <c r="A21" i="78" s="1"/>
  <c r="A22" i="78" s="1"/>
  <c r="A23" i="78" s="1"/>
  <c r="H25" i="74"/>
  <c r="D27" i="74"/>
  <c r="H41" i="68"/>
  <c r="H47" i="68" s="1"/>
  <c r="F219" i="78"/>
  <c r="H219" i="78" s="1"/>
  <c r="F218" i="78"/>
  <c r="F220" i="78"/>
  <c r="A145" i="78"/>
  <c r="A146" i="78" s="1"/>
  <c r="A147" i="78" s="1"/>
  <c r="A148" i="78" s="1"/>
  <c r="H160" i="78"/>
  <c r="H178" i="78"/>
  <c r="H179" i="78"/>
  <c r="H211" i="78"/>
  <c r="H115" i="78"/>
  <c r="H123" i="78"/>
  <c r="H207" i="78"/>
  <c r="H190" i="78"/>
  <c r="H199" i="78"/>
  <c r="H181" i="78"/>
  <c r="H185" i="78"/>
  <c r="H61" i="78"/>
  <c r="H223" i="78"/>
  <c r="H154" i="78"/>
  <c r="H153" i="78"/>
  <c r="H197" i="78"/>
  <c r="H151" i="78"/>
  <c r="H135" i="78"/>
  <c r="H201" i="78"/>
  <c r="H200" i="78"/>
  <c r="H177" i="78"/>
  <c r="H152" i="78"/>
  <c r="H221" i="78"/>
  <c r="H198" i="78"/>
  <c r="H150" i="78"/>
  <c r="H222" i="78"/>
  <c r="H36" i="78"/>
  <c r="H33" i="78"/>
  <c r="H32" i="78" s="1"/>
  <c r="H27" i="74" l="1"/>
  <c r="A30" i="68"/>
  <c r="A23" i="68"/>
  <c r="A24" i="68" s="1"/>
  <c r="A25" i="68" s="1"/>
  <c r="A26" i="68" s="1"/>
  <c r="A27" i="68" s="1"/>
  <c r="A28" i="68" s="1"/>
  <c r="A29" i="68" s="1"/>
  <c r="H218" i="78"/>
  <c r="A61" i="78"/>
  <c r="A53" i="78"/>
  <c r="A54" i="78" s="1"/>
  <c r="A56" i="78" s="1"/>
  <c r="A57" i="78" s="1"/>
  <c r="A58" i="78" s="1"/>
  <c r="A59" i="78" s="1"/>
  <c r="A60" i="78" s="1"/>
  <c r="H48" i="68"/>
  <c r="H49" i="68" s="1"/>
  <c r="H50" i="68" s="1"/>
  <c r="H51" i="68" s="1"/>
  <c r="D3" i="68" s="1"/>
  <c r="H220" i="78"/>
  <c r="H174" i="78"/>
  <c r="H149" i="78"/>
  <c r="H196" i="78"/>
  <c r="H217" i="78" l="1"/>
  <c r="H229" i="78" s="1"/>
  <c r="A62" i="78"/>
  <c r="A63" i="78" s="1"/>
  <c r="A65" i="78" s="1"/>
  <c r="A66" i="78" s="1"/>
  <c r="A67" i="78" s="1"/>
  <c r="A68" i="78" s="1"/>
  <c r="A69" i="78"/>
  <c r="A70" i="78" s="1"/>
  <c r="A71" i="78" s="1"/>
  <c r="A73" i="78" s="1"/>
  <c r="A74" i="78" s="1"/>
  <c r="A75" i="78" s="1"/>
  <c r="A76" i="78" s="1"/>
  <c r="D30" i="74"/>
  <c r="H12" i="72"/>
  <c r="E13" i="72"/>
  <c r="E17" i="74" s="1"/>
  <c r="E18" i="74" s="1"/>
  <c r="A154" i="78"/>
  <c r="A150" i="78"/>
  <c r="A151" i="78" s="1"/>
  <c r="A152" i="78" s="1"/>
  <c r="A153" i="78" s="1"/>
  <c r="E38" i="74" l="1"/>
  <c r="E50" i="74" s="1"/>
  <c r="E52" i="74" s="1"/>
  <c r="E53" i="74" s="1"/>
  <c r="E54" i="74" s="1"/>
  <c r="H230" i="78"/>
  <c r="H231" i="78" s="1"/>
  <c r="H232" i="78" s="1"/>
  <c r="H233" i="78" s="1"/>
  <c r="D3" i="78" s="1"/>
  <c r="D9" i="72" s="1"/>
  <c r="A78" i="78"/>
  <c r="A79" i="78" s="1"/>
  <c r="A80" i="78" s="1"/>
  <c r="A81" i="78" s="1"/>
  <c r="A82" i="78" s="1"/>
  <c r="A83" i="78" s="1"/>
  <c r="A84" i="78" s="1"/>
  <c r="A85" i="78" s="1"/>
  <c r="A86" i="78" s="1"/>
  <c r="A87" i="78"/>
  <c r="H30" i="74"/>
  <c r="A88" i="78" l="1"/>
  <c r="A89" i="78" s="1"/>
  <c r="A90" i="78" s="1"/>
  <c r="A91" i="78"/>
  <c r="D13" i="72"/>
  <c r="H9" i="72"/>
  <c r="H13" i="72" s="1"/>
  <c r="E4" i="72" s="1"/>
  <c r="A92" i="78" l="1"/>
  <c r="A93" i="78" s="1"/>
  <c r="A94" i="78" s="1"/>
  <c r="A95" i="78"/>
  <c r="D17" i="74"/>
  <c r="A104" i="78" l="1"/>
  <c r="A96" i="78"/>
  <c r="A97" i="78" s="1"/>
  <c r="A98" i="78" s="1"/>
  <c r="A100" i="78" s="1"/>
  <c r="A101" i="78" s="1"/>
  <c r="A102" i="78" s="1"/>
  <c r="A103" i="78" s="1"/>
  <c r="H17" i="74"/>
  <c r="D18" i="74"/>
  <c r="A155" i="78"/>
  <c r="A105" i="78" l="1"/>
  <c r="A106" i="78" s="1"/>
  <c r="A107" i="78" s="1"/>
  <c r="A108" i="78" s="1"/>
  <c r="A110" i="78" s="1"/>
  <c r="A111" i="78" s="1"/>
  <c r="A112" i="78" s="1"/>
  <c r="A113" i="78" s="1"/>
  <c r="H18" i="74"/>
  <c r="A156" i="78"/>
  <c r="A157" i="78" s="1"/>
  <c r="A158" i="78" s="1"/>
  <c r="A159" i="78" s="1"/>
  <c r="A165" i="78" l="1"/>
  <c r="A116" i="78" l="1"/>
  <c r="A117" i="78" s="1"/>
  <c r="A119" i="78" s="1"/>
  <c r="A120" i="78" s="1"/>
  <c r="A121" i="78" s="1"/>
  <c r="A122" i="78" s="1"/>
  <c r="A161" i="78"/>
  <c r="A162" i="78" s="1"/>
  <c r="A163" i="78" s="1"/>
  <c r="A164" i="78" s="1"/>
  <c r="A173" i="78" l="1"/>
  <c r="A174" i="78" s="1"/>
  <c r="A175" i="78" l="1"/>
  <c r="A176" i="78" s="1"/>
  <c r="A177" i="78" s="1"/>
  <c r="A178" i="78" s="1"/>
  <c r="A179" i="78" s="1"/>
  <c r="A185" i="78" l="1"/>
  <c r="A182" i="78"/>
  <c r="A183" i="78" s="1"/>
  <c r="A184" i="78" s="1"/>
  <c r="A186" i="78" l="1"/>
  <c r="A188" i="78" s="1"/>
  <c r="A189" i="78" s="1"/>
  <c r="A190" i="78"/>
  <c r="A196" i="78" l="1"/>
  <c r="A191" i="78"/>
  <c r="A192" i="78" s="1"/>
  <c r="A193" i="78" s="1"/>
  <c r="A194" i="78" s="1"/>
  <c r="A195" i="78" s="1"/>
  <c r="A197" i="78" l="1"/>
  <c r="A198" i="78" s="1"/>
  <c r="A199" i="78" s="1"/>
  <c r="A200" i="78" s="1"/>
  <c r="A201" i="78" s="1"/>
  <c r="A207" i="78" l="1"/>
  <c r="A211" i="78" l="1"/>
  <c r="A208" i="78"/>
  <c r="A210" i="78" s="1"/>
  <c r="A212" i="78" l="1"/>
  <c r="A213" i="78" s="1"/>
  <c r="A214" i="78" s="1"/>
  <c r="A215" i="78" s="1"/>
  <c r="A216" i="78" s="1"/>
  <c r="A223" i="78" l="1"/>
  <c r="A224" i="78" s="1"/>
  <c r="A225" i="78" s="1"/>
  <c r="A226" i="78" s="1"/>
  <c r="A227" i="78" s="1"/>
  <c r="A228" i="78" s="1"/>
  <c r="A218" i="78"/>
  <c r="A219" i="78" s="1"/>
  <c r="A220" i="78" s="1"/>
  <c r="A221" i="78" s="1"/>
  <c r="A222" i="78" s="1"/>
  <c r="F34" i="94" l="1"/>
  <c r="H34" i="94" s="1"/>
  <c r="F33" i="94"/>
  <c r="H33" i="94" s="1"/>
  <c r="H32" i="94" l="1"/>
  <c r="H25" i="94"/>
  <c r="H45" i="94" s="1"/>
  <c r="E4" i="94" l="1"/>
  <c r="E5" i="94" s="1"/>
  <c r="H29" i="94"/>
  <c r="H28" i="94"/>
  <c r="H31" i="94"/>
  <c r="H27" i="94"/>
  <c r="H30" i="94"/>
  <c r="H26" i="94"/>
  <c r="H24" i="94"/>
  <c r="H44" i="94" s="1"/>
  <c r="H47" i="94" l="1"/>
  <c r="H48" i="94" s="1"/>
  <c r="H49" i="94" s="1"/>
  <c r="H50" i="94" l="1"/>
  <c r="H51" i="94" s="1"/>
  <c r="H52" i="94" s="1"/>
  <c r="E3" i="94" s="1"/>
  <c r="D31" i="74" s="1"/>
  <c r="D33" i="74" s="1"/>
  <c r="D38" i="74" s="1"/>
  <c r="H31" i="74" l="1"/>
  <c r="H33" i="74" l="1"/>
  <c r="H38" i="74" l="1"/>
  <c r="D50" i="74"/>
  <c r="D52" i="74" l="1"/>
  <c r="D53" i="74" s="1"/>
  <c r="D54" i="74" s="1"/>
  <c r="H50" i="74"/>
  <c r="G51" i="74" l="1"/>
  <c r="H51" i="74" s="1"/>
  <c r="G52" i="74" l="1"/>
  <c r="G53" i="74" s="1"/>
  <c r="H53" i="74" s="1"/>
  <c r="H52" i="74"/>
  <c r="G54" i="74" l="1"/>
  <c r="H54" i="74" s="1"/>
  <c r="F3" i="74" s="1"/>
</calcChain>
</file>

<file path=xl/sharedStrings.xml><?xml version="1.0" encoding="utf-8"?>
<sst xmlns="http://schemas.openxmlformats.org/spreadsheetml/2006/main" count="1685" uniqueCount="623">
  <si>
    <t>k/sT</t>
  </si>
  <si>
    <t>kac/sT</t>
  </si>
  <si>
    <t>sxvadasxva manqanebi</t>
  </si>
  <si>
    <t>kbm</t>
  </si>
  <si>
    <t>kvm</t>
  </si>
  <si>
    <t>tn</t>
  </si>
  <si>
    <t>lari</t>
  </si>
  <si>
    <t>wyali</t>
  </si>
  <si>
    <t>sxva masalebi</t>
  </si>
  <si>
    <t>ათასი ლარი</t>
  </si>
  <si>
    <t>ლარი</t>
  </si>
  <si>
    <t>ჯამი</t>
  </si>
  <si>
    <t>სახარჯთაღრიცხვო ღირებულება</t>
  </si>
  <si>
    <t>სახარჯთაღრიცხვო ხელფასი</t>
  </si>
  <si>
    <t>№</t>
  </si>
  <si>
    <t>საფუძველი</t>
  </si>
  <si>
    <t>სამუშაოს დასახელება</t>
  </si>
  <si>
    <t>რაოდენობა</t>
  </si>
  <si>
    <t>სულ</t>
  </si>
  <si>
    <t xml:space="preserve"> შრომითი დანახარჯები                   </t>
  </si>
  <si>
    <t xml:space="preserve"> სამშენებლო მანქანები</t>
  </si>
  <si>
    <t xml:space="preserve"> მატერიალური რესურსები</t>
  </si>
  <si>
    <t>სამშენებლო რესურსების მიხედვით პირდაპირი დანახარჯების ჯამი</t>
  </si>
  <si>
    <t>შრომითი დანახარჯები</t>
  </si>
  <si>
    <t>კაც/სთ</t>
  </si>
  <si>
    <t xml:space="preserve">ზედნადები ხარჯები </t>
  </si>
  <si>
    <t>გეგმიური დაგროვება</t>
  </si>
  <si>
    <t>კ/სთ</t>
  </si>
  <si>
    <t>manqanebi</t>
  </si>
  <si>
    <t>eqskavatori 0,25 kbm</t>
  </si>
  <si>
    <t>man sT</t>
  </si>
  <si>
    <t xml:space="preserve">1. muSa mSeneblebis SromiTi danaxarjebi                   </t>
  </si>
  <si>
    <t>xis masala</t>
  </si>
  <si>
    <t>manq.sT</t>
  </si>
  <si>
    <t xml:space="preserve"> SromiTi danaxarji </t>
  </si>
  <si>
    <t>kac.sT</t>
  </si>
  <si>
    <t>kubm</t>
  </si>
  <si>
    <t>sabazro</t>
  </si>
  <si>
    <t xml:space="preserve"> </t>
  </si>
  <si>
    <t>#</t>
  </si>
  <si>
    <t>safuZveli</t>
  </si>
  <si>
    <t xml:space="preserve">nakrebi saxarjTaRricxvo gaangariSeba (jami)  </t>
  </si>
  <si>
    <t>aT.</t>
  </si>
  <si>
    <t>samuSaos dasaxeleba</t>
  </si>
  <si>
    <t>samSeneblo samuSaoebi</t>
  </si>
  <si>
    <t>samuSaoebi da xarjebi ar aris</t>
  </si>
  <si>
    <t>jami</t>
  </si>
  <si>
    <t>dRg 18%</t>
  </si>
  <si>
    <t>m/sT</t>
  </si>
  <si>
    <t>c</t>
  </si>
  <si>
    <t>saxarjTaRricxvo Rirebuleba</t>
  </si>
  <si>
    <t>aTasi lari</t>
  </si>
  <si>
    <t>safuZveli:</t>
  </si>
  <si>
    <t>ganzomilebis erTeuli</t>
  </si>
  <si>
    <t>raodenoba</t>
  </si>
  <si>
    <t>saxarjT-aRricxvo Rirebuleba</t>
  </si>
  <si>
    <t>ganzomilebis erTeulze</t>
  </si>
  <si>
    <t>saproeqto monacemebze</t>
  </si>
  <si>
    <t>sul</t>
  </si>
  <si>
    <t>l</t>
  </si>
  <si>
    <t>m</t>
  </si>
  <si>
    <t>kg</t>
  </si>
  <si>
    <t>lokalur-resursuli uwyisis jami</t>
  </si>
  <si>
    <t>2. samSeneblo manqanebi</t>
  </si>
  <si>
    <t>samSeneblo resursebis mixedviT pirdapiri danaxarjebis jami</t>
  </si>
  <si>
    <t>cali</t>
  </si>
  <si>
    <t>RorRi</t>
  </si>
  <si>
    <t>t</t>
  </si>
  <si>
    <t>manq/sT</t>
  </si>
  <si>
    <t>eleqtrodi</t>
  </si>
  <si>
    <t>zednadebi xarjebi</t>
  </si>
  <si>
    <t>Sps aWarspecproeqti</t>
  </si>
  <si>
    <t>dakveTa #</t>
  </si>
  <si>
    <t>ხარჯთაღრიცხვის ნომერი</t>
  </si>
  <si>
    <t>სამუშაოს და ხარჯების დასახელება</t>
  </si>
  <si>
    <t>განზომილების ერთეული</t>
  </si>
  <si>
    <t>შრომის გადახდის საშუალება ათ.ლარებში</t>
  </si>
  <si>
    <t>ერთეულის ღირებულების მაჩვენებელი</t>
  </si>
  <si>
    <t>სამშენებლო სამუშაოები</t>
  </si>
  <si>
    <t>სამონტაჟო სამუშაოები</t>
  </si>
  <si>
    <t>დანადგარებზე, ავეჯსა და ინვენტარზე</t>
  </si>
  <si>
    <t>სხვადასხვა ხარჯები</t>
  </si>
  <si>
    <t>santeqnikur samuSaoebze</t>
  </si>
  <si>
    <t>videoTvalTvali</t>
  </si>
  <si>
    <t>lokalur-resursuli  xarjTaRricxva #1/1</t>
  </si>
  <si>
    <t xml:space="preserve"> saxarjTaRricxvo Rirebuleba</t>
  </si>
  <si>
    <t>muSa naxazebi</t>
  </si>
  <si>
    <t>კბმ</t>
  </si>
  <si>
    <t>s.n.da w.    1-80-3</t>
  </si>
  <si>
    <r>
      <t xml:space="preserve">SromiTi danaxarjebi                                 </t>
    </r>
    <r>
      <rPr>
        <sz val="10"/>
        <color indexed="10"/>
        <rFont val="Calibri"/>
        <family val="2"/>
        <charset val="204"/>
      </rPr>
      <t/>
    </r>
  </si>
  <si>
    <t xml:space="preserve">kac/sT     </t>
  </si>
  <si>
    <t>srf</t>
  </si>
  <si>
    <t>SromiTi danaxarjebi</t>
  </si>
  <si>
    <t>lariı</t>
  </si>
  <si>
    <t>betonis tumbo</t>
  </si>
  <si>
    <t>kub.m.</t>
  </si>
  <si>
    <r>
      <t xml:space="preserve">betoni </t>
    </r>
    <r>
      <rPr>
        <b/>
        <sz val="10"/>
        <rFont val="Arial Cyr"/>
      </rPr>
      <t>B20</t>
    </r>
  </si>
  <si>
    <t>armatura</t>
  </si>
  <si>
    <t>-</t>
  </si>
  <si>
    <t>fari xis</t>
  </si>
  <si>
    <t>xe masala</t>
  </si>
  <si>
    <t xml:space="preserve">s.n.da w. 15-164-8                                                                                                                                                                                                             </t>
  </si>
  <si>
    <t>grunti antikoroziuli</t>
  </si>
  <si>
    <t>liTonis spec. saRebavi</t>
  </si>
  <si>
    <r>
      <t xml:space="preserve">s.n.daw. 12-6-1 </t>
    </r>
    <r>
      <rPr>
        <b/>
        <sz val="8"/>
        <rFont val="AcadNusx"/>
      </rPr>
      <t>misadagebiT</t>
    </r>
  </si>
  <si>
    <t xml:space="preserve">naWedi </t>
  </si>
  <si>
    <t>metalokramitis Surupi 1 kvm-ze 6 cali</t>
  </si>
  <si>
    <t>ankeri</t>
  </si>
  <si>
    <t>kar-fanjrebi; moajirebi</t>
  </si>
  <si>
    <t>iatakebi</t>
  </si>
  <si>
    <t>კვმ</t>
  </si>
  <si>
    <t xml:space="preserve">betoni В20 </t>
  </si>
  <si>
    <t>კგ</t>
  </si>
  <si>
    <t xml:space="preserve">s.n.daw. 11-8--1-2                                                                                                                                                                                                                </t>
  </si>
  <si>
    <t>cementis xsnari mosapirkeTebeli</t>
  </si>
  <si>
    <t>sn da w  11-36-3</t>
  </si>
  <si>
    <t>გრძმ</t>
  </si>
  <si>
    <t xml:space="preserve">    webo-cementi </t>
  </si>
  <si>
    <t xml:space="preserve">s.n.da w. 15-168-8                                                                                                                                                                                                            </t>
  </si>
  <si>
    <t xml:space="preserve"> Weris SeRebva maRalxarisxovani saRebaviT</t>
  </si>
  <si>
    <t>fiTxi</t>
  </si>
  <si>
    <t>saRebavi maRalxarisxovani wyalemulsiuri</t>
  </si>
  <si>
    <t>kedlebis mopirkeTebis samuSaoebi</t>
  </si>
  <si>
    <t>s.n.da w.   15-168-7</t>
  </si>
  <si>
    <t>Sida kedlebisa da ferdoebis SeRebva maRalxarisxovani wyalemulsiuri saRebaviT</t>
  </si>
  <si>
    <t>fasadi</t>
  </si>
  <si>
    <t>s.n.da w.15-52-1</t>
  </si>
  <si>
    <t>xsnari cementis mosapirkeTebeli</t>
  </si>
  <si>
    <t>s.n.da w.8-22-1</t>
  </si>
  <si>
    <t>inventaruli xaraCoebis mowyoba da daSla</t>
  </si>
  <si>
    <t>xaraCos liTonis detalebi</t>
  </si>
  <si>
    <t>xaraCos xis detalebi</t>
  </si>
  <si>
    <t>xis fenili</t>
  </si>
  <si>
    <r>
      <t xml:space="preserve">armatura </t>
    </r>
    <r>
      <rPr>
        <sz val="10"/>
        <rFont val="Arial"/>
        <family val="2"/>
      </rPr>
      <t/>
    </r>
  </si>
  <si>
    <t>xis fari</t>
  </si>
  <si>
    <t>kv.m.</t>
  </si>
  <si>
    <t>grZm</t>
  </si>
  <si>
    <t xml:space="preserve"> samSeneblo resursebis mixedviT pirdapiri danaxarjebis jami</t>
  </si>
  <si>
    <t xml:space="preserve">saxarjTaRricxvo mogeba </t>
  </si>
  <si>
    <t>m/S dasabrunebeli</t>
  </si>
  <si>
    <t>xarjTaRricxvis nomeri</t>
  </si>
  <si>
    <t>samuSaos da xarjebis dasaxeleba</t>
  </si>
  <si>
    <t>saerTo saxarjTaRricxvo Rirebuleba</t>
  </si>
  <si>
    <t>samontaJo samuSaoebi</t>
  </si>
  <si>
    <t>danadgarebi, aveji,  inventari</t>
  </si>
  <si>
    <t>sxvadasxva xarjebi</t>
  </si>
  <si>
    <t xml:space="preserve">Tavi I </t>
  </si>
  <si>
    <t>kapitaluri remontis teritoriis momzadeba</t>
  </si>
  <si>
    <t>Tavi I jami</t>
  </si>
  <si>
    <t xml:space="preserve">Tavi II </t>
  </si>
  <si>
    <t xml:space="preserve"> ZiriTadi obieqtebi</t>
  </si>
  <si>
    <t>Tavi II jami</t>
  </si>
  <si>
    <t xml:space="preserve">Tavi III </t>
  </si>
  <si>
    <t>damxmare da samosamsaxuro obieqtebi</t>
  </si>
  <si>
    <t>Tavi III jami</t>
  </si>
  <si>
    <t xml:space="preserve">Tavi IV </t>
  </si>
  <si>
    <t>wyalmomarageba, kanalizacia, Tbomomarageba, gazmomarageba,  gare qselebi da a.S.</t>
  </si>
  <si>
    <t>gare el ganaTeba</t>
  </si>
  <si>
    <t>Tavi IV jami</t>
  </si>
  <si>
    <t xml:space="preserve">Tavi V </t>
  </si>
  <si>
    <t>teritoriis keTilmowyoba</t>
  </si>
  <si>
    <t>Robe</t>
  </si>
  <si>
    <t>Tavi V jami</t>
  </si>
  <si>
    <t xml:space="preserve">Tavi VI </t>
  </si>
  <si>
    <t>droebiTi Senobebi da nagebobebi</t>
  </si>
  <si>
    <t>Tavi VI jami</t>
  </si>
  <si>
    <t>Tavi I-VI jami</t>
  </si>
  <si>
    <t xml:space="preserve">Tavi VII </t>
  </si>
  <si>
    <t>sxvadasxva samuSaoebi da xarjebi</t>
  </si>
  <si>
    <t xml:space="preserve"> xarjebi ar aris</t>
  </si>
  <si>
    <t xml:space="preserve">Tavi VIII </t>
  </si>
  <si>
    <t xml:space="preserve"> teqnikuri zedamxedveloba</t>
  </si>
  <si>
    <t>Tavi VIII jami</t>
  </si>
  <si>
    <t>Tavi IX</t>
  </si>
  <si>
    <t>saproeqto da saZiebo samuSaoebi, saavtoro zedamxedveloba</t>
  </si>
  <si>
    <t xml:space="preserve">saavtoro zedamxedveloba </t>
  </si>
  <si>
    <t>Tavi IX jami</t>
  </si>
  <si>
    <t>Tavi I-IX jami</t>
  </si>
  <si>
    <t xml:space="preserve"> gruntis ukuCayra xeliT</t>
  </si>
  <si>
    <t>s.n.da w. 6-12-4 misad</t>
  </si>
  <si>
    <r>
      <t xml:space="preserve">monoliTuri rkinabetonis svetebis mowyoba  betoni </t>
    </r>
    <r>
      <rPr>
        <b/>
        <sz val="10"/>
        <rFont val="Arial Cyr"/>
      </rPr>
      <t>B20</t>
    </r>
  </si>
  <si>
    <t>s.ndaw.                                                                                                                                                                                                                             6-15-1</t>
  </si>
  <si>
    <r>
      <t xml:space="preserve">Kkarisa da fanjris blokebis Tavze rkina betonis zRudaris mowyoba betoni В20  </t>
    </r>
    <r>
      <rPr>
        <b/>
        <sz val="12"/>
        <rFont val="Arial"/>
        <family val="2"/>
      </rPr>
      <t/>
    </r>
  </si>
  <si>
    <t>fari ficris. yalibis</t>
  </si>
  <si>
    <t>qviSa cementis  xsnari</t>
  </si>
  <si>
    <t>sn da w  15-56-1</t>
  </si>
  <si>
    <t>cementis   xsnari</t>
  </si>
  <si>
    <t>s.n.daw. 15-14-1</t>
  </si>
  <si>
    <t xml:space="preserve">Sekiduli Weris mowyoba plastikatiT </t>
  </si>
  <si>
    <t xml:space="preserve">s.n.da w.   11-1-6                                                                                                                                                                                                             </t>
  </si>
  <si>
    <t>safuZvlis fenis  mowyoba ;  RorRis dayra, mosworeba da datkepna</t>
  </si>
  <si>
    <t>s.n.daw.  11-30-5</t>
  </si>
  <si>
    <t>ტ</t>
  </si>
  <si>
    <t>გრუნტის დამუშავება</t>
  </si>
  <si>
    <t>s.n.da w.   1-78</t>
  </si>
  <si>
    <t xml:space="preserve"> gruntis ukuCayra </t>
  </si>
  <si>
    <t>საბაზრო</t>
  </si>
  <si>
    <t>ს.ნ.და წ. 6-1-16 მისად</t>
  </si>
  <si>
    <t>ც</t>
  </si>
  <si>
    <t>ლ</t>
  </si>
  <si>
    <t>kedlebis mowyobis samuSaoebi</t>
  </si>
  <si>
    <t>s.n.da w. 8-15-1</t>
  </si>
  <si>
    <t>cementis xsnari wyobis</t>
  </si>
  <si>
    <t>msubuqi satixre bloki  40X20X20</t>
  </si>
  <si>
    <t>tixrebis mowyoba 40X20X10 msubuqi satixre blokebiT</t>
  </si>
  <si>
    <t>msubuqi satixre bloki  40X20X10</t>
  </si>
  <si>
    <t>ცალი</t>
  </si>
  <si>
    <t xml:space="preserve">qviSa-cementis mWimis mowyoba 2-4 sm sisqis </t>
  </si>
  <si>
    <t>s.n.daw. 11-20-3</t>
  </si>
  <si>
    <t>iatakis mopirkeTeba keramikuli filebiT xaoiani zedapiriT webo-cementiT</t>
  </si>
  <si>
    <t xml:space="preserve">keramikuli filebi   xaoiani zedapiriT                                                                                                                                                                                                             </t>
  </si>
  <si>
    <t xml:space="preserve"> webo-cementi granitis</t>
  </si>
  <si>
    <t xml:space="preserve">xel. granitis plinTusebis mowyoba </t>
  </si>
  <si>
    <t xml:space="preserve">xelovnuri granitis fila                                                                                                                                                                                                         </t>
  </si>
  <si>
    <t>Weris mowyobis samuSaoebi</t>
  </si>
  <si>
    <t xml:space="preserve">Sida karisa da fanjris  ferdoebis Selesva </t>
  </si>
  <si>
    <t>sn da w  15-55-9</t>
  </si>
  <si>
    <t>Sida  kedlebis Selesva qviSa cementis xsnariT</t>
  </si>
  <si>
    <t xml:space="preserve">gare ferdoebis Selesva </t>
  </si>
  <si>
    <t xml:space="preserve">fasadis kedlebis Selesva qviSacementis xsnariT </t>
  </si>
  <si>
    <t xml:space="preserve">gare zeZirkvlis mopirkeTeba xelovnuri granitis filebiT  spec. webo-cementiT granitis filebisaTvis mowyoba </t>
  </si>
  <si>
    <t xml:space="preserve">xelovnuri granitis fila  </t>
  </si>
  <si>
    <t xml:space="preserve"> ფასადების შეღებვა fasadis maRalxarisxovani  wyalemulsiuri saRebaviT, reliefuri wyalmedegi</t>
  </si>
  <si>
    <t xml:space="preserve"> saRebavi wyalemulsiuri, wyalmedegi, silikoniani</t>
  </si>
  <si>
    <t>fiTxi fasadis</t>
  </si>
  <si>
    <t>მანქანები</t>
  </si>
  <si>
    <t>1. SromiTi resursebi</t>
  </si>
  <si>
    <t>s.n.da w.  1-80-3</t>
  </si>
  <si>
    <t xml:space="preserve">miwis damuSaveba                           </t>
  </si>
  <si>
    <t>s.n.da w.       6-1-20 misad</t>
  </si>
  <si>
    <r>
      <t xml:space="preserve">betoni </t>
    </r>
    <r>
      <rPr>
        <b/>
        <sz val="10"/>
        <rFont val="Arial Cyr"/>
      </rPr>
      <t>B15</t>
    </r>
  </si>
  <si>
    <t>WanWikebi</t>
  </si>
  <si>
    <t xml:space="preserve"> liTonis elementebis damuSaveba antikoroziuli gruntiT, SeRebva liTonis spec. saRebaviT </t>
  </si>
  <si>
    <t>saerTo samSeneblo samuSaoebze   Robis მოწყობაზე</t>
  </si>
  <si>
    <t>Sida el ganaTeba</t>
  </si>
  <si>
    <t>damtkicebulia      ,, -------   ,,   ------------------  2018 w.</t>
  </si>
  <si>
    <t>,,    ,,                2018 w.</t>
  </si>
  <si>
    <t>damkveTi: a(a)ip ,,agroserviscentri~</t>
  </si>
  <si>
    <t>მუშა ნახაზები</t>
  </si>
  <si>
    <t>განზომილების ერთეულზე</t>
  </si>
  <si>
    <t>საპროექტო მონაცემებზე</t>
  </si>
  <si>
    <t>მ</t>
  </si>
  <si>
    <t>ГЭСНмт  42-03-005-1</t>
  </si>
  <si>
    <t>კვების ბლოკი აკუმულატორით  12V/7Ah</t>
  </si>
  <si>
    <t>კვების ბლოკი აკუმულატორით  12V/7A</t>
  </si>
  <si>
    <t>ლოკალურ-რესურსული უწყისის ჯამი</t>
  </si>
  <si>
    <t>1. შრომითი დანახარჯები</t>
  </si>
  <si>
    <t>2. სამშენებლო მანქანები</t>
  </si>
  <si>
    <t xml:space="preserve">   3. მატერიალური რესურსები</t>
  </si>
  <si>
    <t xml:space="preserve">  10-54-4</t>
  </si>
  <si>
    <t>ვიდეომეთვალყურეობის ქსელის კაბელი   UTP 5e</t>
  </si>
  <si>
    <t xml:space="preserve"> კაბელი    UTP 5e</t>
  </si>
  <si>
    <t>ГЭСНмт  42-03-002-1</t>
  </si>
  <si>
    <t>ციფრული ქსელური ვიდეორეგისტრატორი (NVR)   4 არხიანი</t>
  </si>
  <si>
    <t>ციფრული ქსელური ვიდეორეგისტრატორი (NVR)  4 არხიანი</t>
  </si>
  <si>
    <t>ГЭСНмт     42-03-004-3</t>
  </si>
  <si>
    <t>ქსელის კომუტატორი 5 პორტიანი</t>
  </si>
  <si>
    <t>ГЭСНмт  42-03-001-2</t>
  </si>
  <si>
    <t>IP ვიდეოკამერა ფერადი დღე-ღამის რეჟიმით (2მგპ) გარე მონტაჟის</t>
  </si>
  <si>
    <t>9_1_028</t>
  </si>
  <si>
    <t>14-1-077</t>
  </si>
  <si>
    <t>ზედნადები სამუშაოები შრომით დანახარგებზე 72%</t>
  </si>
  <si>
    <t>სახარჯთაღრიცხვო  ღირებულება</t>
  </si>
  <si>
    <t>ათასი</t>
  </si>
  <si>
    <t>სამუშაოს  დასახელება</t>
  </si>
  <si>
    <t>განზომილების  ერთეული</t>
  </si>
  <si>
    <t>განზომილების  ერთეულზე</t>
  </si>
  <si>
    <t>საპროექტო  მონაცემებზე</t>
  </si>
  <si>
    <t>შრომითი  დანახარჯები</t>
  </si>
  <si>
    <t>სხვა  მასალები</t>
  </si>
  <si>
    <t xml:space="preserve">საფუძველი:     მუშა  ნახაზები                                 </t>
  </si>
  <si>
    <t>eგანზომილების ერთეულზე</t>
  </si>
  <si>
    <t>ს.ნ. და წ. 16-6-2</t>
  </si>
  <si>
    <t>პლასტმასის  საკანალიზაციო  მილების  მონტაჟი  დ=150მმ  გოფრირებული</t>
  </si>
  <si>
    <t>100მ</t>
  </si>
  <si>
    <t>პლასტმასის  მილი  დ=150მმ</t>
  </si>
  <si>
    <t>ს.ნ. და წ. 16-6-1</t>
  </si>
  <si>
    <t>პლასტმასის  მილი  დ=32მმ</t>
  </si>
  <si>
    <t>ს.ნ. და წ. 16-12</t>
  </si>
  <si>
    <t>ს.ნ. და წ. 12--23</t>
  </si>
  <si>
    <t>პლასტმასის ფასონური   ნაწილები  წყალსადენის  და  წყალარინების</t>
  </si>
  <si>
    <t>10ც</t>
  </si>
  <si>
    <t>ფასონური ნაწილები</t>
  </si>
  <si>
    <t xml:space="preserve">ბიოტალის საკანალიზაციო  ჭის  მოწყობა  რკინა/ბეტონისაგან  დიამეტრით  3,5მ  </t>
  </si>
  <si>
    <t>10კბმ</t>
  </si>
  <si>
    <t>ბეტონი  მ15</t>
  </si>
  <si>
    <t>გადახურვის  ფილები  რკ/ბ15</t>
  </si>
  <si>
    <t>არმატურა</t>
  </si>
  <si>
    <t>ცემენტის  ხსნარი</t>
  </si>
  <si>
    <t>ჩამოგანული  ფიცრები  111  კატ.  25-32მმ</t>
  </si>
  <si>
    <t>თუჯის  ლიუკი</t>
  </si>
  <si>
    <t>ს.ნ. და წ. 23--15-11</t>
  </si>
  <si>
    <t>ბიოტალის ბ-3  მონტაჟი  წარმადობით3,0კბმ</t>
  </si>
  <si>
    <t>ბიოტალი</t>
  </si>
  <si>
    <t>ს.ნ. და წ. 23-12</t>
  </si>
  <si>
    <t>საკანალიზაციო ჭების  მოწყობა  რკ/ბეტონისაგან</t>
  </si>
  <si>
    <t>გადახურვის ფილები  რკ/ბეტ</t>
  </si>
  <si>
    <t>ს.ნ. და წ. 16-21-2</t>
  </si>
  <si>
    <t>ქვიშის  ბალიშის  მოწყობა  მილსადენების  ძირში სისქით  10სმ</t>
  </si>
  <si>
    <t>ბუნებრივი  ქვიშა შავი</t>
  </si>
  <si>
    <t>ქვიშის  ბალიშის  მოწყობა  მილსადენების  ზემოდან სისქით  5,0სმ</t>
  </si>
  <si>
    <t>ს.ნ. და წ.16-20-5</t>
  </si>
  <si>
    <t>მიერთება  არსებული  წყალსადენის  ქსელთან</t>
  </si>
  <si>
    <t>მიერთ</t>
  </si>
  <si>
    <t>პლასტმასის  მილი</t>
  </si>
  <si>
    <t>ს.ნ. და წ.1-80-3  2-1</t>
  </si>
  <si>
    <t>მიწის  გათხრა  ხელით  111 კატ.  გრუნტი</t>
  </si>
  <si>
    <t>100კბმ</t>
  </si>
  <si>
    <t>ს.ნ. და წ.1-81</t>
  </si>
  <si>
    <t>მიწის  უკუჩაყრა  ხელით  111 კატ.  გრუნტი</t>
  </si>
  <si>
    <t>ლოკალურ_რესურსული  უწყისის  ჯამი</t>
  </si>
  <si>
    <t>შრომითი  რესურსები</t>
  </si>
  <si>
    <t>სამშენებლო მანქანები</t>
  </si>
  <si>
    <t>მატერიალური  რესურსები</t>
  </si>
  <si>
    <t>სამშენებლო  რესურსების  მიხედვით  პირდაპირი დანახარჯების  ჯამი</t>
  </si>
  <si>
    <t>საფუძველი:    მუშა  ნახაზები</t>
  </si>
  <si>
    <t>სამშენებლო  რესურსების  მიხედვით პირდაპირი  დანახარჯების  ჯამი</t>
  </si>
  <si>
    <t xml:space="preserve"> ჯამი</t>
  </si>
  <si>
    <t>ს.ნ და წეს 16-6-1</t>
  </si>
  <si>
    <t>პლასტმასის  მილი  დ=25მმ</t>
  </si>
  <si>
    <t>ს.ნ და წეს 22-23-2</t>
  </si>
  <si>
    <t>პლასტმასის  მილების  მონტაჟი  წყლისათვის  დ=25*2,3მმ</t>
  </si>
  <si>
    <t>პლასტმასის  მილების  მონტაჟი  წყლისათვის  დ=32*2,9მმ</t>
  </si>
  <si>
    <t xml:space="preserve">პლასტმასის  ფასონური  ნაწილები წყლისათვის  </t>
  </si>
  <si>
    <t>ს.ნ. და  წ 16-12</t>
  </si>
  <si>
    <t xml:space="preserve">ვენტილების  მოწყობა  დ=25მმ(ქრომირებული გრძელი)  </t>
  </si>
  <si>
    <t>ვენტილი  დ=25მმ</t>
  </si>
  <si>
    <t>foladis miltuCa</t>
  </si>
  <si>
    <t>WanWiki qanCiT</t>
  </si>
  <si>
    <t xml:space="preserve">arkos ventilebis  mowyoba  d=1/2  </t>
  </si>
  <si>
    <t>arkos  ventili d=1/2</t>
  </si>
  <si>
    <t>ს.ნ. და  წ 23-15</t>
  </si>
  <si>
    <t>wyalsadenis qselis hidravlikuri gamocda</t>
  </si>
  <si>
    <t>ს.ნ და წეს 16-4-3</t>
  </si>
  <si>
    <t>კანალიზაციის სქელკედლიანი  უხმაურო  მილის  მონტაჟი  დ=100მმ</t>
  </si>
  <si>
    <t>პლასტმასის  მილი  დ=100მმ</t>
  </si>
  <si>
    <t>ს.ნ და წეს 16-4-2</t>
  </si>
  <si>
    <t xml:space="preserve">პლასტმასის  ფასონური  ნაწილები   კანალიზაციისათვის  </t>
  </si>
  <si>
    <t>პლასტმასის ფასონური  ნაწილები</t>
  </si>
  <si>
    <t xml:space="preserve">ფაიანსის  უნიტაზის მონტაჟი ჩამრეცხი ავზით  და  გოფრეთი </t>
  </si>
  <si>
    <t>ს.ნ და წეს 17-4-3</t>
  </si>
  <si>
    <t>ფაიანსის  უნიტაზი</t>
  </si>
  <si>
    <t xml:space="preserve">ფაიანსის  ხელსაბანის მონტაჟი </t>
  </si>
  <si>
    <t>ფაიანსის  ხელსაბანი</t>
  </si>
  <si>
    <t>შხაპის მოწყობა ქვეშით</t>
  </si>
  <si>
    <t>შხაპი  ქვეშით</t>
  </si>
  <si>
    <t>თუჯის  ტრაპის  მოწყობა  დ=100მმ</t>
  </si>
  <si>
    <t>თუჯის  ტრაპი დ=100მმ</t>
  </si>
  <si>
    <t>gare wyalsadeni da kanalizacia</t>
  </si>
  <si>
    <t>კომპლ</t>
  </si>
  <si>
    <t>ofisis mSenebloba</t>
  </si>
  <si>
    <t>ekalmavTulis Robe</t>
  </si>
  <si>
    <t>ekalmavTulis Robis mowyoba</t>
  </si>
  <si>
    <t>s.n.da w.       7-21-13 misad</t>
  </si>
  <si>
    <t>avto amwe 10 t</t>
  </si>
  <si>
    <t>samontaJo mowyobiloba</t>
  </si>
  <si>
    <t>ekalmavTuli</t>
  </si>
  <si>
    <t>boZebi armaturis d25 mm</t>
  </si>
  <si>
    <r>
      <t xml:space="preserve">monoliTuri betonis wertilovani         saZirkvlis mowyoba betoni </t>
    </r>
    <r>
      <rPr>
        <b/>
        <sz val="10"/>
        <rFont val="Arial Cyr"/>
      </rPr>
      <t>B15</t>
    </r>
    <r>
      <rPr>
        <b/>
        <sz val="10"/>
        <rFont val="AcadNusx"/>
      </rPr>
      <t xml:space="preserve"> </t>
    </r>
  </si>
  <si>
    <t>s.n.da w.       7-21-12 misad</t>
  </si>
  <si>
    <t>s.n.da w.       9-8-1 misad</t>
  </si>
  <si>
    <t>sxva manqanebi</t>
  </si>
  <si>
    <t>liTonis konstruqcia</t>
  </si>
  <si>
    <t>liTonis samontaJo elementebi</t>
  </si>
  <si>
    <t xml:space="preserve">სანკვანძისა და სამზარეულოს კედლებისა და ფერდოების მოპირკეთება keramikuli filებით </t>
  </si>
  <si>
    <t>YTeTri metaloplastmasis kar fanjrebis mowyoba aqsesuarebiT</t>
  </si>
  <si>
    <t xml:space="preserve">kedlis mowyoba 40X20X20 </t>
  </si>
  <si>
    <t>rezervi gauTvaliswinebel samuSaoebze 1 % @</t>
  </si>
  <si>
    <t>0,50 mm sisqis profilirebuli Tunuqi</t>
  </si>
  <si>
    <t>liTonis svetebis mowyoba WiSkrebisa da kutikarebisTvis</t>
  </si>
  <si>
    <t>WiSkris mowyoba aqsesuarebiT</t>
  </si>
  <si>
    <t>kutikari mowyoba aqsesuarebiT</t>
  </si>
  <si>
    <t xml:space="preserve">გეგმიური დაგროვება </t>
  </si>
  <si>
    <t>ვენტილი  დ=40მმ</t>
  </si>
  <si>
    <t>ვენტილი  ჩამკეტი  ქრომირებული  გრძელი დ=40მმ</t>
  </si>
  <si>
    <t>ზედნადები ხარჯები 8,0%</t>
  </si>
  <si>
    <t>გეგმიური  დაგროვება  6%</t>
  </si>
  <si>
    <r>
      <rPr>
        <b/>
        <sz val="14"/>
        <rFont val="Sylfaen"/>
        <family val="1"/>
        <charset val="204"/>
      </rPr>
      <t>ა</t>
    </r>
    <r>
      <rPr>
        <b/>
        <sz val="10"/>
        <rFont val="Sylfaen"/>
        <family val="1"/>
        <charset val="204"/>
      </rPr>
      <t xml:space="preserve"> ) </t>
    </r>
    <r>
      <rPr>
        <b/>
        <sz val="14"/>
        <rFont val="Sylfaen"/>
        <family val="1"/>
        <charset val="204"/>
      </rPr>
      <t xml:space="preserve">შიგა  წყალსადენი </t>
    </r>
  </si>
  <si>
    <t>გეგმიური დაგროვება 8%</t>
  </si>
  <si>
    <t>ათ</t>
  </si>
  <si>
    <t xml:space="preserve">ზედნადები ხარჯები  </t>
  </si>
  <si>
    <t>feradi Tunuqi 0.45</t>
  </si>
  <si>
    <t xml:space="preserve">შუახევის  მუნიციპალიტეტი, სოფ ახალდაბაში  ახალი სანერგე მეურნეობის ადმინისტრაციული შენობის ელ. განათებაზე
</t>
  </si>
  <si>
    <t xml:space="preserve">   saxarjTaRricxvo Rirebuleba             </t>
  </si>
  <si>
    <t>aTasi</t>
  </si>
  <si>
    <t xml:space="preserve">saxarjTaRricxvo xelfasi          </t>
  </si>
  <si>
    <t xml:space="preserve">safuZveli:  el-1;                   A                   </t>
  </si>
  <si>
    <t>s.n.daw  8_612_9</t>
  </si>
  <si>
    <t>el.gamanawilebeli faris mowyoba da momzadeba CarTvisaTvis</t>
  </si>
  <si>
    <t xml:space="preserve">el. gamanawilebeli fari </t>
  </si>
  <si>
    <t>s.n.daw  8-525_1</t>
  </si>
  <si>
    <t xml:space="preserve">avtomaturi amomrTvelebi </t>
  </si>
  <si>
    <t>avtomaturi amomrTvelebi 25a</t>
  </si>
  <si>
    <t xml:space="preserve">avtomaturi amomrTvelebi 32a </t>
  </si>
  <si>
    <t>s.n.daw                                                                                                                                                                                                             8_402_2</t>
  </si>
  <si>
    <t xml:space="preserve">spilenZisZarRviani sadenis gayvana </t>
  </si>
  <si>
    <t>sadeni ppv 3X2,5</t>
  </si>
  <si>
    <t>sadeni ppv 2X2,5</t>
  </si>
  <si>
    <t>s.n.daw                                                                                                                                                                                                                    8_591_2</t>
  </si>
  <si>
    <t>Cafluli tipis CamrTvelebis montaJi</t>
  </si>
  <si>
    <t>CamrTveli erTklaviSiani</t>
  </si>
  <si>
    <t>CamrTveli orklaviSiani</t>
  </si>
  <si>
    <t>s.n.daw                                                                                                                                                                                                                        8_591_7</t>
  </si>
  <si>
    <t>Cafluli tipis Stefseluri rozetis montaJi</t>
  </si>
  <si>
    <t>Stefseluri rozeti</t>
  </si>
  <si>
    <t>s.n.daw 8_605_1</t>
  </si>
  <si>
    <t>sanaTis  dakideba</t>
  </si>
  <si>
    <t>sanaTi ნათურით</t>
  </si>
  <si>
    <t>s.n.daw 8_471_1</t>
  </si>
  <si>
    <t>damiwebis eleqtrodi 50X50X5</t>
  </si>
  <si>
    <t>damiwebis eleqtrodi kuTxovana 50X50X5</t>
  </si>
  <si>
    <t>s.n.daw 8_604_1</t>
  </si>
  <si>
    <t>damiwebis saltes mowyoba</t>
  </si>
  <si>
    <t>zolana 4X40</t>
  </si>
  <si>
    <t>3. materialuri resursebi</t>
  </si>
  <si>
    <t>zednadebi xarjebi 75%</t>
  </si>
  <si>
    <t>შუახევის  მუნიციპალიტეტში სოფელ  ახალდაბაში ახალი სანერგე  მეურნეობის  ვიდეოთვალთვალზე</t>
  </si>
  <si>
    <t>o.x. #1</t>
  </si>
  <si>
    <t>ლოკალურ-რესურსული ხარჯთაღრიცხვა 1/4</t>
  </si>
  <si>
    <t>lokalur-resursuli xarjTaRricxva #1/3</t>
  </si>
  <si>
    <t>xarjT #1/1</t>
  </si>
  <si>
    <t>xarjT #1/2</t>
  </si>
  <si>
    <t>xarjT #1/3</t>
  </si>
  <si>
    <t>xarjT #1/4</t>
  </si>
  <si>
    <t>saxarjTaRricxvo xelfasi</t>
  </si>
  <si>
    <t>normatiuli Sromatevadoba</t>
  </si>
  <si>
    <t>samuSaoTa dasaxeleba</t>
  </si>
  <si>
    <t>Rirebuleba (lari)</t>
  </si>
  <si>
    <t>ganz. erTeulze</t>
  </si>
  <si>
    <t>saproeqto monacemze</t>
  </si>
  <si>
    <t>1</t>
  </si>
  <si>
    <t>I gruntis gza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</si>
  <si>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1-29-7                                                                                                                                                                                                                                              1-29-13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</si>
  <si>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kbm</t>
  </si>
  <si>
    <t>buldozeri 130 c.Z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</si>
  <si>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1-116- 10                                                                                                                                                                                                                                           </t>
  </si>
  <si>
    <t>miwis vakisis  moSandakeba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</si>
  <si>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kvm</t>
  </si>
  <si>
    <t>avtogreideri</t>
  </si>
  <si>
    <t xml:space="preserve">II sagzao samoseli </t>
  </si>
  <si>
    <t xml:space="preserve"> avtogreideri _ 108 cx.Z</t>
  </si>
  <si>
    <t>satkepni sagzao, gluvi TviTmmavali -5 t</t>
  </si>
  <si>
    <t xml:space="preserve">mosarwyavi manqana _ 6000 l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</si>
  <si>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27-10-3                                                                                                                                                                                                                                   </t>
  </si>
  <si>
    <t>erTfeniani 15 sm sisqis   safaris mowyoba qviSa RorRovani  narevisagan</t>
  </si>
  <si>
    <t xml:space="preserve">27-24-17(18)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</si>
  <si>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monoliTuri rkbetonis safaris mowyoba </t>
    </r>
    <r>
      <rPr>
        <b/>
        <sz val="10"/>
        <rFont val="Sylfaen"/>
        <family val="1"/>
        <charset val="204"/>
      </rPr>
      <t>B</t>
    </r>
    <r>
      <rPr>
        <b/>
        <sz val="10"/>
        <rFont val="AcadNusx"/>
      </rPr>
      <t>-20 klasis betoniT sisqiT 14 sm</t>
    </r>
  </si>
  <si>
    <t xml:space="preserve">SromiTi danaxarjebi 0,405-5*0,00464                   </t>
  </si>
  <si>
    <t>14-228</t>
  </si>
  <si>
    <t>sarwyavi manqana</t>
  </si>
  <si>
    <t>manqanebi 0,0135-5,0001</t>
  </si>
  <si>
    <t>4.1-344</t>
  </si>
  <si>
    <t>betoni b-22,5</t>
  </si>
  <si>
    <t>5.1-138</t>
  </si>
  <si>
    <t xml:space="preserve">yalibis ficrebi </t>
  </si>
  <si>
    <t xml:space="preserve">masalebi </t>
  </si>
  <si>
    <t xml:space="preserve">27-29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</si>
  <si>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rkinabetonis filis armireba d-8 a-III klasis armaturiT</t>
  </si>
  <si>
    <t xml:space="preserve">SromiTi danaxarjebi                   </t>
  </si>
  <si>
    <t>tona</t>
  </si>
  <si>
    <t>qviSa</t>
  </si>
  <si>
    <t xml:space="preserve">27-28-1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</si>
  <si>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gamyarebul betonis filaze temperaturuli nakerebis mowyoba</t>
  </si>
  <si>
    <t>grZ.m</t>
  </si>
  <si>
    <t xml:space="preserve">manqanebi </t>
  </si>
  <si>
    <t>nakeris saWreli manqana</t>
  </si>
  <si>
    <t>sabaro</t>
  </si>
  <si>
    <t xml:space="preserve">1--23--6 k=1,2 </t>
  </si>
  <si>
    <t>III kategoriis gruntis damuSaveba eqskavatoriT adgilze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</si>
  <si>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კbმ</t>
  </si>
  <si>
    <t>1-80-3                                                                                                                                                                                                                                     k=1,2</t>
  </si>
  <si>
    <t>III kategoriis gruntis damuSaveba xeliT</t>
  </si>
  <si>
    <t xml:space="preserve">                                                                                                                                                                                                                            კbმ</t>
  </si>
  <si>
    <t>6--11--3</t>
  </si>
  <si>
    <t>rkina betonis sayrdeni kedlis tanis  mowyoba</t>
  </si>
  <si>
    <t xml:space="preserve">armatura a-III </t>
  </si>
  <si>
    <t>yalibis ficrebi</t>
  </si>
  <si>
    <t>xis masala40 mm vv III  xarisxis</t>
  </si>
  <si>
    <t>30-54-1</t>
  </si>
  <si>
    <t>qva (drenaJisaTvis)</t>
  </si>
  <si>
    <t>Tixa ( (drenaJisaTvis)</t>
  </si>
  <si>
    <t xml:space="preserve">                                                                                                                                                                                                                           1-23-5</t>
  </si>
  <si>
    <t>gruntis ukuCayra eqskavatoriT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</si>
  <si>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kbm</t>
  </si>
  <si>
    <t xml:space="preserve">  </t>
  </si>
  <si>
    <t>l.r.x. #4</t>
  </si>
  <si>
    <t>l.r.x. #5</t>
  </si>
  <si>
    <t>lokalur-resursuli  xarjTaRricxva #4</t>
  </si>
  <si>
    <t>შუახევის მუნიციპალიტეტი
სოფ. ახალდაბა
 გარე წყალსადენის  და  გარე  წყალარინების  ქსელის  მოწყობაზე</t>
  </si>
  <si>
    <t xml:space="preserve">პლასტმასის  წყალსადენის  შავი მილების პნ10 დ=50*3მმ  მონტაჟი   </t>
  </si>
  <si>
    <t>პლასტმასის  მილი  დ=50*3მმ</t>
  </si>
  <si>
    <t xml:space="preserve">წყლის ტუმბოს მონტაჟი  7,2კბმ/სთ ჭავლით 55 მ-მდე. ლითონის ყუთით 
</t>
  </si>
  <si>
    <t>ტუმბო</t>
  </si>
  <si>
    <t>ლითონის ყუთი 1*0,7*0.5 მ</t>
  </si>
  <si>
    <t>წყლის რეზერვუარის მონტაჟი პლასტმასის  5 კბმ</t>
  </si>
  <si>
    <t>წყლის რეზერვუარი 5 კბმ</t>
  </si>
  <si>
    <t>ბეტონის ფილის მოწყობა რეზერვუარების ქვეშ 6*2*0,15 მ</t>
  </si>
  <si>
    <t xml:space="preserve">წყლის ტუმბოს მონტაჟი   ლითონის ყუთით 
</t>
  </si>
  <si>
    <t>პლასტმასის  წყალსადენის  მილების მონტაჟი 50*3მმ (სარწყავისათვის)</t>
  </si>
  <si>
    <t>100 გ/მ</t>
  </si>
  <si>
    <t xml:space="preserve">პლასტმასის  წყალსადენის  მილი 50*3მმ    </t>
  </si>
  <si>
    <t>წვეთობრივი სარწყავი მილის მოწყობა დ=16 მმ</t>
  </si>
  <si>
    <t>წვეთობრივი სარწყავი პლასტმასის   მილი დ=16 მმ</t>
  </si>
  <si>
    <t>l.r.x.#3</t>
  </si>
  <si>
    <t>l.r.x.#2</t>
  </si>
  <si>
    <t xml:space="preserve">შუახევის  მუნიციპალიტეტი, სოფ  ახალდაბაში  ახალი სანერგე მეურნეობის ტერიტორიის   გარე   განათებაზე
</t>
  </si>
  <si>
    <t xml:space="preserve"> დეფექტური აქტი</t>
  </si>
  <si>
    <t>ს.ნ და წ      1-80-7</t>
  </si>
  <si>
    <t>ორმოს ამოთხრა ხელით განათების ბოძისთვის</t>
  </si>
  <si>
    <t>ს.ნ და წ  33-622</t>
  </si>
  <si>
    <t>ერთფრთიანი განათების ბოძის მონტაჟი</t>
  </si>
  <si>
    <t>ერთფრთიანი განათების ბოძი</t>
  </si>
  <si>
    <t>ს.ნ და წ     6-1-2</t>
  </si>
  <si>
    <t>საყრდენის საძირკვლის დაბეტონება</t>
  </si>
  <si>
    <t>ბეტონი</t>
  </si>
  <si>
    <t>ს.ნ და წ                  8-471-4                               8-472-5</t>
  </si>
  <si>
    <t>განათების ბოძის დამიწება</t>
  </si>
  <si>
    <t>გლინულა , d-8  მმ</t>
  </si>
  <si>
    <t>არმატურა a-III კლასის, d-18 მმ</t>
  </si>
  <si>
    <t>ს.ნ დ  წ 8_370_2</t>
  </si>
  <si>
    <t>გარე განათების სანათის მონტჟი საყრდენზე</t>
  </si>
  <si>
    <t xml:space="preserve">გარე განათების დიოდური სანათი </t>
  </si>
  <si>
    <t xml:space="preserve">ს.ნ დ  წ        8-524-1 </t>
  </si>
  <si>
    <t>ელ. კარადის დადგმა</t>
  </si>
  <si>
    <t>ელ. კარადა</t>
  </si>
  <si>
    <t>1 პ. ავტომ. ჩამრთველი 10 ა</t>
  </si>
  <si>
    <t>სახელშ</t>
  </si>
  <si>
    <t>ფოტორელეს მონტაჟი</t>
  </si>
  <si>
    <t>ფოტორელე</t>
  </si>
  <si>
    <t>ს.ნ დ  წ             8-409-3</t>
  </si>
  <si>
    <t>კაბელის შეტაცება მილში</t>
  </si>
  <si>
    <t>kabeli vvg 3X4 kv. mm</t>
  </si>
  <si>
    <t>kabeli აvvg 2X10 kv. mm</t>
  </si>
  <si>
    <t>სადენი 2X2,5 კვმმ</t>
  </si>
  <si>
    <t xml:space="preserve">ს.ნდა წ      1-80-3      1-22-6 </t>
  </si>
  <si>
    <t>მესამე კატეგორიის გრუნტში ტრანშეის მოთხრა კაბელისათვის ხელით</t>
  </si>
  <si>
    <t>ს.ნდა წ     8-407-9</t>
  </si>
  <si>
    <t>მილის (კაბელით) ჩადება მზა ტრანშეაში</t>
  </si>
  <si>
    <t>გოფრირებული მილი  d-32 მმ</t>
  </si>
  <si>
    <t>ს.ნდა წ      1-81-3</t>
  </si>
  <si>
    <t>გრუნტის უკუჩაყრა</t>
  </si>
  <si>
    <t>ს.ნ და წ                  8-153-21</t>
  </si>
  <si>
    <t>კაბელის ბოლოების ჩაკეთება</t>
  </si>
  <si>
    <t>ზედნადები ხარჯების სამშ. სამუშაოებზე 10%</t>
  </si>
  <si>
    <t>ზედნადები ხარჯების ელ. სამუშაოებზე 75%</t>
  </si>
  <si>
    <t>ლოკალურ- რესურსული ხარჯთაღრიცხვა  # 3</t>
  </si>
  <si>
    <t>ლოკალურ_რესურსული  ხარჯთაღრიცხვა 1/2</t>
  </si>
  <si>
    <r>
      <t xml:space="preserve">მონოლითური რკ/ბეტონის filis  mowyoba 3.00 m niSnulze ბეტონი </t>
    </r>
    <r>
      <rPr>
        <b/>
        <sz val="10"/>
        <rFont val="Sylfaen"/>
        <family val="1"/>
        <charset val="204"/>
      </rPr>
      <t>B</t>
    </r>
    <r>
      <rPr>
        <b/>
        <sz val="10"/>
        <rFont val="AcadNusx"/>
      </rPr>
      <t xml:space="preserve">20 </t>
    </r>
  </si>
  <si>
    <r>
      <t xml:space="preserve">rkinabetonis საძირკვლის filis mowyoba betoni </t>
    </r>
    <r>
      <rPr>
        <b/>
        <sz val="10"/>
        <rFont val="Arial Cyr"/>
      </rPr>
      <t>B20</t>
    </r>
  </si>
  <si>
    <r>
      <t xml:space="preserve">rkinabetonis wertilovani საძირკვლის  mowyoba betoni </t>
    </r>
    <r>
      <rPr>
        <b/>
        <sz val="10"/>
        <rFont val="Arial Cyr"/>
      </rPr>
      <t>B20</t>
    </r>
  </si>
  <si>
    <t>IIategoriis gruntis damuSaveba buldozeriTY da gadaadgileba 10 m manZilze</t>
  </si>
  <si>
    <t>misasvleli gza</t>
  </si>
  <si>
    <t>saxuravis frontonebisa SefuTva gluvi TunuqiT</t>
  </si>
  <si>
    <t>ს.ნ.დაწ.   10-11 მისადაგებით</t>
  </si>
  <si>
    <t>სხვადასხვა მანქანები</t>
  </si>
  <si>
    <t xml:space="preserve">ხე მასალა </t>
  </si>
  <si>
    <t>პასტა ანტისეპტიკური</t>
  </si>
  <si>
    <t>შესაკრავი მავთული</t>
  </si>
  <si>
    <t>ანკერი</t>
  </si>
  <si>
    <t>ლურსმანი სამშენებლო</t>
  </si>
  <si>
    <t>სხვა მასალები</t>
  </si>
  <si>
    <t>ს.ნ.დაწ.   10_38_3</t>
  </si>
  <si>
    <t>ხის კონსტრუქციების ანტისეპტირება</t>
  </si>
  <si>
    <t>100   კვმ</t>
  </si>
  <si>
    <t xml:space="preserve">ხსნარი ანტისეპტიკური         </t>
  </si>
  <si>
    <t>ს.ნ.დაწ. 10_37_3</t>
  </si>
  <si>
    <t>ხის კონსტრუქციების დამუშავება ხანძარსაწინააღმდეგო ხსნარით</t>
  </si>
  <si>
    <t>100      კვმ</t>
  </si>
  <si>
    <t xml:space="preserve">ხსნარი ცეცხლგამძლე          </t>
  </si>
  <si>
    <t>ხის სანივნივე სისტემის მოწყობა</t>
  </si>
  <si>
    <r>
      <t xml:space="preserve">მონოლითური რკ/ბეტონის გარე ბაქანი mowyoba ბეტონი </t>
    </r>
    <r>
      <rPr>
        <b/>
        <sz val="10"/>
        <rFont val="Sylfaen"/>
        <family val="1"/>
        <charset val="204"/>
      </rPr>
      <t>B</t>
    </r>
    <r>
      <rPr>
        <b/>
        <sz val="10"/>
        <rFont val="AcadNusx"/>
      </rPr>
      <t xml:space="preserve">20 </t>
    </r>
  </si>
  <si>
    <t xml:space="preserve">Sekiduli Weris mowyoba TabaSirmuyaos filebiT </t>
  </si>
  <si>
    <t xml:space="preserve">kedlis mowyoba 40X30X20 </t>
  </si>
  <si>
    <t>msubuqi satixre bloki  40X30X20</t>
  </si>
  <si>
    <t>27-43-1-2</t>
  </si>
  <si>
    <t xml:space="preserve"> SromiTi danaxarji</t>
  </si>
  <si>
    <t xml:space="preserve"> manqanebi </t>
  </si>
  <si>
    <t>betonis dekoratiuli fila sisqiT 6  sm</t>
  </si>
  <si>
    <t>qviSa-cementi</t>
  </si>
  <si>
    <t>kub.m</t>
  </si>
  <si>
    <t>cementis xsnari</t>
  </si>
  <si>
    <t>kedliს ukan drenaJis mowyoba</t>
  </si>
  <si>
    <t xml:space="preserve">0,50 mm sisqis profilirebuli feradi Tunuqis   saxuravis mowyoba </t>
  </si>
  <si>
    <t>ახალდაბაSi შიგა gzis mowyobaze</t>
  </si>
  <si>
    <t xml:space="preserve">bიtumis mastika </t>
  </si>
  <si>
    <t>qviSa RoRrovani narevi (fraqცia 40 mm)</t>
  </si>
  <si>
    <t>კვ.მ</t>
  </si>
  <si>
    <t>armatura a-III d-8 mm (2 kg 1kv.m-ze)M</t>
  </si>
  <si>
    <t>betoni b-20</t>
  </si>
  <si>
    <t>5,1</t>
  </si>
  <si>
    <t>5,2</t>
  </si>
  <si>
    <t>5,3</t>
  </si>
  <si>
    <t>keramikuli sakedle filebi</t>
  </si>
  <si>
    <t>ჩამოგანული  ფიცრები  III კატ.  25-32მმ</t>
  </si>
  <si>
    <t>l.r.x. #6</t>
  </si>
  <si>
    <t>bade</t>
  </si>
  <si>
    <t>aT. lari</t>
  </si>
  <si>
    <t xml:space="preserve"> aT. lari</t>
  </si>
  <si>
    <t xml:space="preserve">  naxazebi  </t>
  </si>
  <si>
    <t>ganz. erT</t>
  </si>
  <si>
    <t>raod--ba</t>
  </si>
  <si>
    <t>saproeqto monacemebiT</t>
  </si>
  <si>
    <t>ganz erT</t>
  </si>
  <si>
    <t>.27-8-2</t>
  </si>
  <si>
    <t>bazaltis badis mowyoba</t>
  </si>
  <si>
    <t>14-200</t>
  </si>
  <si>
    <t>bazaltis bade</t>
  </si>
  <si>
    <t xml:space="preserve"> maT Soris: SromiTi danaxarjebi                   </t>
  </si>
  <si>
    <t xml:space="preserve"> materialuri resursebi</t>
  </si>
  <si>
    <t xml:space="preserve">zednadebi xarjebi  </t>
  </si>
  <si>
    <t>gegmiuri dagroveba</t>
  </si>
  <si>
    <t>lokalur resursuli xarjTaRricxva #6</t>
  </si>
  <si>
    <t>bazaltis badis mowyobaze axaldabaSi</t>
  </si>
  <si>
    <t xml:space="preserve">ტოლი </t>
  </si>
  <si>
    <t xml:space="preserve">6 sm sisqis betonis  filebis  dageba   ქვiSa-ცემენტის  safuZvelze </t>
  </si>
  <si>
    <t xml:space="preserve">შუახევის  მუნიციპალიტეტი, სოფ ახალდაბაში  ვაზის სანერგე მეურნეობის მოწყობაზე
</t>
  </si>
  <si>
    <t>შუახევის  მუნიციპალიტეტი, სოფ ახალდაბაში  ვაზის სანერგე მეურნეობის მოწყობაზე</t>
  </si>
  <si>
    <t>saerTo samSeneblo samuSaoebze შუახევის  მუნიციპალიტეტი, სოფ ახალდაბაში  ვაზის სანერგე მეურნეობის  ofisis mSeneblobaze</t>
  </si>
  <si>
    <t>სანტექნიკური სამუშაოები</t>
  </si>
  <si>
    <t>gegmiuri dagroveba 6%</t>
  </si>
  <si>
    <t>saobieqto-saxarjTaRricxvo angariSi  # 1</t>
  </si>
  <si>
    <t>ლოკალურ_რესურსული  ხარჯთაღრიცხვა  N2</t>
  </si>
  <si>
    <t>lokalur-resursuli xarjTaRricxva #5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</si>
</sst>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.000"/>
    <numFmt numFmtId="166" formatCode="#,##0.000"/>
    <numFmt numFmtId="167" formatCode="0.0000"/>
    <numFmt numFmtId="168" formatCode="0.00000"/>
    <numFmt numFmtId="169" formatCode="#,##0.0000"/>
    <numFmt numFmtId="170" formatCode="#,##0.00000"/>
    <numFmt numFmtId="171" formatCode="#,##0.0"/>
  </numFmts>
  <fonts count="83" x14ac:knownFonts="1">
    <font>
      <sz val="10"/>
      <name val="Arial"/>
    </font>
    <font>
      <sz val="10"/>
      <name val="Arial"/>
      <family val="2"/>
      <charset val="204"/>
    </font>
    <font>
      <b/>
      <sz val="10"/>
      <name val="AcadNusx"/>
    </font>
    <font>
      <sz val="10"/>
      <name val="Arial Cyr"/>
      <charset val="204"/>
    </font>
    <font>
      <b/>
      <i/>
      <u/>
      <sz val="10"/>
      <name val="AcadNusx"/>
    </font>
    <font>
      <sz val="10"/>
      <name val="AcadNusx"/>
    </font>
    <font>
      <b/>
      <u/>
      <sz val="10"/>
      <name val="AcadNusx"/>
    </font>
    <font>
      <b/>
      <i/>
      <sz val="10"/>
      <name val="AcadNusx"/>
    </font>
    <font>
      <b/>
      <i/>
      <u/>
      <sz val="12"/>
      <name val="AcadNusx"/>
    </font>
    <font>
      <sz val="10"/>
      <color rgb="FFFF0000"/>
      <name val="AcadNusx"/>
    </font>
    <font>
      <b/>
      <sz val="12"/>
      <name val="AcadNusx"/>
    </font>
    <font>
      <b/>
      <sz val="10"/>
      <name val="Arial"/>
      <family val="2"/>
      <charset val="204"/>
    </font>
    <font>
      <b/>
      <sz val="10"/>
      <color indexed="10"/>
      <name val="AcadNusx"/>
    </font>
    <font>
      <b/>
      <sz val="9"/>
      <name val="AcadNusx"/>
    </font>
    <font>
      <b/>
      <sz val="11"/>
      <name val="AcadNusx"/>
    </font>
    <font>
      <b/>
      <sz val="8"/>
      <name val="AcadNusx"/>
    </font>
    <font>
      <b/>
      <sz val="10"/>
      <color indexed="8"/>
      <name val="AcadNusx"/>
    </font>
    <font>
      <b/>
      <sz val="10"/>
      <name val="Sylfaen"/>
      <family val="1"/>
      <charset val="204"/>
    </font>
    <font>
      <sz val="12"/>
      <name val="AcadNusx"/>
    </font>
    <font>
      <b/>
      <sz val="14"/>
      <name val="AcadNusx"/>
    </font>
    <font>
      <sz val="11"/>
      <name val="AcadNusx"/>
    </font>
    <font>
      <sz val="10"/>
      <name val="Arial"/>
      <family val="2"/>
    </font>
    <font>
      <sz val="9"/>
      <name val="AcadNusx"/>
    </font>
    <font>
      <b/>
      <sz val="11"/>
      <name val="AcadMtavr"/>
    </font>
    <font>
      <sz val="10"/>
      <name val="Sylfaen"/>
      <family val="1"/>
      <charset val="204"/>
    </font>
    <font>
      <sz val="10"/>
      <color indexed="10"/>
      <name val="AcadNusx"/>
    </font>
    <font>
      <sz val="10"/>
      <color indexed="10"/>
      <name val="Calibri"/>
      <family val="2"/>
      <charset val="204"/>
    </font>
    <font>
      <b/>
      <sz val="10"/>
      <name val="Arial Cyr"/>
    </font>
    <font>
      <sz val="8"/>
      <name val="AcadNusx"/>
    </font>
    <font>
      <sz val="10"/>
      <color indexed="48"/>
      <name val="AcadNusx"/>
    </font>
    <font>
      <sz val="10"/>
      <color indexed="12"/>
      <name val="AcadNusx"/>
    </font>
    <font>
      <sz val="10"/>
      <color rgb="FF3942F5"/>
      <name val="AcadNusx"/>
    </font>
    <font>
      <i/>
      <u/>
      <sz val="10"/>
      <name val="AcadNusx"/>
    </font>
    <font>
      <sz val="10"/>
      <color indexed="8"/>
      <name val="AcadNusx"/>
    </font>
    <font>
      <sz val="10"/>
      <color indexed="30"/>
      <name val="AcadNusx"/>
    </font>
    <font>
      <sz val="10"/>
      <color theme="3" tint="0.39997558519241921"/>
      <name val="AcadNusx"/>
    </font>
    <font>
      <b/>
      <sz val="12"/>
      <name val="Arial"/>
      <family val="2"/>
    </font>
    <font>
      <b/>
      <sz val="10"/>
      <color indexed="12"/>
      <name val="AcadNusx"/>
    </font>
    <font>
      <sz val="10"/>
      <color rgb="FFFF0000"/>
      <name val="Arial"/>
      <family val="2"/>
      <charset val="204"/>
    </font>
    <font>
      <sz val="12"/>
      <name val="Sylfaen"/>
      <family val="1"/>
      <charset val="204"/>
    </font>
    <font>
      <sz val="10"/>
      <color indexed="10"/>
      <name val="Sylfaen"/>
      <family val="1"/>
      <charset val="204"/>
    </font>
    <font>
      <sz val="10"/>
      <color indexed="12"/>
      <name val="Sylfaen"/>
      <family val="1"/>
      <charset val="204"/>
    </font>
    <font>
      <b/>
      <sz val="12"/>
      <name val="Sylfaen"/>
      <family val="1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b/>
      <sz val="10"/>
      <color indexed="8"/>
      <name val="Sylfaen"/>
      <family val="1"/>
    </font>
    <font>
      <sz val="10"/>
      <color indexed="10"/>
      <name val="Sylfaen"/>
      <family val="1"/>
    </font>
    <font>
      <sz val="10"/>
      <color indexed="12"/>
      <name val="Sylfaen"/>
      <family val="1"/>
    </font>
    <font>
      <sz val="8"/>
      <name val="Sylfaen"/>
      <family val="1"/>
    </font>
    <font>
      <b/>
      <sz val="12"/>
      <name val="Sylfaen"/>
      <family val="1"/>
      <charset val="204"/>
    </font>
    <font>
      <sz val="10"/>
      <color theme="1"/>
      <name val="Sylfaen"/>
      <family val="1"/>
      <charset val="204"/>
    </font>
    <font>
      <sz val="10"/>
      <color theme="1"/>
      <name val="AcadNusx"/>
    </font>
    <font>
      <sz val="12"/>
      <color indexed="12"/>
      <name val="AcadNusx"/>
    </font>
    <font>
      <b/>
      <u/>
      <sz val="12"/>
      <name val="Sylfaen"/>
      <family val="1"/>
      <charset val="204"/>
    </font>
    <font>
      <sz val="14"/>
      <name val="AcadNusx"/>
    </font>
    <font>
      <sz val="12"/>
      <color indexed="10"/>
      <name val="AcadNusx"/>
    </font>
    <font>
      <b/>
      <sz val="14"/>
      <name val="Sylfaen"/>
      <family val="1"/>
      <charset val="204"/>
    </font>
    <font>
      <b/>
      <sz val="14"/>
      <color theme="1"/>
      <name val="AcadNusx"/>
    </font>
    <font>
      <sz val="12"/>
      <name val="Arial Cyr"/>
      <charset val="204"/>
    </font>
    <font>
      <b/>
      <i/>
      <sz val="10"/>
      <color rgb="FFFF0000"/>
      <name val="AcadNusx"/>
    </font>
    <font>
      <sz val="10"/>
      <color rgb="FFFF0000"/>
      <name val="Sylfaen"/>
      <family val="1"/>
      <charset val="204"/>
    </font>
    <font>
      <sz val="10"/>
      <color indexed="48"/>
      <name val="Sylfaen"/>
      <family val="1"/>
      <charset val="204"/>
    </font>
    <font>
      <sz val="10"/>
      <color rgb="FF3942F5"/>
      <name val="Sylfaen"/>
      <family val="1"/>
      <charset val="204"/>
    </font>
    <font>
      <b/>
      <sz val="11"/>
      <name val="Sylfaen"/>
      <family val="1"/>
      <charset val="204"/>
    </font>
    <font>
      <sz val="11"/>
      <name val="Sylfaen"/>
      <family val="1"/>
      <charset val="204"/>
    </font>
    <font>
      <sz val="11"/>
      <color rgb="FFFF0000"/>
      <name val="Sylfaen"/>
      <family val="1"/>
      <charset val="204"/>
    </font>
    <font>
      <sz val="11"/>
      <color rgb="FFFF0000"/>
      <name val="AcadNusx"/>
    </font>
    <font>
      <b/>
      <sz val="11"/>
      <color rgb="FFFF0000"/>
      <name val="AcadNusx"/>
    </font>
    <font>
      <u/>
      <sz val="10"/>
      <name val="AcadNusx"/>
    </font>
    <font>
      <u/>
      <sz val="10"/>
      <color rgb="FFFF0000"/>
      <name val="AcadNusx"/>
    </font>
    <font>
      <sz val="10"/>
      <color theme="3"/>
      <name val="AcadNusx"/>
    </font>
    <font>
      <u/>
      <sz val="10"/>
      <color theme="3"/>
      <name val="AcadNusx"/>
    </font>
    <font>
      <b/>
      <sz val="11"/>
      <name val="Sylfaen"/>
      <family val="1"/>
    </font>
    <font>
      <sz val="11"/>
      <name val="Sylfaen"/>
      <family val="1"/>
    </font>
    <font>
      <sz val="11"/>
      <color rgb="FFFF0000"/>
      <name val="Sylfaen"/>
      <family val="1"/>
    </font>
    <font>
      <sz val="11"/>
      <color rgb="FF0070C0"/>
      <name val="Sylfaen"/>
      <family val="1"/>
    </font>
    <font>
      <b/>
      <sz val="11"/>
      <color indexed="8"/>
      <name val="Sylfaen"/>
      <family val="1"/>
    </font>
    <font>
      <sz val="11"/>
      <color indexed="10"/>
      <name val="Sylfaen"/>
      <family val="1"/>
    </font>
    <font>
      <sz val="11"/>
      <color indexed="10"/>
      <name val="AcadNusx"/>
    </font>
    <font>
      <sz val="11"/>
      <color rgb="FF0070C0"/>
      <name val="AcadNusx"/>
    </font>
    <font>
      <b/>
      <sz val="11"/>
      <color rgb="FFFF0000"/>
      <name val="Sylfaen"/>
      <family val="1"/>
    </font>
    <font>
      <b/>
      <sz val="11"/>
      <color rgb="FF0070C0"/>
      <name val="Sylfae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</cellStyleXfs>
  <cellXfs count="771">
    <xf numFmtId="0" fontId="0" fillId="0" borderId="0" xfId="0"/>
    <xf numFmtId="1" fontId="2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4" fontId="2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0" xfId="0" applyFont="1"/>
    <xf numFmtId="0" fontId="14" fillId="0" borderId="5" xfId="0" applyFont="1" applyFill="1" applyBorder="1" applyAlignment="1">
      <alignment horizontal="center" vertical="center" wrapText="1"/>
    </xf>
    <xf numFmtId="1" fontId="15" fillId="0" borderId="5" xfId="0" applyNumberFormat="1" applyFont="1" applyFill="1" applyBorder="1" applyAlignment="1">
      <alignment horizontal="center" vertical="center" wrapText="1"/>
    </xf>
    <xf numFmtId="0" fontId="5" fillId="0" borderId="0" xfId="3" applyFont="1" applyFill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22" fillId="0" borderId="0" xfId="0" applyNumberFormat="1" applyFont="1" applyFill="1" applyAlignment="1">
      <alignment horizontal="center" vertical="center" wrapText="1"/>
    </xf>
    <xf numFmtId="2" fontId="22" fillId="0" borderId="0" xfId="0" applyNumberFormat="1" applyFont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textRotation="90" wrapText="1"/>
    </xf>
    <xf numFmtId="0" fontId="24" fillId="0" borderId="15" xfId="0" applyFont="1" applyFill="1" applyBorder="1" applyAlignment="1">
      <alignment horizontal="center" vertical="center" textRotation="90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2" fontId="22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22" fillId="0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2" fontId="25" fillId="0" borderId="3" xfId="0" applyNumberFormat="1" applyFont="1" applyFill="1" applyBorder="1" applyAlignment="1">
      <alignment horizontal="center" vertical="center" wrapText="1"/>
    </xf>
    <xf numFmtId="4" fontId="25" fillId="0" borderId="3" xfId="0" applyNumberFormat="1" applyFont="1" applyFill="1" applyBorder="1" applyAlignment="1">
      <alignment horizontal="center" vertical="center" wrapText="1"/>
    </xf>
    <xf numFmtId="1" fontId="25" fillId="0" borderId="3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1" fontId="25" fillId="0" borderId="4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4" fontId="29" fillId="0" borderId="5" xfId="0" applyNumberFormat="1" applyFont="1" applyFill="1" applyBorder="1" applyAlignment="1">
      <alignment horizontal="center" vertical="center" wrapText="1"/>
    </xf>
    <xf numFmtId="1" fontId="29" fillId="0" borderId="5" xfId="0" applyNumberFormat="1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2" fontId="30" fillId="0" borderId="2" xfId="0" applyNumberFormat="1" applyFont="1" applyFill="1" applyBorder="1" applyAlignment="1">
      <alignment horizontal="center" vertical="center" wrapText="1"/>
    </xf>
    <xf numFmtId="1" fontId="30" fillId="0" borderId="5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9" fontId="5" fillId="0" borderId="5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1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165" fontId="29" fillId="0" borderId="5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170" fontId="5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30" fillId="0" borderId="5" xfId="0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4" fontId="35" fillId="0" borderId="5" xfId="0" applyNumberFormat="1" applyFont="1" applyFill="1" applyBorder="1" applyAlignment="1">
      <alignment horizontal="center" vertical="center" wrapText="1"/>
    </xf>
    <xf numFmtId="1" fontId="35" fillId="0" borderId="5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9" fontId="5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/>
    <xf numFmtId="0" fontId="5" fillId="0" borderId="3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2" fontId="16" fillId="0" borderId="19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Alignment="1">
      <alignment horizontal="center" vertical="center" wrapText="1"/>
    </xf>
    <xf numFmtId="2" fontId="33" fillId="0" borderId="31" xfId="0" applyNumberFormat="1" applyFont="1" applyFill="1" applyBorder="1" applyAlignment="1">
      <alignment horizontal="center" vertical="center" wrapText="1"/>
    </xf>
    <xf numFmtId="2" fontId="33" fillId="0" borderId="25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9" fillId="0" borderId="0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4" fontId="0" fillId="7" borderId="0" xfId="0" applyNumberFormat="1" applyFill="1"/>
    <xf numFmtId="2" fontId="0" fillId="0" borderId="0" xfId="0" applyNumberFormat="1"/>
    <xf numFmtId="1" fontId="5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5" fillId="0" borderId="9" xfId="0" applyFont="1" applyFill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164" fontId="25" fillId="0" borderId="5" xfId="0" applyNumberFormat="1" applyFont="1" applyBorder="1" applyAlignment="1">
      <alignment horizontal="center" vertical="center" wrapText="1"/>
    </xf>
    <xf numFmtId="2" fontId="25" fillId="0" borderId="5" xfId="0" applyNumberFormat="1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2" fontId="30" fillId="0" borderId="5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1" fontId="25" fillId="2" borderId="5" xfId="0" applyNumberFormat="1" applyFont="1" applyFill="1" applyBorder="1" applyAlignment="1">
      <alignment horizontal="center" vertical="center" wrapText="1"/>
    </xf>
    <xf numFmtId="1" fontId="30" fillId="2" borderId="5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textRotation="90" wrapText="1"/>
    </xf>
    <xf numFmtId="1" fontId="20" fillId="0" borderId="2" xfId="0" applyNumberFormat="1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0" fillId="8" borderId="24" xfId="0" applyFill="1" applyBorder="1"/>
    <xf numFmtId="2" fontId="43" fillId="0" borderId="0" xfId="0" applyNumberFormat="1" applyFont="1" applyAlignment="1">
      <alignment horizontal="center" vertical="center" wrapText="1"/>
    </xf>
    <xf numFmtId="1" fontId="43" fillId="0" borderId="0" xfId="0" applyNumberFormat="1" applyFont="1" applyAlignment="1">
      <alignment horizontal="center" vertical="center" wrapText="1"/>
    </xf>
    <xf numFmtId="0" fontId="44" fillId="0" borderId="5" xfId="0" applyFont="1" applyBorder="1" applyAlignment="1">
      <alignment horizontal="center" vertical="center" textRotation="90" wrapText="1"/>
    </xf>
    <xf numFmtId="0" fontId="44" fillId="0" borderId="5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164" fontId="45" fillId="0" borderId="5" xfId="0" applyNumberFormat="1" applyFont="1" applyBorder="1" applyAlignment="1">
      <alignment horizontal="center" vertical="center" wrapText="1"/>
    </xf>
    <xf numFmtId="2" fontId="44" fillId="0" borderId="5" xfId="0" applyNumberFormat="1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 wrapText="1"/>
    </xf>
    <xf numFmtId="2" fontId="47" fillId="0" borderId="5" xfId="0" applyNumberFormat="1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 vertical="center" wrapText="1"/>
    </xf>
    <xf numFmtId="2" fontId="48" fillId="0" borderId="5" xfId="0" applyNumberFormat="1" applyFont="1" applyBorder="1" applyAlignment="1">
      <alignment horizontal="center" vertical="center" wrapText="1"/>
    </xf>
    <xf numFmtId="164" fontId="44" fillId="0" borderId="5" xfId="0" applyNumberFormat="1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14" fontId="44" fillId="0" borderId="5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1" fontId="44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1" fontId="13" fillId="8" borderId="5" xfId="0" applyNumberFormat="1" applyFont="1" applyFill="1" applyBorder="1" applyAlignment="1">
      <alignment horizontal="center" vertical="center" wrapText="1"/>
    </xf>
    <xf numFmtId="1" fontId="5" fillId="8" borderId="12" xfId="0" applyNumberFormat="1" applyFont="1" applyFill="1" applyBorder="1" applyAlignment="1">
      <alignment horizontal="center" vertical="center" wrapText="1"/>
    </xf>
    <xf numFmtId="2" fontId="22" fillId="8" borderId="5" xfId="0" applyNumberFormat="1" applyFont="1" applyFill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1" fontId="46" fillId="3" borderId="5" xfId="0" applyNumberFormat="1" applyFont="1" applyFill="1" applyBorder="1" applyAlignment="1">
      <alignment horizontal="center" vertical="center" wrapText="1"/>
    </xf>
    <xf numFmtId="1" fontId="47" fillId="0" borderId="5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 wrapText="1"/>
    </xf>
    <xf numFmtId="1" fontId="44" fillId="0" borderId="3" xfId="0" applyNumberFormat="1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1" fontId="44" fillId="0" borderId="5" xfId="0" applyNumberFormat="1" applyFont="1" applyBorder="1" applyAlignment="1">
      <alignment horizontal="center" vertical="center" wrapText="1"/>
    </xf>
    <xf numFmtId="16" fontId="44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" fontId="10" fillId="3" borderId="5" xfId="0" applyNumberFormat="1" applyFont="1" applyFill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1" fontId="52" fillId="2" borderId="5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" fontId="12" fillId="2" borderId="5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1" fontId="37" fillId="2" borderId="5" xfId="0" applyNumberFormat="1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center" vertical="center" wrapText="1"/>
    </xf>
    <xf numFmtId="0" fontId="54" fillId="0" borderId="5" xfId="0" applyFont="1" applyBorder="1" applyAlignment="1">
      <alignment horizontal="center" vertical="center" wrapText="1"/>
    </xf>
    <xf numFmtId="1" fontId="10" fillId="2" borderId="5" xfId="0" applyNumberFormat="1" applyFont="1" applyFill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" fontId="25" fillId="0" borderId="5" xfId="0" applyNumberFormat="1" applyFont="1" applyFill="1" applyBorder="1" applyAlignment="1">
      <alignment horizontal="center" vertical="center" wrapText="1"/>
    </xf>
    <xf numFmtId="1" fontId="5" fillId="9" borderId="27" xfId="0" applyNumberFormat="1" applyFont="1" applyFill="1" applyBorder="1" applyAlignment="1">
      <alignment horizontal="center" vertical="center" wrapText="1"/>
    </xf>
    <xf numFmtId="0" fontId="20" fillId="9" borderId="28" xfId="0" applyFont="1" applyFill="1" applyBorder="1" applyAlignment="1">
      <alignment horizontal="center" vertical="center" wrapText="1"/>
    </xf>
    <xf numFmtId="1" fontId="20" fillId="9" borderId="29" xfId="0" applyNumberFormat="1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4" fontId="35" fillId="0" borderId="3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1" fontId="35" fillId="0" borderId="3" xfId="0" applyNumberFormat="1" applyFont="1" applyFill="1" applyBorder="1" applyAlignment="1">
      <alignment horizontal="center" vertical="center" wrapText="1"/>
    </xf>
    <xf numFmtId="4" fontId="31" fillId="0" borderId="5" xfId="0" applyNumberFormat="1" applyFont="1" applyFill="1" applyBorder="1" applyAlignment="1">
      <alignment horizontal="center" vertical="center" wrapText="1"/>
    </xf>
    <xf numFmtId="0" fontId="53" fillId="0" borderId="5" xfId="0" applyFont="1" applyBorder="1" applyAlignment="1">
      <alignment horizontal="center" vertical="center" wrapText="1"/>
    </xf>
    <xf numFmtId="2" fontId="53" fillId="0" borderId="5" xfId="0" applyNumberFormat="1" applyFont="1" applyBorder="1" applyAlignment="1">
      <alignment horizontal="center" vertical="center" wrapText="1"/>
    </xf>
    <xf numFmtId="4" fontId="5" fillId="8" borderId="5" xfId="0" applyNumberFormat="1" applyFont="1" applyFill="1" applyBorder="1" applyAlignment="1">
      <alignment horizontal="center" vertical="center" wrapText="1"/>
    </xf>
    <xf numFmtId="4" fontId="25" fillId="8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9" fontId="51" fillId="0" borderId="5" xfId="0" applyNumberFormat="1" applyFont="1" applyBorder="1" applyAlignment="1">
      <alignment horizontal="center" vertical="center" wrapText="1"/>
    </xf>
    <xf numFmtId="1" fontId="58" fillId="2" borderId="5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1" fontId="14" fillId="0" borderId="5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textRotation="90" wrapText="1"/>
    </xf>
    <xf numFmtId="2" fontId="2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2" fillId="0" borderId="3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2" fontId="16" fillId="0" borderId="6" xfId="0" applyNumberFormat="1" applyFont="1" applyFill="1" applyBorder="1" applyAlignment="1">
      <alignment horizontal="center" vertical="center" wrapText="1"/>
    </xf>
    <xf numFmtId="2" fontId="16" fillId="0" borderId="17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2" fontId="16" fillId="0" borderId="25" xfId="0" applyNumberFormat="1" applyFont="1" applyFill="1" applyBorder="1" applyAlignment="1">
      <alignment horizontal="center" vertical="center" wrapText="1"/>
    </xf>
    <xf numFmtId="2" fontId="16" fillId="0" borderId="26" xfId="0" applyNumberFormat="1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2" fontId="33" fillId="0" borderId="4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2" fontId="33" fillId="0" borderId="8" xfId="0" applyNumberFormat="1" applyFont="1" applyFill="1" applyBorder="1" applyAlignment="1">
      <alignment horizontal="center" vertical="center" wrapText="1"/>
    </xf>
    <xf numFmtId="2" fontId="30" fillId="0" borderId="34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16" fillId="0" borderId="4" xfId="0" applyNumberFormat="1" applyFont="1" applyFill="1" applyBorder="1" applyAlignment="1">
      <alignment horizontal="center" vertical="center" wrapText="1"/>
    </xf>
    <xf numFmtId="2" fontId="37" fillId="0" borderId="4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2" fontId="16" fillId="0" borderId="8" xfId="0" applyNumberFormat="1" applyFont="1" applyFill="1" applyBorder="1" applyAlignment="1">
      <alignment horizontal="center" vertical="center" wrapText="1"/>
    </xf>
    <xf numFmtId="2" fontId="16" fillId="0" borderId="34" xfId="0" applyNumberFormat="1" applyFont="1" applyFill="1" applyBorder="1" applyAlignment="1">
      <alignment horizontal="center" vertical="center" wrapText="1"/>
    </xf>
    <xf numFmtId="2" fontId="16" fillId="0" borderId="3" xfId="0" applyNumberFormat="1" applyFont="1" applyFill="1" applyBorder="1" applyAlignment="1">
      <alignment horizontal="center" vertical="center" wrapText="1"/>
    </xf>
    <xf numFmtId="2" fontId="16" fillId="0" borderId="20" xfId="0" applyNumberFormat="1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textRotation="90" wrapText="1"/>
    </xf>
    <xf numFmtId="0" fontId="43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textRotation="90" wrapText="1"/>
    </xf>
    <xf numFmtId="0" fontId="2" fillId="0" borderId="0" xfId="3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18" fillId="0" borderId="2" xfId="0" applyFont="1" applyBorder="1" applyAlignment="1">
      <alignment horizontal="center" vertical="center" textRotation="90" wrapText="1"/>
    </xf>
    <xf numFmtId="0" fontId="18" fillId="0" borderId="12" xfId="0" applyFont="1" applyBorder="1" applyAlignment="1">
      <alignment horizontal="center" vertical="center" wrapText="1"/>
    </xf>
    <xf numFmtId="0" fontId="56" fillId="0" borderId="5" xfId="0" applyFont="1" applyBorder="1" applyAlignment="1">
      <alignment horizontal="center" vertical="center" wrapText="1"/>
    </xf>
    <xf numFmtId="1" fontId="56" fillId="2" borderId="5" xfId="0" applyNumberFormat="1" applyFont="1" applyFill="1" applyBorder="1" applyAlignment="1">
      <alignment horizontal="center" vertical="center" wrapText="1"/>
    </xf>
    <xf numFmtId="1" fontId="53" fillId="2" borderId="5" xfId="0" applyNumberFormat="1" applyFont="1" applyFill="1" applyBorder="1" applyAlignment="1">
      <alignment horizontal="center" vertical="center" wrapText="1"/>
    </xf>
    <xf numFmtId="1" fontId="18" fillId="2" borderId="5" xfId="0" applyNumberFormat="1" applyFont="1" applyFill="1" applyBorder="1" applyAlignment="1">
      <alignment horizontal="center" vertical="center" wrapText="1"/>
    </xf>
    <xf numFmtId="164" fontId="53" fillId="0" borderId="5" xfId="0" applyNumberFormat="1" applyFont="1" applyBorder="1" applyAlignment="1">
      <alignment horizontal="center" vertical="center" wrapText="1"/>
    </xf>
    <xf numFmtId="164" fontId="18" fillId="0" borderId="5" xfId="0" applyNumberFormat="1" applyFont="1" applyBorder="1" applyAlignment="1">
      <alignment horizontal="center" vertical="center" wrapText="1"/>
    </xf>
    <xf numFmtId="0" fontId="55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3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textRotation="90" wrapText="1"/>
    </xf>
    <xf numFmtId="1" fontId="2" fillId="0" borderId="0" xfId="0" applyNumberFormat="1" applyFont="1" applyFill="1" applyBorder="1" applyAlignment="1">
      <alignment horizontal="center" vertical="center" textRotation="90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1" fontId="2" fillId="0" borderId="43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2" fillId="4" borderId="17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1" fontId="2" fillId="0" borderId="3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2" fillId="0" borderId="40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4" fontId="2" fillId="4" borderId="2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2" fontId="2" fillId="10" borderId="5" xfId="0" applyNumberFormat="1" applyFont="1" applyFill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 wrapText="1"/>
    </xf>
    <xf numFmtId="2" fontId="2" fillId="0" borderId="5" xfId="3" applyNumberFormat="1" applyFont="1" applyBorder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center" wrapText="1"/>
    </xf>
    <xf numFmtId="4" fontId="2" fillId="0" borderId="5" xfId="3" applyNumberFormat="1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center" vertical="center" wrapText="1"/>
    </xf>
    <xf numFmtId="49" fontId="2" fillId="0" borderId="5" xfId="3" applyNumberFormat="1" applyFont="1" applyFill="1" applyBorder="1" applyAlignment="1">
      <alignment horizontal="left" vertical="center" wrapText="1"/>
    </xf>
    <xf numFmtId="2" fontId="6" fillId="0" borderId="5" xfId="3" applyNumberFormat="1" applyFont="1" applyFill="1" applyBorder="1" applyAlignment="1">
      <alignment horizontal="center" vertical="center" wrapText="1"/>
    </xf>
    <xf numFmtId="0" fontId="2" fillId="0" borderId="15" xfId="3" applyFont="1" applyBorder="1" applyAlignment="1">
      <alignment horizontal="center" vertical="center" wrapText="1"/>
    </xf>
    <xf numFmtId="2" fontId="2" fillId="0" borderId="5" xfId="3" applyNumberFormat="1" applyFont="1" applyBorder="1" applyAlignment="1">
      <alignment horizontal="center" vertical="center"/>
    </xf>
    <xf numFmtId="2" fontId="2" fillId="0" borderId="5" xfId="3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 vertical="center" wrapText="1"/>
    </xf>
    <xf numFmtId="0" fontId="2" fillId="0" borderId="16" xfId="3" applyFont="1" applyBorder="1" applyAlignment="1">
      <alignment horizontal="center" vertical="center" wrapText="1"/>
    </xf>
    <xf numFmtId="0" fontId="2" fillId="0" borderId="9" xfId="3" applyFont="1" applyBorder="1" applyAlignment="1">
      <alignment horizontal="center" vertical="center" wrapText="1"/>
    </xf>
    <xf numFmtId="0" fontId="2" fillId="0" borderId="10" xfId="3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/>
    <xf numFmtId="0" fontId="2" fillId="0" borderId="0" xfId="3" applyFont="1" applyBorder="1" applyAlignment="1">
      <alignment horizontal="center" vertical="center" wrapText="1"/>
    </xf>
    <xf numFmtId="0" fontId="2" fillId="0" borderId="0" xfId="3" applyFont="1"/>
    <xf numFmtId="2" fontId="2" fillId="0" borderId="0" xfId="3" applyNumberFormat="1" applyFont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12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2" fontId="16" fillId="0" borderId="21" xfId="0" applyNumberFormat="1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2" fontId="33" fillId="0" borderId="5" xfId="0" applyNumberFormat="1" applyFont="1" applyFill="1" applyBorder="1" applyAlignment="1">
      <alignment horizontal="center" vertical="center" wrapText="1"/>
    </xf>
    <xf numFmtId="2" fontId="16" fillId="0" borderId="5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3" fillId="0" borderId="0" xfId="0" applyFont="1"/>
    <xf numFmtId="1" fontId="43" fillId="0" borderId="0" xfId="0" applyNumberFormat="1" applyFont="1"/>
    <xf numFmtId="0" fontId="59" fillId="0" borderId="0" xfId="0" applyFont="1"/>
    <xf numFmtId="0" fontId="2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0" fillId="0" borderId="5" xfId="3" applyFont="1" applyFill="1" applyBorder="1" applyAlignment="1">
      <alignment horizontal="center" vertical="center" wrapText="1"/>
    </xf>
    <xf numFmtId="14" fontId="2" fillId="0" borderId="5" xfId="3" applyNumberFormat="1" applyFont="1" applyFill="1" applyBorder="1" applyAlignment="1">
      <alignment horizontal="left" vertical="center" wrapText="1"/>
    </xf>
    <xf numFmtId="0" fontId="8" fillId="0" borderId="5" xfId="3" applyFont="1" applyFill="1" applyBorder="1" applyAlignment="1">
      <alignment horizontal="center" vertical="center" wrapText="1"/>
    </xf>
    <xf numFmtId="165" fontId="6" fillId="0" borderId="5" xfId="3" applyNumberFormat="1" applyFont="1" applyFill="1" applyBorder="1" applyAlignment="1">
      <alignment horizontal="center" vertical="center" wrapText="1"/>
    </xf>
    <xf numFmtId="16" fontId="2" fillId="0" borderId="5" xfId="3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167" fontId="5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" fontId="40" fillId="0" borderId="5" xfId="0" applyNumberFormat="1" applyFont="1" applyFill="1" applyBorder="1" applyAlignment="1">
      <alignment horizontal="center" vertical="center" wrapText="1"/>
    </xf>
    <xf numFmtId="164" fontId="24" fillId="0" borderId="5" xfId="0" applyNumberFormat="1" applyFont="1" applyFill="1" applyBorder="1" applyAlignment="1">
      <alignment horizontal="center" vertical="center" wrapText="1"/>
    </xf>
    <xf numFmtId="0" fontId="62" fillId="0" borderId="5" xfId="0" applyFont="1" applyFill="1" applyBorder="1" applyAlignment="1">
      <alignment horizontal="center" vertical="center" wrapText="1"/>
    </xf>
    <xf numFmtId="0" fontId="63" fillId="0" borderId="5" xfId="0" applyFont="1" applyFill="1" applyBorder="1" applyAlignment="1">
      <alignment horizontal="center" vertical="center" wrapText="1"/>
    </xf>
    <xf numFmtId="4" fontId="62" fillId="0" borderId="5" xfId="0" applyNumberFormat="1" applyFont="1" applyFill="1" applyBorder="1" applyAlignment="1">
      <alignment horizontal="center" vertical="center" wrapText="1"/>
    </xf>
    <xf numFmtId="2" fontId="62" fillId="0" borderId="5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4" fontId="24" fillId="0" borderId="5" xfId="0" applyNumberFormat="1" applyFont="1" applyFill="1" applyBorder="1" applyAlignment="1">
      <alignment horizontal="center" vertical="center" wrapText="1"/>
    </xf>
    <xf numFmtId="2" fontId="24" fillId="0" borderId="5" xfId="0" applyNumberFormat="1" applyFont="1" applyFill="1" applyBorder="1" applyAlignment="1">
      <alignment horizontal="center" vertical="center" wrapText="1"/>
    </xf>
    <xf numFmtId="4" fontId="63" fillId="0" borderId="5" xfId="0" applyNumberFormat="1" applyFont="1" applyFill="1" applyBorder="1" applyAlignment="1">
      <alignment horizontal="center" vertical="center" wrapText="1"/>
    </xf>
    <xf numFmtId="2" fontId="63" fillId="0" borderId="5" xfId="0" applyNumberFormat="1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2" fontId="16" fillId="9" borderId="25" xfId="0" applyNumberFormat="1" applyFont="1" applyFill="1" applyBorder="1" applyAlignment="1">
      <alignment horizontal="center" vertical="center" wrapText="1"/>
    </xf>
    <xf numFmtId="2" fontId="5" fillId="9" borderId="26" xfId="0" applyNumberFormat="1" applyFont="1" applyFill="1" applyBorder="1" applyAlignment="1">
      <alignment horizontal="center" vertical="center" wrapText="1"/>
    </xf>
    <xf numFmtId="2" fontId="30" fillId="9" borderId="34" xfId="0" applyNumberFormat="1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2" fontId="33" fillId="9" borderId="5" xfId="0" applyNumberFormat="1" applyFont="1" applyFill="1" applyBorder="1" applyAlignment="1">
      <alignment horizontal="center" vertical="center" wrapText="1"/>
    </xf>
    <xf numFmtId="2" fontId="16" fillId="9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5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9" fontId="65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66" fillId="0" borderId="5" xfId="0" applyFont="1" applyBorder="1" applyAlignment="1">
      <alignment horizontal="center" vertical="center" wrapText="1"/>
    </xf>
    <xf numFmtId="0" fontId="67" fillId="0" borderId="5" xfId="0" applyFont="1" applyBorder="1" applyAlignment="1">
      <alignment horizontal="center" vertical="center" wrapText="1"/>
    </xf>
    <xf numFmtId="1" fontId="68" fillId="0" borderId="5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" fontId="5" fillId="5" borderId="18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168" fontId="5" fillId="0" borderId="5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1" fontId="5" fillId="0" borderId="5" xfId="3" applyNumberFormat="1" applyFont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67" fontId="5" fillId="0" borderId="5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2" fontId="5" fillId="0" borderId="5" xfId="3" applyNumberFormat="1" applyFont="1" applyBorder="1" applyAlignment="1">
      <alignment horizontal="center" vertical="center" wrapText="1"/>
    </xf>
    <xf numFmtId="2" fontId="69" fillId="0" borderId="5" xfId="3" applyNumberFormat="1" applyFont="1" applyFill="1" applyBorder="1" applyAlignment="1">
      <alignment horizontal="center" vertical="center" wrapText="1"/>
    </xf>
    <xf numFmtId="9" fontId="5" fillId="0" borderId="5" xfId="3" applyNumberFormat="1" applyFont="1" applyBorder="1" applyAlignment="1">
      <alignment horizontal="center" vertical="center" wrapText="1"/>
    </xf>
    <xf numFmtId="2" fontId="5" fillId="0" borderId="5" xfId="3" applyNumberFormat="1" applyFont="1" applyBorder="1" applyAlignment="1">
      <alignment horizontal="center" vertical="center"/>
    </xf>
    <xf numFmtId="2" fontId="5" fillId="0" borderId="5" xfId="3" applyNumberFormat="1" applyFont="1" applyFill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2" fontId="9" fillId="0" borderId="5" xfId="3" applyNumberFormat="1" applyFont="1" applyBorder="1" applyAlignment="1">
      <alignment horizontal="center" vertical="center" wrapText="1"/>
    </xf>
    <xf numFmtId="2" fontId="70" fillId="0" borderId="5" xfId="3" applyNumberFormat="1" applyFont="1" applyFill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0" fontId="71" fillId="0" borderId="5" xfId="3" applyFont="1" applyBorder="1" applyAlignment="1">
      <alignment horizontal="center" vertical="center" wrapText="1"/>
    </xf>
    <xf numFmtId="2" fontId="71" fillId="0" borderId="5" xfId="3" applyNumberFormat="1" applyFont="1" applyBorder="1" applyAlignment="1">
      <alignment horizontal="center" vertical="center" wrapText="1"/>
    </xf>
    <xf numFmtId="2" fontId="72" fillId="0" borderId="5" xfId="3" applyNumberFormat="1" applyFont="1" applyFill="1" applyBorder="1" applyAlignment="1">
      <alignment horizontal="center" vertical="center" wrapText="1"/>
    </xf>
    <xf numFmtId="0" fontId="71" fillId="0" borderId="5" xfId="0" applyFont="1" applyBorder="1" applyAlignment="1">
      <alignment horizontal="center" vertical="center" wrapText="1"/>
    </xf>
    <xf numFmtId="167" fontId="71" fillId="0" borderId="5" xfId="0" applyNumberFormat="1" applyFont="1" applyBorder="1" applyAlignment="1">
      <alignment horizontal="center" vertical="center" wrapText="1"/>
    </xf>
    <xf numFmtId="164" fontId="71" fillId="0" borderId="5" xfId="0" applyNumberFormat="1" applyFont="1" applyBorder="1" applyAlignment="1">
      <alignment horizontal="center" vertical="center" wrapText="1"/>
    </xf>
    <xf numFmtId="2" fontId="71" fillId="0" borderId="5" xfId="0" applyNumberFormat="1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2" fontId="73" fillId="0" borderId="0" xfId="0" applyNumberFormat="1" applyFont="1" applyAlignment="1">
      <alignment horizontal="center" vertical="center" wrapText="1"/>
    </xf>
    <xf numFmtId="2" fontId="74" fillId="0" borderId="0" xfId="0" applyNumberFormat="1" applyFont="1" applyAlignment="1">
      <alignment horizontal="center" vertical="center" wrapText="1"/>
    </xf>
    <xf numFmtId="0" fontId="74" fillId="0" borderId="2" xfId="0" applyFont="1" applyBorder="1" applyAlignment="1">
      <alignment horizontal="center" vertical="center" textRotation="90" wrapText="1"/>
    </xf>
    <xf numFmtId="0" fontId="74" fillId="0" borderId="5" xfId="0" applyFont="1" applyBorder="1" applyAlignment="1">
      <alignment horizontal="center" vertical="center" textRotation="90" wrapText="1"/>
    </xf>
    <xf numFmtId="0" fontId="74" fillId="0" borderId="3" xfId="0" applyFont="1" applyFill="1" applyBorder="1" applyAlignment="1">
      <alignment horizontal="center" vertical="center" wrapText="1"/>
    </xf>
    <xf numFmtId="0" fontId="74" fillId="0" borderId="5" xfId="0" applyFont="1" applyFill="1" applyBorder="1" applyAlignment="1">
      <alignment horizontal="center" vertical="center" wrapText="1"/>
    </xf>
    <xf numFmtId="0" fontId="73" fillId="0" borderId="5" xfId="0" applyFont="1" applyFill="1" applyBorder="1" applyAlignment="1">
      <alignment horizontal="center" vertical="center" wrapText="1"/>
    </xf>
    <xf numFmtId="2" fontId="73" fillId="0" borderId="5" xfId="0" applyNumberFormat="1" applyFont="1" applyFill="1" applyBorder="1" applyAlignment="1">
      <alignment horizontal="center" vertical="center" wrapText="1"/>
    </xf>
    <xf numFmtId="2" fontId="74" fillId="0" borderId="5" xfId="0" applyNumberFormat="1" applyFont="1" applyFill="1" applyBorder="1" applyAlignment="1">
      <alignment horizontal="center" vertical="center" wrapText="1"/>
    </xf>
    <xf numFmtId="1" fontId="73" fillId="6" borderId="5" xfId="0" applyNumberFormat="1" applyFont="1" applyFill="1" applyBorder="1" applyAlignment="1">
      <alignment horizontal="center" vertical="center" wrapText="1"/>
    </xf>
    <xf numFmtId="0" fontId="74" fillId="0" borderId="5" xfId="0" applyFont="1" applyBorder="1" applyAlignment="1">
      <alignment horizontal="center" vertical="center" wrapText="1"/>
    </xf>
    <xf numFmtId="0" fontId="75" fillId="0" borderId="5" xfId="0" applyFont="1" applyFill="1" applyBorder="1" applyAlignment="1">
      <alignment horizontal="center" vertical="center" wrapText="1"/>
    </xf>
    <xf numFmtId="2" fontId="75" fillId="0" borderId="5" xfId="0" applyNumberFormat="1" applyFont="1" applyFill="1" applyBorder="1" applyAlignment="1">
      <alignment horizontal="center" vertical="center" wrapText="1"/>
    </xf>
    <xf numFmtId="1" fontId="75" fillId="0" borderId="5" xfId="0" applyNumberFormat="1" applyFont="1" applyFill="1" applyBorder="1" applyAlignment="1">
      <alignment horizontal="center" vertical="center" wrapText="1"/>
    </xf>
    <xf numFmtId="164" fontId="73" fillId="0" borderId="5" xfId="0" applyNumberFormat="1" applyFont="1" applyFill="1" applyBorder="1" applyAlignment="1">
      <alignment horizontal="center" vertical="center" wrapText="1"/>
    </xf>
    <xf numFmtId="0" fontId="76" fillId="0" borderId="5" xfId="0" applyFont="1" applyFill="1" applyBorder="1" applyAlignment="1">
      <alignment horizontal="center" vertical="center" wrapText="1"/>
    </xf>
    <xf numFmtId="2" fontId="76" fillId="0" borderId="5" xfId="0" applyNumberFormat="1" applyFont="1" applyFill="1" applyBorder="1" applyAlignment="1">
      <alignment horizontal="center" vertical="center" wrapText="1"/>
    </xf>
    <xf numFmtId="1" fontId="76" fillId="0" borderId="5" xfId="0" applyNumberFormat="1" applyFont="1" applyFill="1" applyBorder="1" applyAlignment="1">
      <alignment horizontal="center" vertical="center" wrapText="1"/>
    </xf>
    <xf numFmtId="164" fontId="74" fillId="0" borderId="5" xfId="0" applyNumberFormat="1" applyFont="1" applyFill="1" applyBorder="1" applyAlignment="1">
      <alignment horizontal="center" vertical="center" wrapText="1"/>
    </xf>
    <xf numFmtId="1" fontId="74" fillId="0" borderId="5" xfId="0" applyNumberFormat="1" applyFont="1" applyFill="1" applyBorder="1" applyAlignment="1">
      <alignment horizontal="center" vertical="center" wrapText="1"/>
    </xf>
    <xf numFmtId="17" fontId="74" fillId="0" borderId="5" xfId="0" applyNumberFormat="1" applyFont="1" applyFill="1" applyBorder="1" applyAlignment="1">
      <alignment horizontal="center" vertical="center" wrapText="1"/>
    </xf>
    <xf numFmtId="1" fontId="74" fillId="0" borderId="5" xfId="0" applyNumberFormat="1" applyFont="1" applyFill="1" applyBorder="1" applyAlignment="1">
      <alignment horizontal="center" vertical="center"/>
    </xf>
    <xf numFmtId="164" fontId="75" fillId="0" borderId="5" xfId="0" applyNumberFormat="1" applyFont="1" applyFill="1" applyBorder="1" applyAlignment="1">
      <alignment horizontal="center" vertical="center" wrapText="1"/>
    </xf>
    <xf numFmtId="0" fontId="73" fillId="0" borderId="5" xfId="0" applyFont="1" applyBorder="1" applyAlignment="1">
      <alignment horizontal="center" vertical="center" wrapText="1"/>
    </xf>
    <xf numFmtId="164" fontId="73" fillId="0" borderId="5" xfId="0" applyNumberFormat="1" applyFont="1" applyBorder="1" applyAlignment="1">
      <alignment horizontal="center" vertical="center" wrapText="1"/>
    </xf>
    <xf numFmtId="2" fontId="74" fillId="0" borderId="5" xfId="0" applyNumberFormat="1" applyFont="1" applyBorder="1" applyAlignment="1">
      <alignment horizontal="center" vertical="center" wrapText="1"/>
    </xf>
    <xf numFmtId="1" fontId="77" fillId="11" borderId="5" xfId="0" applyNumberFormat="1" applyFont="1" applyFill="1" applyBorder="1" applyAlignment="1">
      <alignment horizontal="center" vertical="center" wrapText="1"/>
    </xf>
    <xf numFmtId="164" fontId="78" fillId="0" borderId="5" xfId="0" applyNumberFormat="1" applyFont="1" applyBorder="1" applyAlignment="1">
      <alignment horizontal="center" vertical="center" wrapText="1"/>
    </xf>
    <xf numFmtId="2" fontId="78" fillId="0" borderId="5" xfId="0" applyNumberFormat="1" applyFont="1" applyBorder="1" applyAlignment="1">
      <alignment horizontal="center" vertical="center" wrapText="1"/>
    </xf>
    <xf numFmtId="1" fontId="78" fillId="0" borderId="5" xfId="0" applyNumberFormat="1" applyFont="1" applyBorder="1" applyAlignment="1">
      <alignment horizontal="center" vertical="center" wrapText="1"/>
    </xf>
    <xf numFmtId="164" fontId="74" fillId="0" borderId="5" xfId="0" applyNumberFormat="1" applyFont="1" applyBorder="1" applyAlignment="1">
      <alignment horizontal="center" vertical="center" wrapText="1"/>
    </xf>
    <xf numFmtId="1" fontId="74" fillId="0" borderId="5" xfId="0" applyNumberFormat="1" applyFont="1" applyBorder="1" applyAlignment="1">
      <alignment horizontal="center" vertical="center" wrapText="1"/>
    </xf>
    <xf numFmtId="164" fontId="20" fillId="0" borderId="5" xfId="0" applyNumberFormat="1" applyFont="1" applyFill="1" applyBorder="1" applyAlignment="1">
      <alignment horizontal="center" vertical="center" wrapText="1"/>
    </xf>
    <xf numFmtId="2" fontId="20" fillId="0" borderId="5" xfId="0" applyNumberFormat="1" applyFont="1" applyFill="1" applyBorder="1" applyAlignment="1">
      <alignment horizontal="center" vertical="center" wrapText="1"/>
    </xf>
    <xf numFmtId="1" fontId="20" fillId="0" borderId="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64" fontId="14" fillId="0" borderId="5" xfId="0" applyNumberFormat="1" applyFont="1" applyFill="1" applyBorder="1" applyAlignment="1">
      <alignment horizontal="center" vertical="center" wrapText="1"/>
    </xf>
    <xf numFmtId="1" fontId="14" fillId="6" borderId="5" xfId="0" applyNumberFormat="1" applyFont="1" applyFill="1" applyBorder="1" applyAlignment="1">
      <alignment horizontal="center" vertical="center" wrapText="1"/>
    </xf>
    <xf numFmtId="0" fontId="67" fillId="0" borderId="5" xfId="0" applyFont="1" applyFill="1" applyBorder="1" applyAlignment="1">
      <alignment horizontal="center" vertical="center" wrapText="1"/>
    </xf>
    <xf numFmtId="2" fontId="67" fillId="0" borderId="5" xfId="0" applyNumberFormat="1" applyFont="1" applyFill="1" applyBorder="1" applyAlignment="1">
      <alignment horizontal="center" vertical="center" wrapText="1"/>
    </xf>
    <xf numFmtId="1" fontId="79" fillId="0" borderId="5" xfId="0" applyNumberFormat="1" applyFont="1" applyBorder="1" applyAlignment="1">
      <alignment horizontal="center" vertical="center" wrapText="1"/>
    </xf>
    <xf numFmtId="1" fontId="67" fillId="0" borderId="5" xfId="0" applyNumberFormat="1" applyFont="1" applyFill="1" applyBorder="1" applyAlignment="1">
      <alignment horizontal="center" vertical="center" wrapText="1"/>
    </xf>
    <xf numFmtId="0" fontId="80" fillId="0" borderId="5" xfId="0" applyFont="1" applyFill="1" applyBorder="1" applyAlignment="1">
      <alignment horizontal="center" vertical="center" wrapText="1"/>
    </xf>
    <xf numFmtId="2" fontId="80" fillId="0" borderId="5" xfId="0" applyNumberFormat="1" applyFont="1" applyFill="1" applyBorder="1" applyAlignment="1">
      <alignment horizontal="center" vertical="center" wrapText="1"/>
    </xf>
    <xf numFmtId="1" fontId="80" fillId="0" borderId="5" xfId="0" applyNumberFormat="1" applyFont="1" applyFill="1" applyBorder="1" applyAlignment="1">
      <alignment horizontal="center" vertical="center" wrapText="1"/>
    </xf>
    <xf numFmtId="16" fontId="74" fillId="0" borderId="5" xfId="0" applyNumberFormat="1" applyFont="1" applyFill="1" applyBorder="1" applyAlignment="1">
      <alignment horizontal="center" vertical="center" wrapText="1"/>
    </xf>
    <xf numFmtId="1" fontId="73" fillId="0" borderId="5" xfId="0" applyNumberFormat="1" applyFont="1" applyFill="1" applyBorder="1" applyAlignment="1">
      <alignment horizontal="center" vertical="center" wrapText="1"/>
    </xf>
    <xf numFmtId="1" fontId="81" fillId="0" borderId="5" xfId="0" applyNumberFormat="1" applyFont="1" applyFill="1" applyBorder="1" applyAlignment="1">
      <alignment horizontal="center" vertical="center" wrapText="1"/>
    </xf>
    <xf numFmtId="1" fontId="82" fillId="0" borderId="5" xfId="0" applyNumberFormat="1" applyFont="1" applyFill="1" applyBorder="1" applyAlignment="1">
      <alignment horizontal="center" vertical="center" wrapText="1"/>
    </xf>
    <xf numFmtId="14" fontId="74" fillId="0" borderId="5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1" fontId="7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4" fillId="0" borderId="2" xfId="0" applyFont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6" xfId="6" applyFont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1" fontId="5" fillId="12" borderId="5" xfId="0" applyNumberFormat="1" applyFont="1" applyFill="1" applyBorder="1" applyAlignment="1">
      <alignment horizontal="center" vertical="center" wrapText="1"/>
    </xf>
    <xf numFmtId="164" fontId="5" fillId="12" borderId="5" xfId="0" applyNumberFormat="1" applyFont="1" applyFill="1" applyBorder="1" applyAlignment="1">
      <alignment horizontal="center" vertical="center" wrapText="1"/>
    </xf>
    <xf numFmtId="3" fontId="5" fillId="12" borderId="5" xfId="0" applyNumberFormat="1" applyFont="1" applyFill="1" applyBorder="1" applyAlignment="1">
      <alignment horizontal="center" vertical="center" wrapText="1"/>
    </xf>
    <xf numFmtId="0" fontId="14" fillId="12" borderId="5" xfId="0" applyFont="1" applyFill="1" applyBorder="1" applyAlignment="1">
      <alignment horizontal="center" vertical="center" wrapText="1"/>
    </xf>
    <xf numFmtId="0" fontId="29" fillId="12" borderId="5" xfId="0" applyFont="1" applyFill="1" applyBorder="1" applyAlignment="1">
      <alignment horizontal="center" vertical="center" wrapText="1"/>
    </xf>
    <xf numFmtId="4" fontId="29" fillId="12" borderId="5" xfId="0" applyNumberFormat="1" applyFont="1" applyFill="1" applyBorder="1" applyAlignment="1">
      <alignment horizontal="center" vertical="center" wrapText="1"/>
    </xf>
    <xf numFmtId="2" fontId="29" fillId="12" borderId="5" xfId="0" applyNumberFormat="1" applyFont="1" applyFill="1" applyBorder="1" applyAlignment="1">
      <alignment horizontal="center" vertical="center" wrapText="1"/>
    </xf>
    <xf numFmtId="1" fontId="29" fillId="12" borderId="5" xfId="0" applyNumberFormat="1" applyFont="1" applyFill="1" applyBorder="1" applyAlignment="1">
      <alignment horizontal="center" vertical="center" wrapText="1"/>
    </xf>
    <xf numFmtId="0" fontId="20" fillId="12" borderId="5" xfId="0" applyFont="1" applyFill="1" applyBorder="1" applyAlignment="1">
      <alignment horizontal="center" vertical="center" wrapText="1"/>
    </xf>
    <xf numFmtId="169" fontId="5" fillId="12" borderId="5" xfId="0" applyNumberFormat="1" applyFont="1" applyFill="1" applyBorder="1" applyAlignment="1">
      <alignment horizontal="center" vertical="center" wrapText="1"/>
    </xf>
    <xf numFmtId="4" fontId="5" fillId="12" borderId="5" xfId="0" applyNumberFormat="1" applyFont="1" applyFill="1" applyBorder="1" applyAlignment="1">
      <alignment horizontal="center" vertical="center" wrapText="1"/>
    </xf>
    <xf numFmtId="0" fontId="35" fillId="12" borderId="5" xfId="0" applyFont="1" applyFill="1" applyBorder="1" applyAlignment="1">
      <alignment horizontal="center" vertical="center" wrapText="1"/>
    </xf>
    <xf numFmtId="4" fontId="35" fillId="12" borderId="5" xfId="0" applyNumberFormat="1" applyFont="1" applyFill="1" applyBorder="1" applyAlignment="1">
      <alignment horizontal="center" vertical="center" wrapText="1"/>
    </xf>
    <xf numFmtId="1" fontId="35" fillId="12" borderId="5" xfId="0" applyNumberFormat="1" applyFont="1" applyFill="1" applyBorder="1" applyAlignment="1">
      <alignment horizontal="center" vertical="center" wrapText="1"/>
    </xf>
    <xf numFmtId="0" fontId="18" fillId="12" borderId="5" xfId="0" applyFont="1" applyFill="1" applyBorder="1" applyAlignment="1">
      <alignment horizontal="center" vertical="center" wrapText="1"/>
    </xf>
    <xf numFmtId="167" fontId="35" fillId="12" borderId="5" xfId="0" applyNumberFormat="1" applyFont="1" applyFill="1" applyBorder="1" applyAlignment="1">
      <alignment horizontal="center" vertical="center" wrapText="1"/>
    </xf>
    <xf numFmtId="165" fontId="5" fillId="12" borderId="5" xfId="0" applyNumberFormat="1" applyFont="1" applyFill="1" applyBorder="1" applyAlignment="1">
      <alignment horizontal="center" vertical="center" wrapText="1"/>
    </xf>
    <xf numFmtId="2" fontId="5" fillId="12" borderId="5" xfId="0" applyNumberFormat="1" applyFont="1" applyFill="1" applyBorder="1" applyAlignment="1">
      <alignment horizontal="center" vertical="center" wrapText="1"/>
    </xf>
    <xf numFmtId="1" fontId="7" fillId="12" borderId="5" xfId="0" applyNumberFormat="1" applyFont="1" applyFill="1" applyBorder="1" applyAlignment="1">
      <alignment horizontal="center" vertical="center" wrapText="1"/>
    </xf>
    <xf numFmtId="49" fontId="7" fillId="12" borderId="5" xfId="0" applyNumberFormat="1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166" fontId="4" fillId="12" borderId="5" xfId="0" applyNumberFormat="1" applyFont="1" applyFill="1" applyBorder="1" applyAlignment="1">
      <alignment horizontal="center" vertical="center" wrapText="1"/>
    </xf>
    <xf numFmtId="3" fontId="4" fillId="12" borderId="5" xfId="0" applyNumberFormat="1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49" fontId="5" fillId="12" borderId="5" xfId="0" applyNumberFormat="1" applyFont="1" applyFill="1" applyBorder="1" applyAlignment="1">
      <alignment horizontal="center" vertical="center" wrapText="1"/>
    </xf>
    <xf numFmtId="166" fontId="29" fillId="12" borderId="5" xfId="0" applyNumberFormat="1" applyFont="1" applyFill="1" applyBorder="1" applyAlignment="1">
      <alignment horizontal="center" vertical="center" wrapText="1"/>
    </xf>
    <xf numFmtId="0" fontId="34" fillId="12" borderId="5" xfId="0" applyFont="1" applyFill="1" applyBorder="1" applyAlignment="1">
      <alignment horizontal="center" vertical="center" wrapText="1"/>
    </xf>
    <xf numFmtId="0" fontId="30" fillId="12" borderId="5" xfId="0" applyFont="1" applyFill="1" applyBorder="1" applyAlignment="1">
      <alignment horizontal="center" vertical="center" wrapText="1"/>
    </xf>
    <xf numFmtId="2" fontId="30" fillId="12" borderId="5" xfId="0" applyNumberFormat="1" applyFont="1" applyFill="1" applyBorder="1" applyAlignment="1">
      <alignment horizontal="center" vertical="center" wrapText="1"/>
    </xf>
    <xf numFmtId="1" fontId="25" fillId="12" borderId="5" xfId="0" applyNumberFormat="1" applyFont="1" applyFill="1" applyBorder="1" applyAlignment="1">
      <alignment horizontal="center" vertical="center" wrapText="1"/>
    </xf>
    <xf numFmtId="165" fontId="34" fillId="12" borderId="5" xfId="0" applyNumberFormat="1" applyFont="1" applyFill="1" applyBorder="1" applyAlignment="1">
      <alignment horizontal="center" vertical="center" wrapText="1"/>
    </xf>
    <xf numFmtId="2" fontId="34" fillId="12" borderId="5" xfId="0" applyNumberFormat="1" applyFont="1" applyFill="1" applyBorder="1" applyAlignment="1">
      <alignment horizontal="center" vertical="center" wrapText="1"/>
    </xf>
    <xf numFmtId="1" fontId="34" fillId="12" borderId="5" xfId="0" applyNumberFormat="1" applyFont="1" applyFill="1" applyBorder="1" applyAlignment="1">
      <alignment horizontal="center" vertical="center" wrapText="1"/>
    </xf>
    <xf numFmtId="170" fontId="5" fillId="12" borderId="5" xfId="0" applyNumberFormat="1" applyFont="1" applyFill="1" applyBorder="1" applyAlignment="1">
      <alignment horizontal="center" vertical="center" wrapText="1"/>
    </xf>
    <xf numFmtId="166" fontId="5" fillId="12" borderId="5" xfId="0" applyNumberFormat="1" applyFont="1" applyFill="1" applyBorder="1" applyAlignment="1">
      <alignment horizontal="center" vertical="center" wrapText="1"/>
    </xf>
    <xf numFmtId="9" fontId="5" fillId="12" borderId="5" xfId="0" applyNumberFormat="1" applyFont="1" applyFill="1" applyBorder="1" applyAlignment="1">
      <alignment horizontal="center" vertical="center" wrapText="1"/>
    </xf>
    <xf numFmtId="1" fontId="2" fillId="12" borderId="5" xfId="0" applyNumberFormat="1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center" vertical="center" wrapText="1"/>
    </xf>
    <xf numFmtId="0" fontId="2" fillId="12" borderId="0" xfId="0" applyFont="1" applyFill="1" applyBorder="1" applyAlignment="1">
      <alignment horizontal="center" vertical="center" wrapText="1"/>
    </xf>
    <xf numFmtId="1" fontId="2" fillId="12" borderId="0" xfId="0" applyNumberFormat="1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2" fillId="12" borderId="5" xfId="3" applyFont="1" applyFill="1" applyBorder="1" applyAlignment="1">
      <alignment horizontal="center" vertical="center" wrapText="1"/>
    </xf>
    <xf numFmtId="4" fontId="2" fillId="12" borderId="5" xfId="3" applyNumberFormat="1" applyFont="1" applyFill="1" applyBorder="1" applyAlignment="1">
      <alignment horizontal="center" vertical="center" wrapText="1"/>
    </xf>
    <xf numFmtId="167" fontId="2" fillId="12" borderId="5" xfId="3" applyNumberFormat="1" applyFont="1" applyFill="1" applyBorder="1" applyAlignment="1">
      <alignment horizontal="center" vertical="center" wrapText="1"/>
    </xf>
    <xf numFmtId="2" fontId="2" fillId="12" borderId="5" xfId="3" applyNumberFormat="1" applyFont="1" applyFill="1" applyBorder="1" applyAlignment="1">
      <alignment horizontal="center" vertical="center" wrapText="1"/>
    </xf>
    <xf numFmtId="165" fontId="2" fillId="12" borderId="5" xfId="3" applyNumberFormat="1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4" fontId="5" fillId="0" borderId="5" xfId="3" applyNumberFormat="1" applyFont="1" applyFill="1" applyBorder="1" applyAlignment="1">
      <alignment horizontal="center" vertical="center" wrapText="1"/>
    </xf>
    <xf numFmtId="165" fontId="5" fillId="0" borderId="5" xfId="3" applyNumberFormat="1" applyFont="1" applyFill="1" applyBorder="1" applyAlignment="1">
      <alignment horizontal="center" vertical="center" wrapText="1"/>
    </xf>
    <xf numFmtId="167" fontId="5" fillId="0" borderId="5" xfId="3" applyNumberFormat="1" applyFont="1" applyFill="1" applyBorder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top" wrapText="1"/>
    </xf>
    <xf numFmtId="2" fontId="2" fillId="12" borderId="5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4" fontId="0" fillId="0" borderId="0" xfId="0" applyNumberFormat="1" applyFill="1" applyBorder="1"/>
    <xf numFmtId="2" fontId="0" fillId="0" borderId="0" xfId="0" applyNumberFormat="1" applyFill="1" applyBorder="1"/>
    <xf numFmtId="0" fontId="1" fillId="0" borderId="0" xfId="0" applyFont="1" applyFill="1" applyBorder="1"/>
    <xf numFmtId="165" fontId="0" fillId="0" borderId="0" xfId="0" applyNumberFormat="1" applyFill="1" applyBorder="1"/>
    <xf numFmtId="4" fontId="0" fillId="0" borderId="0" xfId="0" applyNumberFormat="1" applyFill="1" applyBorder="1"/>
    <xf numFmtId="2" fontId="6" fillId="0" borderId="0" xfId="3" applyNumberFormat="1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165" fontId="6" fillId="0" borderId="0" xfId="3" applyNumberFormat="1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/>
    <xf numFmtId="0" fontId="24" fillId="0" borderId="0" xfId="0" applyFont="1" applyBorder="1" applyAlignment="1">
      <alignment horizontal="center" vertical="center" wrapText="1"/>
    </xf>
    <xf numFmtId="1" fontId="2" fillId="0" borderId="0" xfId="1" applyNumberFormat="1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center" vertical="center" wrapText="1"/>
    </xf>
    <xf numFmtId="166" fontId="29" fillId="0" borderId="0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69" fontId="0" fillId="0" borderId="0" xfId="0" applyNumberFormat="1" applyFill="1" applyBorder="1"/>
    <xf numFmtId="3" fontId="2" fillId="12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1" fontId="10" fillId="0" borderId="5" xfId="3" applyNumberFormat="1" applyFont="1" applyFill="1" applyBorder="1" applyAlignment="1">
      <alignment horizontal="center" vertical="center" wrapText="1"/>
    </xf>
    <xf numFmtId="0" fontId="8" fillId="12" borderId="5" xfId="3" applyFont="1" applyFill="1" applyBorder="1" applyAlignment="1">
      <alignment horizontal="center" vertical="center" wrapText="1"/>
    </xf>
    <xf numFmtId="1" fontId="6" fillId="12" borderId="5" xfId="3" applyNumberFormat="1" applyFont="1" applyFill="1" applyBorder="1" applyAlignment="1">
      <alignment horizontal="center" vertical="center" wrapText="1"/>
    </xf>
    <xf numFmtId="2" fontId="6" fillId="12" borderId="5" xfId="3" applyNumberFormat="1" applyFont="1" applyFill="1" applyBorder="1" applyAlignment="1">
      <alignment horizontal="center" vertical="center" wrapText="1"/>
    </xf>
    <xf numFmtId="49" fontId="5" fillId="0" borderId="5" xfId="3" applyNumberFormat="1" applyFont="1" applyFill="1" applyBorder="1" applyAlignment="1">
      <alignment horizontal="center" vertical="center" wrapText="1"/>
    </xf>
    <xf numFmtId="49" fontId="2" fillId="0" borderId="5" xfId="3" applyNumberFormat="1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center" vertical="center" wrapText="1"/>
    </xf>
    <xf numFmtId="2" fontId="25" fillId="0" borderId="5" xfId="0" applyNumberFormat="1" applyFont="1" applyFill="1" applyBorder="1" applyAlignment="1">
      <alignment horizontal="center" vertical="center" wrapText="1"/>
    </xf>
    <xf numFmtId="1" fontId="25" fillId="0" borderId="5" xfId="0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1" fontId="17" fillId="0" borderId="5" xfId="0" applyNumberFormat="1" applyFont="1" applyFill="1" applyBorder="1" applyAlignment="1">
      <alignment horizontal="center" vertical="center" wrapText="1"/>
    </xf>
    <xf numFmtId="4" fontId="17" fillId="0" borderId="5" xfId="0" applyNumberFormat="1" applyFont="1" applyFill="1" applyBorder="1" applyAlignment="1">
      <alignment horizontal="center" vertical="center" wrapText="1"/>
    </xf>
    <xf numFmtId="2" fontId="17" fillId="0" borderId="5" xfId="0" applyNumberFormat="1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61" fillId="0" borderId="5" xfId="0" applyFont="1" applyFill="1" applyBorder="1" applyAlignment="1">
      <alignment horizontal="center" vertical="center" wrapText="1"/>
    </xf>
    <xf numFmtId="2" fontId="40" fillId="0" borderId="5" xfId="0" applyNumberFormat="1" applyFont="1" applyFill="1" applyBorder="1" applyAlignment="1">
      <alignment horizontal="center" vertical="center" wrapText="1"/>
    </xf>
    <xf numFmtId="166" fontId="25" fillId="0" borderId="5" xfId="0" applyNumberFormat="1" applyFont="1" applyFill="1" applyBorder="1" applyAlignment="1">
      <alignment horizontal="center" vertical="center" wrapText="1"/>
    </xf>
    <xf numFmtId="2" fontId="25" fillId="0" borderId="5" xfId="5" applyNumberFormat="1" applyFont="1" applyFill="1" applyBorder="1" applyAlignment="1">
      <alignment horizontal="center" vertical="center" wrapText="1"/>
    </xf>
    <xf numFmtId="1" fontId="31" fillId="0" borderId="5" xfId="0" applyNumberFormat="1" applyFont="1" applyFill="1" applyBorder="1" applyAlignment="1">
      <alignment horizontal="center" vertical="center" wrapText="1"/>
    </xf>
    <xf numFmtId="4" fontId="2" fillId="12" borderId="5" xfId="0" applyNumberFormat="1" applyFont="1" applyFill="1" applyBorder="1" applyAlignment="1">
      <alignment horizontal="center" vertical="center" wrapText="1"/>
    </xf>
    <xf numFmtId="0" fontId="13" fillId="12" borderId="5" xfId="0" applyFont="1" applyFill="1" applyBorder="1" applyAlignment="1">
      <alignment horizontal="center" vertical="center" wrapText="1"/>
    </xf>
    <xf numFmtId="0" fontId="25" fillId="12" borderId="5" xfId="0" applyFont="1" applyFill="1" applyBorder="1" applyAlignment="1">
      <alignment horizontal="center" vertical="center" wrapText="1"/>
    </xf>
    <xf numFmtId="4" fontId="25" fillId="12" borderId="5" xfId="0" applyNumberFormat="1" applyFont="1" applyFill="1" applyBorder="1" applyAlignment="1">
      <alignment horizontal="center" vertical="center" wrapText="1"/>
    </xf>
    <xf numFmtId="166" fontId="25" fillId="12" borderId="5" xfId="0" applyNumberFormat="1" applyFont="1" applyFill="1" applyBorder="1" applyAlignment="1">
      <alignment horizontal="center" vertical="center" wrapText="1"/>
    </xf>
    <xf numFmtId="2" fontId="25" fillId="12" borderId="5" xfId="0" applyNumberFormat="1" applyFont="1" applyFill="1" applyBorder="1" applyAlignment="1">
      <alignment horizontal="center" vertical="center" wrapText="1"/>
    </xf>
    <xf numFmtId="165" fontId="9" fillId="12" borderId="5" xfId="0" applyNumberFormat="1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1" fontId="9" fillId="12" borderId="5" xfId="0" applyNumberFormat="1" applyFont="1" applyFill="1" applyBorder="1" applyAlignment="1">
      <alignment horizontal="center" vertical="center" wrapText="1"/>
    </xf>
    <xf numFmtId="171" fontId="2" fillId="12" borderId="5" xfId="0" applyNumberFormat="1" applyFont="1" applyFill="1" applyBorder="1" applyAlignment="1">
      <alignment horizontal="center" vertical="center" wrapText="1"/>
    </xf>
    <xf numFmtId="0" fontId="28" fillId="12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2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textRotation="90" wrapText="1"/>
    </xf>
    <xf numFmtId="0" fontId="24" fillId="0" borderId="3" xfId="0" applyFont="1" applyFill="1" applyBorder="1" applyAlignment="1">
      <alignment horizontal="center" vertical="center" textRotation="90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textRotation="90" wrapText="1"/>
    </xf>
    <xf numFmtId="0" fontId="24" fillId="0" borderId="3" xfId="0" applyFont="1" applyBorder="1" applyAlignment="1">
      <alignment horizontal="center" vertical="center" textRotation="90" wrapText="1"/>
    </xf>
    <xf numFmtId="2" fontId="20" fillId="0" borderId="0" xfId="0" applyNumberFormat="1" applyFont="1" applyFill="1" applyAlignment="1">
      <alignment horizontal="left" vertical="center" wrapText="1"/>
    </xf>
    <xf numFmtId="2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32" fillId="12" borderId="5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164" fontId="32" fillId="0" borderId="5" xfId="0" applyNumberFormat="1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164" fontId="32" fillId="12" borderId="5" xfId="0" applyNumberFormat="1" applyFont="1" applyFill="1" applyBorder="1" applyAlignment="1">
      <alignment horizontal="center" vertical="center" wrapText="1"/>
    </xf>
    <xf numFmtId="0" fontId="64" fillId="0" borderId="5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66" fillId="0" borderId="5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65" fillId="0" borderId="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top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59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textRotation="90" wrapText="1"/>
    </xf>
    <xf numFmtId="0" fontId="18" fillId="0" borderId="16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textRotation="90" wrapText="1"/>
    </xf>
    <xf numFmtId="0" fontId="44" fillId="0" borderId="3" xfId="0" applyFont="1" applyBorder="1" applyAlignment="1">
      <alignment horizontal="center" vertical="center" textRotation="90" wrapText="1"/>
    </xf>
    <xf numFmtId="0" fontId="44" fillId="0" borderId="4" xfId="0" applyFont="1" applyBorder="1" applyAlignment="1">
      <alignment horizontal="center" vertical="center" textRotation="90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" fontId="50" fillId="0" borderId="12" xfId="0" applyNumberFormat="1" applyFont="1" applyBorder="1" applyAlignment="1">
      <alignment horizontal="center" vertical="center" wrapText="1"/>
    </xf>
    <xf numFmtId="1" fontId="50" fillId="0" borderId="22" xfId="0" applyNumberFormat="1" applyFont="1" applyBorder="1" applyAlignment="1">
      <alignment horizontal="center" vertical="center" wrapText="1"/>
    </xf>
    <xf numFmtId="1" fontId="50" fillId="0" borderId="13" xfId="0" applyNumberFormat="1" applyFont="1" applyBorder="1" applyAlignment="1">
      <alignment horizontal="center" vertical="center" wrapText="1"/>
    </xf>
    <xf numFmtId="1" fontId="39" fillId="0" borderId="12" xfId="0" applyNumberFormat="1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74" fillId="0" borderId="0" xfId="0" applyFont="1" applyAlignment="1">
      <alignment horizontal="left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4" fillId="0" borderId="1" xfId="0" applyFont="1" applyBorder="1" applyAlignment="1">
      <alignment horizontal="left" vertical="center" wrapText="1"/>
    </xf>
    <xf numFmtId="0" fontId="74" fillId="0" borderId="2" xfId="0" applyFont="1" applyFill="1" applyBorder="1" applyAlignment="1">
      <alignment horizontal="center" vertical="center" wrapText="1"/>
    </xf>
    <xf numFmtId="0" fontId="74" fillId="0" borderId="3" xfId="0" applyFont="1" applyFill="1" applyBorder="1" applyAlignment="1">
      <alignment horizontal="center" vertical="center" wrapText="1"/>
    </xf>
    <xf numFmtId="0" fontId="74" fillId="0" borderId="2" xfId="0" applyFont="1" applyBorder="1" applyAlignment="1">
      <alignment horizontal="center" vertical="center" textRotation="90" wrapText="1"/>
    </xf>
    <xf numFmtId="0" fontId="74" fillId="0" borderId="3" xfId="0" applyFont="1" applyBorder="1" applyAlignment="1">
      <alignment horizontal="center" vertical="center" textRotation="90" wrapText="1"/>
    </xf>
    <xf numFmtId="0" fontId="74" fillId="0" borderId="2" xfId="0" applyFont="1" applyBorder="1" applyAlignment="1">
      <alignment horizontal="center" vertical="center" wrapText="1"/>
    </xf>
    <xf numFmtId="0" fontId="74" fillId="0" borderId="3" xfId="0" applyFont="1" applyBorder="1" applyAlignment="1">
      <alignment horizontal="center" vertical="center" wrapText="1"/>
    </xf>
    <xf numFmtId="0" fontId="74" fillId="0" borderId="4" xfId="0" applyFont="1" applyBorder="1" applyAlignment="1">
      <alignment horizontal="center" vertical="center" textRotation="90" wrapText="1"/>
    </xf>
    <xf numFmtId="0" fontId="74" fillId="0" borderId="12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textRotation="90" wrapText="1"/>
    </xf>
    <xf numFmtId="49" fontId="2" fillId="0" borderId="3" xfId="0" applyNumberFormat="1" applyFont="1" applyFill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</cellXfs>
  <cellStyles count="7">
    <cellStyle name="Normal_BROWEULA 2" xfId="4"/>
    <cellStyle name="Обычный" xfId="0" builtinId="0"/>
    <cellStyle name="Обычный 2" xfId="1"/>
    <cellStyle name="Обычный 2 2" xfId="3"/>
    <cellStyle name="Обычный 3" xfId="2"/>
    <cellStyle name="Обычный_eras 50-52" xfId="5"/>
    <cellStyle name="Обычный_krebsiti uckisi-vachee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groservis%20centri%202018/Users/Eduard%20Phutkaradze/Downloads/AXALI%20MSENEBLOBA/gogebasvili.%2022%20xl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sxef-gomi%2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bulv%20%20gamwvaneba%204x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2\asp-2\&#1052;&#1086;&#1080;%20&#1076;&#1086;&#1082;&#1091;&#1084;&#1077;&#1085;&#1090;&#1099;\abuc-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7;&#1080;&#1103;%20meliqiSvili10/meliqisvili%204--3mxl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groservis%20centri%202018/Users/Eduard%20Phutkaradze/Downloads/ag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proeqti%202006-III/tamaris%20gamziri%20benze.2xl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proeqti%202007-2008/a-x-I%20%20xl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urexi-bagrati%20xl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gogebasvili.%20%2018xl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asp-2c\vahe\vahe\xims44x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alaqi\bar%20agars20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b%20e%20s%20i%20k%20i%20xl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Documents%20and%20Settings\VAHE\My%20Documents\%60x%20%20a%20%20l%20%20a501xl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agmashenebeli/d.%20armasenebeli%20mxl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tender%202007/bar%20agars2010-7-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arqivi)%20-1\batumi-2005\A%20R%20D%20%20T%20b%20G%20a%20%201033%20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gorgilazis%20%20quCis%20%20saniaRvr2012--1/gorgilaze---meliqiSvili%20201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alaqi\batumi2006\axalsofeli2%20xl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inasarizxe%20xl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9%20marti/9%20MARi%2017mxl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proeqti%202006-III/tamaris%20gamziri%20benze.5x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groservis%20centri%202018/Users/Eduard%20Phutkaradze/Downloads/AXALI%20MSENEBLOBA/m%20%20a%20b%20a%20s%20i%20z%20e%20i%201%20xl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samusao%20magida/dokumenti/porti%20-%20kabeli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%20u%20c%20e%20b%20i\&#1053;&#1086;&#1074;&#1072;&#1103;%20&#1087;&#1072;&#1087;&#1082;&#1072;\bulv%20ninos6681xl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rurua2/rurua1mxl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9%20marti/9%20MARi%2017mxl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agmashenebeli/aRmaSenebeli15-1xl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qalaqi/%60b%20a%20g%20r%20a%20t%20i%20o%20n%20i%20s2062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groservis%20centri%202018/Users/Eduard%20Phutkaradze/Downloads/K%20E%20D%20A/bulv%20%20gamwvaneba%204xl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tender%202007/bag%20t%2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saniarvre/komaxize%20%201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gogebasvili.%2022%20xl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m%20%20a%20b%20a%20s%20i%20z%20e%20i%201%20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  <sheetName val="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2"/>
      <sheetName val="x1"/>
      <sheetName val="x11"/>
      <sheetName val="ku"/>
      <sheetName val="mu (2)"/>
      <sheetName val="mu"/>
      <sheetName val="x1 (3)"/>
      <sheetName val="ku (2)"/>
      <sheetName val="x"/>
      <sheetName val="x2 (2)"/>
      <sheetName val="d1 (2)"/>
      <sheetName val="d1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0" refreshError="1"/>
      <sheetData sheetId="1" refreshError="1"/>
      <sheetData sheetId="2" refreshError="1">
        <row r="174">
          <cell r="F174">
            <v>0.57999999999999996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0"/>
      <sheetName val="gx"/>
      <sheetName val="x1"/>
      <sheetName val="x2,"/>
      <sheetName val="x3"/>
      <sheetName val="1"/>
      <sheetName val="2"/>
      <sheetName val="5"/>
      <sheetName val="qan"/>
      <sheetName val="1 (2)"/>
      <sheetName val="g"/>
      <sheetName val="ma"/>
      <sheetName val="mu1"/>
      <sheetName val="mu"/>
      <sheetName val="t"/>
      <sheetName val="ka (2)"/>
      <sheetName val="fa"/>
      <sheetName val="g0"/>
      <sheetName val="n"/>
      <sheetName val="h"/>
      <sheetName val="u"/>
      <sheetName val="d"/>
    </sheetNames>
    <sheetDataSet>
      <sheetData sheetId="0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da2"/>
      <sheetName val="K (3)"/>
      <sheetName val="1"/>
      <sheetName val="o-2-"/>
      <sheetName val="2-1-"/>
      <sheetName val="o-3"/>
      <sheetName val="3-1"/>
      <sheetName val="3-2"/>
      <sheetName val="3-3"/>
      <sheetName val="o-4"/>
      <sheetName val="4-1"/>
      <sheetName val="4-2"/>
      <sheetName val="5"/>
      <sheetName val="6"/>
      <sheetName val="7"/>
      <sheetName val="8"/>
      <sheetName val="-9-"/>
      <sheetName val="10"/>
      <sheetName val="11"/>
      <sheetName val="12"/>
      <sheetName val="13"/>
      <sheetName val="14"/>
      <sheetName val="15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8">
          <cell r="F18">
            <v>9.9670000000000005</v>
          </cell>
        </row>
        <row r="28">
          <cell r="F28">
            <v>34.24</v>
          </cell>
        </row>
      </sheetData>
      <sheetData sheetId="14">
        <row r="19">
          <cell r="F19">
            <v>3.2000000000000001E-2</v>
          </cell>
        </row>
        <row r="30">
          <cell r="F30">
            <v>15</v>
          </cell>
        </row>
        <row r="37">
          <cell r="F37">
            <v>50</v>
          </cell>
        </row>
        <row r="44">
          <cell r="F44">
            <v>6</v>
          </cell>
        </row>
        <row r="51">
          <cell r="F51">
            <v>19</v>
          </cell>
        </row>
        <row r="56">
          <cell r="F56">
            <v>126</v>
          </cell>
        </row>
        <row r="61">
          <cell r="F61">
            <v>23</v>
          </cell>
        </row>
      </sheetData>
      <sheetData sheetId="15">
        <row r="13">
          <cell r="F13">
            <v>0.63</v>
          </cell>
        </row>
        <row r="15">
          <cell r="F15">
            <v>0.313</v>
          </cell>
        </row>
        <row r="23">
          <cell r="F23">
            <v>0.313</v>
          </cell>
        </row>
        <row r="32">
          <cell r="F32">
            <v>0.16</v>
          </cell>
        </row>
        <row r="35">
          <cell r="F35">
            <v>0.313</v>
          </cell>
        </row>
        <row r="48">
          <cell r="F48">
            <v>0.02</v>
          </cell>
        </row>
        <row r="55">
          <cell r="F55">
            <v>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"/>
      <sheetName val="s"/>
      <sheetName val="ganm"/>
      <sheetName val="gx"/>
      <sheetName val="g"/>
      <sheetName val="s.d"/>
      <sheetName val="sar"/>
      <sheetName val="k"/>
      <sheetName val="1"/>
      <sheetName val="su1"/>
      <sheetName val="x1"/>
      <sheetName val="x2"/>
      <sheetName val="x3"/>
      <sheetName val="x4"/>
      <sheetName val="x5"/>
      <sheetName val="mas"/>
      <sheetName val="p2"/>
      <sheetName val="p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 refreshError="1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x2"/>
      <sheetName val="1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sarc) (2)"/>
      <sheetName val="k"/>
      <sheetName val="gx"/>
      <sheetName val="x1"/>
      <sheetName val="s.d"/>
      <sheetName val="g"/>
      <sheetName val="u"/>
      <sheetName val="u (3)"/>
      <sheetName val="u (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k"/>
      <sheetName val="x"/>
      <sheetName val="ma"/>
      <sheetName val="2"/>
      <sheetName val="su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x (2)"/>
      <sheetName val="s"/>
      <sheetName val="sarc) (2)"/>
      <sheetName val="gx"/>
      <sheetName val="k"/>
      <sheetName val="x"/>
      <sheetName val="g"/>
      <sheetName val="s.d"/>
      <sheetName val="u"/>
      <sheetName val="u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"/>
      <sheetName val="p1"/>
      <sheetName val="sat"/>
      <sheetName val="sar"/>
      <sheetName val="gx"/>
      <sheetName val="kr"/>
      <sheetName val="xar #1"/>
      <sheetName val="xar #1 (2)"/>
      <sheetName val="xar #1 (3)"/>
      <sheetName val="or gan"/>
      <sheetName val="teq. da"/>
      <sheetName val="sapr dav"/>
      <sheetName val="moc uwy (3)"/>
      <sheetName val="mu"/>
      <sheetName val="ga"/>
      <sheetName val="mm"/>
      <sheetName val="tc"/>
      <sheetName val="mas"/>
      <sheetName val="kal"/>
      <sheetName val="md"/>
      <sheetName val="moc uwy"/>
      <sheetName val="ku"/>
      <sheetName val="moc uwy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5)"/>
      <sheetName val="2 "/>
      <sheetName val="ang)"/>
      <sheetName val="s"/>
      <sheetName val="gx"/>
      <sheetName val="sarc)"/>
      <sheetName val="k"/>
      <sheetName val="x1"/>
      <sheetName val="x2,"/>
      <sheetName val="x3"/>
      <sheetName val="x4"/>
      <sheetName val="x7"/>
      <sheetName val="x6"/>
      <sheetName val="g"/>
      <sheetName val="1"/>
      <sheetName val="g0"/>
      <sheetName val="3"/>
      <sheetName val="mu"/>
      <sheetName val="ma"/>
      <sheetName val="t"/>
      <sheetName val="mu1"/>
      <sheetName val="kg"/>
      <sheetName val="fa"/>
      <sheetName val="d (2)"/>
      <sheetName val="g (2)"/>
      <sheetName val="h"/>
      <sheetName val="f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k"/>
      <sheetName val="x"/>
      <sheetName val="2"/>
      <sheetName val="u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t"/>
      <sheetName val="gx"/>
      <sheetName val="k"/>
      <sheetName val="gan"/>
      <sheetName val="sar"/>
      <sheetName val="gaang"/>
      <sheetName val="p1"/>
      <sheetName val="p2"/>
      <sheetName val="x#1"/>
      <sheetName val="x#2"/>
      <sheetName val="x#3"/>
      <sheetName val="x#4"/>
      <sheetName val="x#5"/>
      <sheetName val="x#6"/>
      <sheetName val="x#7"/>
      <sheetName val="x#8"/>
      <sheetName val="x#9"/>
      <sheetName val="x#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(4)"/>
      <sheetName val="sar"/>
      <sheetName val="1 (3)"/>
      <sheetName val="1 (2)"/>
      <sheetName val="1"/>
      <sheetName val="x1"/>
      <sheetName val="s"/>
      <sheetName val="gx"/>
      <sheetName val="k"/>
      <sheetName val="def"/>
      <sheetName val="m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x"/>
      <sheetName val="sarc)"/>
      <sheetName val="s"/>
      <sheetName val="1"/>
      <sheetName val="k"/>
      <sheetName val="x2"/>
      <sheetName val="g"/>
      <sheetName val="go"/>
      <sheetName val="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x"/>
      <sheetName val="sarc) (2)"/>
      <sheetName val="u"/>
      <sheetName val="s"/>
      <sheetName val="k"/>
      <sheetName val="x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(2)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  <sheetName val="n"/>
      <sheetName val="g0 (2)"/>
      <sheetName val="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x"/>
      <sheetName val="s"/>
      <sheetName val="k"/>
      <sheetName val="1"/>
      <sheetName val="11"/>
      <sheetName val="x1"/>
      <sheetName val="x 2)"/>
      <sheetName val="x 3"/>
      <sheetName val="x 4"/>
      <sheetName val="x 5 "/>
      <sheetName val="x 6"/>
      <sheetName val="ganm"/>
      <sheetName val="g"/>
      <sheetName val="s.d"/>
      <sheetName val="sar"/>
      <sheetName val="3"/>
      <sheetName val="m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/>
      <sheetData sheetId="1">
        <row r="14">
          <cell r="F14">
            <v>0.37</v>
          </cell>
        </row>
        <row r="56">
          <cell r="F56">
            <v>0.25</v>
          </cell>
        </row>
      </sheetData>
      <sheetData sheetId="2"/>
      <sheetData sheetId="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x"/>
      <sheetName val="sar"/>
      <sheetName val="ganm"/>
      <sheetName val="p2"/>
      <sheetName val="p1"/>
      <sheetName val="g"/>
      <sheetName val="k "/>
      <sheetName val="x1"/>
      <sheetName val="x2"/>
      <sheetName val="x 3"/>
      <sheetName val="4"/>
      <sheetName val="gx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"/>
      <sheetName val="1"/>
      <sheetName val="g"/>
      <sheetName val="h (2)"/>
      <sheetName val="x4"/>
      <sheetName val="k"/>
      <sheetName val="x1"/>
      <sheetName val="5"/>
      <sheetName val="x5)"/>
      <sheetName val="2"/>
      <sheetName val="ni"/>
      <sheetName val="x2,"/>
      <sheetName val="x3"/>
      <sheetName val="ku"/>
      <sheetName val="d"/>
      <sheetName val="gx"/>
      <sheetName val="sarc)"/>
      <sheetName val="s"/>
      <sheetName val="x7"/>
      <sheetName val="x6"/>
      <sheetName val="3"/>
      <sheetName val="ms"/>
      <sheetName val="h"/>
      <sheetName val="g0"/>
      <sheetName val="mu1"/>
      <sheetName val="ma"/>
      <sheetName val="t"/>
      <sheetName val="kg"/>
      <sheetName val="fa"/>
      <sheetName val="u (3)"/>
      <sheetName val="u (2)"/>
      <sheetName val="u"/>
      <sheetName val="n"/>
      <sheetName val="x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0 (2)"/>
      <sheetName val="sar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1">
          <cell r="F61">
            <v>8.6999999999999994E-2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1"/>
      <sheetName val="ang1 (2)"/>
      <sheetName val="x 6"/>
      <sheetName val="h"/>
      <sheetName val="2"/>
      <sheetName val="x2,"/>
      <sheetName val="x 5 "/>
      <sheetName val="x1"/>
      <sheetName val="1"/>
      <sheetName val="d"/>
      <sheetName val="s"/>
      <sheetName val="k"/>
      <sheetName val="x3"/>
      <sheetName val="x4"/>
      <sheetName val="3"/>
      <sheetName val="g"/>
      <sheetName val="11) (2)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1ten"/>
      <sheetName val="u1 (2)"/>
      <sheetName val="s (3)"/>
      <sheetName val="x1 (2)"/>
      <sheetName val="s (2)"/>
      <sheetName val="s"/>
      <sheetName val="sa"/>
      <sheetName val="k"/>
      <sheetName val="x1"/>
      <sheetName val="x2,3"/>
      <sheetName val="x4"/>
      <sheetName val="x5"/>
      <sheetName val="x6"/>
      <sheetName val="x7"/>
      <sheetName val="x8"/>
      <sheetName val="s.d"/>
      <sheetName val="g p"/>
      <sheetName val="f"/>
      <sheetName val=" a "/>
      <sheetName val="1"/>
      <sheetName val="2"/>
      <sheetName val="3"/>
      <sheetName val="4"/>
      <sheetName val="5"/>
      <sheetName val="6"/>
      <sheetName val="7,8"/>
      <sheetName val="u1"/>
      <sheetName val="u2"/>
      <sheetName val="u3"/>
      <sheetName val="u4"/>
      <sheetName val="su 1"/>
      <sheetName val="su2"/>
      <sheetName val="su3"/>
      <sheetName val="g p (2)"/>
      <sheetName val="A"/>
      <sheetName val="mm"/>
      <sheetName val="ma"/>
      <sheetName val="t"/>
      <sheetName val="ka (2)"/>
      <sheetName val="d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0" refreshError="1"/>
      <sheetData sheetId="1" refreshError="1"/>
      <sheetData sheetId="2" refreshError="1">
        <row r="174">
          <cell r="F174">
            <v>0.57999999999999996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(5)"/>
      <sheetName val="s"/>
      <sheetName val="k"/>
      <sheetName val="x1"/>
      <sheetName val="x2"/>
      <sheetName val="X3"/>
      <sheetName val="x4"/>
      <sheetName val="x5"/>
      <sheetName val="x6"/>
      <sheetName val="x7"/>
      <sheetName val="g p"/>
      <sheetName val="1 (2)"/>
      <sheetName val="1"/>
      <sheetName val="2"/>
      <sheetName val="gx"/>
      <sheetName val="msu"/>
      <sheetName val="sarc)"/>
      <sheetName val="a (2)"/>
      <sheetName val="a (3)"/>
      <sheetName val="a (4)"/>
      <sheetName val="d"/>
      <sheetName val="ang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(3)"/>
      <sheetName val="2 (2)"/>
      <sheetName val="2"/>
      <sheetName val="x1"/>
      <sheetName val="ang"/>
      <sheetName val="h"/>
      <sheetName val="s"/>
      <sheetName val="k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  <sheetName val="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k"/>
      <sheetName val="x1"/>
      <sheetName val="n (2)"/>
      <sheetName val="d"/>
      <sheetName val="pu"/>
      <sheetName val="ku"/>
      <sheetName val="x3"/>
      <sheetName val="x2"/>
      <sheetName val="nim"/>
      <sheetName val="gx"/>
      <sheetName val="g"/>
    </sheetNames>
    <sheetDataSet>
      <sheetData sheetId="0"/>
      <sheetData sheetId="1"/>
      <sheetData sheetId="2">
        <row r="11">
          <cell r="F11">
            <v>0.05</v>
          </cell>
        </row>
        <row r="15">
          <cell r="F15">
            <v>0.05</v>
          </cell>
        </row>
        <row r="19">
          <cell r="F19">
            <v>0.11</v>
          </cell>
        </row>
        <row r="27">
          <cell r="F27">
            <v>0.15</v>
          </cell>
        </row>
        <row r="35">
          <cell r="F35">
            <v>0.15</v>
          </cell>
        </row>
        <row r="39">
          <cell r="F39">
            <v>7.0000000000000007E-2</v>
          </cell>
        </row>
      </sheetData>
      <sheetData sheetId="3"/>
      <sheetData sheetId="4"/>
      <sheetData sheetId="5"/>
      <sheetData sheetId="6"/>
      <sheetData sheetId="7"/>
      <sheetData sheetId="8">
        <row r="11">
          <cell r="F11">
            <v>0</v>
          </cell>
        </row>
        <row r="19">
          <cell r="F19">
            <v>0</v>
          </cell>
        </row>
        <row r="28">
          <cell r="F28">
            <v>0</v>
          </cell>
        </row>
        <row r="37">
          <cell r="F37">
            <v>0.02</v>
          </cell>
        </row>
      </sheetData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topLeftCell="A49" workbookViewId="0">
      <selection activeCell="B56" sqref="B56:H58"/>
    </sheetView>
  </sheetViews>
  <sheetFormatPr defaultRowHeight="13.5" x14ac:dyDescent="0.2"/>
  <cols>
    <col min="1" max="1" width="5.28515625" style="214" customWidth="1"/>
    <col min="2" max="2" width="7.42578125" style="214" customWidth="1"/>
    <col min="3" max="3" width="35" style="214" customWidth="1"/>
    <col min="4" max="4" width="7.85546875" style="214" customWidth="1"/>
    <col min="5" max="5" width="8.5703125" style="214" customWidth="1"/>
    <col min="6" max="6" width="7.28515625" style="214" customWidth="1"/>
    <col min="7" max="7" width="6.5703125" style="214" customWidth="1"/>
    <col min="8" max="8" width="10.85546875" style="214" customWidth="1"/>
    <col min="9" max="9" width="9.28515625" style="214" bestFit="1" customWidth="1"/>
    <col min="10" max="10" width="12.140625" style="214" bestFit="1" customWidth="1"/>
    <col min="11" max="11" width="9.140625" style="214"/>
    <col min="12" max="12" width="10.28515625" style="214" bestFit="1" customWidth="1"/>
    <col min="13" max="256" width="9.140625" style="214"/>
    <col min="257" max="257" width="5.28515625" style="214" customWidth="1"/>
    <col min="258" max="258" width="8.85546875" style="214" customWidth="1"/>
    <col min="259" max="259" width="42.140625" style="214" customWidth="1"/>
    <col min="260" max="260" width="8.140625" style="214" customWidth="1"/>
    <col min="261" max="261" width="8.5703125" style="214" customWidth="1"/>
    <col min="262" max="262" width="8.140625" style="214" customWidth="1"/>
    <col min="263" max="263" width="7.140625" style="214" customWidth="1"/>
    <col min="264" max="264" width="8.28515625" style="214" customWidth="1"/>
    <col min="265" max="265" width="9.140625" style="214"/>
    <col min="266" max="266" width="12" style="214" bestFit="1" customWidth="1"/>
    <col min="267" max="512" width="9.140625" style="214"/>
    <col min="513" max="513" width="5.28515625" style="214" customWidth="1"/>
    <col min="514" max="514" width="8.85546875" style="214" customWidth="1"/>
    <col min="515" max="515" width="42.140625" style="214" customWidth="1"/>
    <col min="516" max="516" width="8.140625" style="214" customWidth="1"/>
    <col min="517" max="517" width="8.5703125" style="214" customWidth="1"/>
    <col min="518" max="518" width="8.140625" style="214" customWidth="1"/>
    <col min="519" max="519" width="7.140625" style="214" customWidth="1"/>
    <col min="520" max="520" width="8.28515625" style="214" customWidth="1"/>
    <col min="521" max="521" width="9.140625" style="214"/>
    <col min="522" max="522" width="12" style="214" bestFit="1" customWidth="1"/>
    <col min="523" max="768" width="9.140625" style="214"/>
    <col min="769" max="769" width="5.28515625" style="214" customWidth="1"/>
    <col min="770" max="770" width="8.85546875" style="214" customWidth="1"/>
    <col min="771" max="771" width="42.140625" style="214" customWidth="1"/>
    <col min="772" max="772" width="8.140625" style="214" customWidth="1"/>
    <col min="773" max="773" width="8.5703125" style="214" customWidth="1"/>
    <col min="774" max="774" width="8.140625" style="214" customWidth="1"/>
    <col min="775" max="775" width="7.140625" style="214" customWidth="1"/>
    <col min="776" max="776" width="8.28515625" style="214" customWidth="1"/>
    <col min="777" max="777" width="9.140625" style="214"/>
    <col min="778" max="778" width="12" style="214" bestFit="1" customWidth="1"/>
    <col min="779" max="1024" width="9.140625" style="214"/>
    <col min="1025" max="1025" width="5.28515625" style="214" customWidth="1"/>
    <col min="1026" max="1026" width="8.85546875" style="214" customWidth="1"/>
    <col min="1027" max="1027" width="42.140625" style="214" customWidth="1"/>
    <col min="1028" max="1028" width="8.140625" style="214" customWidth="1"/>
    <col min="1029" max="1029" width="8.5703125" style="214" customWidth="1"/>
    <col min="1030" max="1030" width="8.140625" style="214" customWidth="1"/>
    <col min="1031" max="1031" width="7.140625" style="214" customWidth="1"/>
    <col min="1032" max="1032" width="8.28515625" style="214" customWidth="1"/>
    <col min="1033" max="1033" width="9.140625" style="214"/>
    <col min="1034" max="1034" width="12" style="214" bestFit="1" customWidth="1"/>
    <col min="1035" max="1280" width="9.140625" style="214"/>
    <col min="1281" max="1281" width="5.28515625" style="214" customWidth="1"/>
    <col min="1282" max="1282" width="8.85546875" style="214" customWidth="1"/>
    <col min="1283" max="1283" width="42.140625" style="214" customWidth="1"/>
    <col min="1284" max="1284" width="8.140625" style="214" customWidth="1"/>
    <col min="1285" max="1285" width="8.5703125" style="214" customWidth="1"/>
    <col min="1286" max="1286" width="8.140625" style="214" customWidth="1"/>
    <col min="1287" max="1287" width="7.140625" style="214" customWidth="1"/>
    <col min="1288" max="1288" width="8.28515625" style="214" customWidth="1"/>
    <col min="1289" max="1289" width="9.140625" style="214"/>
    <col min="1290" max="1290" width="12" style="214" bestFit="1" customWidth="1"/>
    <col min="1291" max="1536" width="9.140625" style="214"/>
    <col min="1537" max="1537" width="5.28515625" style="214" customWidth="1"/>
    <col min="1538" max="1538" width="8.85546875" style="214" customWidth="1"/>
    <col min="1539" max="1539" width="42.140625" style="214" customWidth="1"/>
    <col min="1540" max="1540" width="8.140625" style="214" customWidth="1"/>
    <col min="1541" max="1541" width="8.5703125" style="214" customWidth="1"/>
    <col min="1542" max="1542" width="8.140625" style="214" customWidth="1"/>
    <col min="1543" max="1543" width="7.140625" style="214" customWidth="1"/>
    <col min="1544" max="1544" width="8.28515625" style="214" customWidth="1"/>
    <col min="1545" max="1545" width="9.140625" style="214"/>
    <col min="1546" max="1546" width="12" style="214" bestFit="1" customWidth="1"/>
    <col min="1547" max="1792" width="9.140625" style="214"/>
    <col min="1793" max="1793" width="5.28515625" style="214" customWidth="1"/>
    <col min="1794" max="1794" width="8.85546875" style="214" customWidth="1"/>
    <col min="1795" max="1795" width="42.140625" style="214" customWidth="1"/>
    <col min="1796" max="1796" width="8.140625" style="214" customWidth="1"/>
    <col min="1797" max="1797" width="8.5703125" style="214" customWidth="1"/>
    <col min="1798" max="1798" width="8.140625" style="214" customWidth="1"/>
    <col min="1799" max="1799" width="7.140625" style="214" customWidth="1"/>
    <col min="1800" max="1800" width="8.28515625" style="214" customWidth="1"/>
    <col min="1801" max="1801" width="9.140625" style="214"/>
    <col min="1802" max="1802" width="12" style="214" bestFit="1" customWidth="1"/>
    <col min="1803" max="2048" width="9.140625" style="214"/>
    <col min="2049" max="2049" width="5.28515625" style="214" customWidth="1"/>
    <col min="2050" max="2050" width="8.85546875" style="214" customWidth="1"/>
    <col min="2051" max="2051" width="42.140625" style="214" customWidth="1"/>
    <col min="2052" max="2052" width="8.140625" style="214" customWidth="1"/>
    <col min="2053" max="2053" width="8.5703125" style="214" customWidth="1"/>
    <col min="2054" max="2054" width="8.140625" style="214" customWidth="1"/>
    <col min="2055" max="2055" width="7.140625" style="214" customWidth="1"/>
    <col min="2056" max="2056" width="8.28515625" style="214" customWidth="1"/>
    <col min="2057" max="2057" width="9.140625" style="214"/>
    <col min="2058" max="2058" width="12" style="214" bestFit="1" customWidth="1"/>
    <col min="2059" max="2304" width="9.140625" style="214"/>
    <col min="2305" max="2305" width="5.28515625" style="214" customWidth="1"/>
    <col min="2306" max="2306" width="8.85546875" style="214" customWidth="1"/>
    <col min="2307" max="2307" width="42.140625" style="214" customWidth="1"/>
    <col min="2308" max="2308" width="8.140625" style="214" customWidth="1"/>
    <col min="2309" max="2309" width="8.5703125" style="214" customWidth="1"/>
    <col min="2310" max="2310" width="8.140625" style="214" customWidth="1"/>
    <col min="2311" max="2311" width="7.140625" style="214" customWidth="1"/>
    <col min="2312" max="2312" width="8.28515625" style="214" customWidth="1"/>
    <col min="2313" max="2313" width="9.140625" style="214"/>
    <col min="2314" max="2314" width="12" style="214" bestFit="1" customWidth="1"/>
    <col min="2315" max="2560" width="9.140625" style="214"/>
    <col min="2561" max="2561" width="5.28515625" style="214" customWidth="1"/>
    <col min="2562" max="2562" width="8.85546875" style="214" customWidth="1"/>
    <col min="2563" max="2563" width="42.140625" style="214" customWidth="1"/>
    <col min="2564" max="2564" width="8.140625" style="214" customWidth="1"/>
    <col min="2565" max="2565" width="8.5703125" style="214" customWidth="1"/>
    <col min="2566" max="2566" width="8.140625" style="214" customWidth="1"/>
    <col min="2567" max="2567" width="7.140625" style="214" customWidth="1"/>
    <col min="2568" max="2568" width="8.28515625" style="214" customWidth="1"/>
    <col min="2569" max="2569" width="9.140625" style="214"/>
    <col min="2570" max="2570" width="12" style="214" bestFit="1" customWidth="1"/>
    <col min="2571" max="2816" width="9.140625" style="214"/>
    <col min="2817" max="2817" width="5.28515625" style="214" customWidth="1"/>
    <col min="2818" max="2818" width="8.85546875" style="214" customWidth="1"/>
    <col min="2819" max="2819" width="42.140625" style="214" customWidth="1"/>
    <col min="2820" max="2820" width="8.140625" style="214" customWidth="1"/>
    <col min="2821" max="2821" width="8.5703125" style="214" customWidth="1"/>
    <col min="2822" max="2822" width="8.140625" style="214" customWidth="1"/>
    <col min="2823" max="2823" width="7.140625" style="214" customWidth="1"/>
    <col min="2824" max="2824" width="8.28515625" style="214" customWidth="1"/>
    <col min="2825" max="2825" width="9.140625" style="214"/>
    <col min="2826" max="2826" width="12" style="214" bestFit="1" customWidth="1"/>
    <col min="2827" max="3072" width="9.140625" style="214"/>
    <col min="3073" max="3073" width="5.28515625" style="214" customWidth="1"/>
    <col min="3074" max="3074" width="8.85546875" style="214" customWidth="1"/>
    <col min="3075" max="3075" width="42.140625" style="214" customWidth="1"/>
    <col min="3076" max="3076" width="8.140625" style="214" customWidth="1"/>
    <col min="3077" max="3077" width="8.5703125" style="214" customWidth="1"/>
    <col min="3078" max="3078" width="8.140625" style="214" customWidth="1"/>
    <col min="3079" max="3079" width="7.140625" style="214" customWidth="1"/>
    <col min="3080" max="3080" width="8.28515625" style="214" customWidth="1"/>
    <col min="3081" max="3081" width="9.140625" style="214"/>
    <col min="3082" max="3082" width="12" style="214" bestFit="1" customWidth="1"/>
    <col min="3083" max="3328" width="9.140625" style="214"/>
    <col min="3329" max="3329" width="5.28515625" style="214" customWidth="1"/>
    <col min="3330" max="3330" width="8.85546875" style="214" customWidth="1"/>
    <col min="3331" max="3331" width="42.140625" style="214" customWidth="1"/>
    <col min="3332" max="3332" width="8.140625" style="214" customWidth="1"/>
    <col min="3333" max="3333" width="8.5703125" style="214" customWidth="1"/>
    <col min="3334" max="3334" width="8.140625" style="214" customWidth="1"/>
    <col min="3335" max="3335" width="7.140625" style="214" customWidth="1"/>
    <col min="3336" max="3336" width="8.28515625" style="214" customWidth="1"/>
    <col min="3337" max="3337" width="9.140625" style="214"/>
    <col min="3338" max="3338" width="12" style="214" bestFit="1" customWidth="1"/>
    <col min="3339" max="3584" width="9.140625" style="214"/>
    <col min="3585" max="3585" width="5.28515625" style="214" customWidth="1"/>
    <col min="3586" max="3586" width="8.85546875" style="214" customWidth="1"/>
    <col min="3587" max="3587" width="42.140625" style="214" customWidth="1"/>
    <col min="3588" max="3588" width="8.140625" style="214" customWidth="1"/>
    <col min="3589" max="3589" width="8.5703125" style="214" customWidth="1"/>
    <col min="3590" max="3590" width="8.140625" style="214" customWidth="1"/>
    <col min="3591" max="3591" width="7.140625" style="214" customWidth="1"/>
    <col min="3592" max="3592" width="8.28515625" style="214" customWidth="1"/>
    <col min="3593" max="3593" width="9.140625" style="214"/>
    <col min="3594" max="3594" width="12" style="214" bestFit="1" customWidth="1"/>
    <col min="3595" max="3840" width="9.140625" style="214"/>
    <col min="3841" max="3841" width="5.28515625" style="214" customWidth="1"/>
    <col min="3842" max="3842" width="8.85546875" style="214" customWidth="1"/>
    <col min="3843" max="3843" width="42.140625" style="214" customWidth="1"/>
    <col min="3844" max="3844" width="8.140625" style="214" customWidth="1"/>
    <col min="3845" max="3845" width="8.5703125" style="214" customWidth="1"/>
    <col min="3846" max="3846" width="8.140625" style="214" customWidth="1"/>
    <col min="3847" max="3847" width="7.140625" style="214" customWidth="1"/>
    <col min="3848" max="3848" width="8.28515625" style="214" customWidth="1"/>
    <col min="3849" max="3849" width="9.140625" style="214"/>
    <col min="3850" max="3850" width="12" style="214" bestFit="1" customWidth="1"/>
    <col min="3851" max="4096" width="9.140625" style="214"/>
    <col min="4097" max="4097" width="5.28515625" style="214" customWidth="1"/>
    <col min="4098" max="4098" width="8.85546875" style="214" customWidth="1"/>
    <col min="4099" max="4099" width="42.140625" style="214" customWidth="1"/>
    <col min="4100" max="4100" width="8.140625" style="214" customWidth="1"/>
    <col min="4101" max="4101" width="8.5703125" style="214" customWidth="1"/>
    <col min="4102" max="4102" width="8.140625" style="214" customWidth="1"/>
    <col min="4103" max="4103" width="7.140625" style="214" customWidth="1"/>
    <col min="4104" max="4104" width="8.28515625" style="214" customWidth="1"/>
    <col min="4105" max="4105" width="9.140625" style="214"/>
    <col min="4106" max="4106" width="12" style="214" bestFit="1" customWidth="1"/>
    <col min="4107" max="4352" width="9.140625" style="214"/>
    <col min="4353" max="4353" width="5.28515625" style="214" customWidth="1"/>
    <col min="4354" max="4354" width="8.85546875" style="214" customWidth="1"/>
    <col min="4355" max="4355" width="42.140625" style="214" customWidth="1"/>
    <col min="4356" max="4356" width="8.140625" style="214" customWidth="1"/>
    <col min="4357" max="4357" width="8.5703125" style="214" customWidth="1"/>
    <col min="4358" max="4358" width="8.140625" style="214" customWidth="1"/>
    <col min="4359" max="4359" width="7.140625" style="214" customWidth="1"/>
    <col min="4360" max="4360" width="8.28515625" style="214" customWidth="1"/>
    <col min="4361" max="4361" width="9.140625" style="214"/>
    <col min="4362" max="4362" width="12" style="214" bestFit="1" customWidth="1"/>
    <col min="4363" max="4608" width="9.140625" style="214"/>
    <col min="4609" max="4609" width="5.28515625" style="214" customWidth="1"/>
    <col min="4610" max="4610" width="8.85546875" style="214" customWidth="1"/>
    <col min="4611" max="4611" width="42.140625" style="214" customWidth="1"/>
    <col min="4612" max="4612" width="8.140625" style="214" customWidth="1"/>
    <col min="4613" max="4613" width="8.5703125" style="214" customWidth="1"/>
    <col min="4614" max="4614" width="8.140625" style="214" customWidth="1"/>
    <col min="4615" max="4615" width="7.140625" style="214" customWidth="1"/>
    <col min="4616" max="4616" width="8.28515625" style="214" customWidth="1"/>
    <col min="4617" max="4617" width="9.140625" style="214"/>
    <col min="4618" max="4618" width="12" style="214" bestFit="1" customWidth="1"/>
    <col min="4619" max="4864" width="9.140625" style="214"/>
    <col min="4865" max="4865" width="5.28515625" style="214" customWidth="1"/>
    <col min="4866" max="4866" width="8.85546875" style="214" customWidth="1"/>
    <col min="4867" max="4867" width="42.140625" style="214" customWidth="1"/>
    <col min="4868" max="4868" width="8.140625" style="214" customWidth="1"/>
    <col min="4869" max="4869" width="8.5703125" style="214" customWidth="1"/>
    <col min="4870" max="4870" width="8.140625" style="214" customWidth="1"/>
    <col min="4871" max="4871" width="7.140625" style="214" customWidth="1"/>
    <col min="4872" max="4872" width="8.28515625" style="214" customWidth="1"/>
    <col min="4873" max="4873" width="9.140625" style="214"/>
    <col min="4874" max="4874" width="12" style="214" bestFit="1" customWidth="1"/>
    <col min="4875" max="5120" width="9.140625" style="214"/>
    <col min="5121" max="5121" width="5.28515625" style="214" customWidth="1"/>
    <col min="5122" max="5122" width="8.85546875" style="214" customWidth="1"/>
    <col min="5123" max="5123" width="42.140625" style="214" customWidth="1"/>
    <col min="5124" max="5124" width="8.140625" style="214" customWidth="1"/>
    <col min="5125" max="5125" width="8.5703125" style="214" customWidth="1"/>
    <col min="5126" max="5126" width="8.140625" style="214" customWidth="1"/>
    <col min="5127" max="5127" width="7.140625" style="214" customWidth="1"/>
    <col min="5128" max="5128" width="8.28515625" style="214" customWidth="1"/>
    <col min="5129" max="5129" width="9.140625" style="214"/>
    <col min="5130" max="5130" width="12" style="214" bestFit="1" customWidth="1"/>
    <col min="5131" max="5376" width="9.140625" style="214"/>
    <col min="5377" max="5377" width="5.28515625" style="214" customWidth="1"/>
    <col min="5378" max="5378" width="8.85546875" style="214" customWidth="1"/>
    <col min="5379" max="5379" width="42.140625" style="214" customWidth="1"/>
    <col min="5380" max="5380" width="8.140625" style="214" customWidth="1"/>
    <col min="5381" max="5381" width="8.5703125" style="214" customWidth="1"/>
    <col min="5382" max="5382" width="8.140625" style="214" customWidth="1"/>
    <col min="5383" max="5383" width="7.140625" style="214" customWidth="1"/>
    <col min="5384" max="5384" width="8.28515625" style="214" customWidth="1"/>
    <col min="5385" max="5385" width="9.140625" style="214"/>
    <col min="5386" max="5386" width="12" style="214" bestFit="1" customWidth="1"/>
    <col min="5387" max="5632" width="9.140625" style="214"/>
    <col min="5633" max="5633" width="5.28515625" style="214" customWidth="1"/>
    <col min="5634" max="5634" width="8.85546875" style="214" customWidth="1"/>
    <col min="5635" max="5635" width="42.140625" style="214" customWidth="1"/>
    <col min="5636" max="5636" width="8.140625" style="214" customWidth="1"/>
    <col min="5637" max="5637" width="8.5703125" style="214" customWidth="1"/>
    <col min="5638" max="5638" width="8.140625" style="214" customWidth="1"/>
    <col min="5639" max="5639" width="7.140625" style="214" customWidth="1"/>
    <col min="5640" max="5640" width="8.28515625" style="214" customWidth="1"/>
    <col min="5641" max="5641" width="9.140625" style="214"/>
    <col min="5642" max="5642" width="12" style="214" bestFit="1" customWidth="1"/>
    <col min="5643" max="5888" width="9.140625" style="214"/>
    <col min="5889" max="5889" width="5.28515625" style="214" customWidth="1"/>
    <col min="5890" max="5890" width="8.85546875" style="214" customWidth="1"/>
    <col min="5891" max="5891" width="42.140625" style="214" customWidth="1"/>
    <col min="5892" max="5892" width="8.140625" style="214" customWidth="1"/>
    <col min="5893" max="5893" width="8.5703125" style="214" customWidth="1"/>
    <col min="5894" max="5894" width="8.140625" style="214" customWidth="1"/>
    <col min="5895" max="5895" width="7.140625" style="214" customWidth="1"/>
    <col min="5896" max="5896" width="8.28515625" style="214" customWidth="1"/>
    <col min="5897" max="5897" width="9.140625" style="214"/>
    <col min="5898" max="5898" width="12" style="214" bestFit="1" customWidth="1"/>
    <col min="5899" max="6144" width="9.140625" style="214"/>
    <col min="6145" max="6145" width="5.28515625" style="214" customWidth="1"/>
    <col min="6146" max="6146" width="8.85546875" style="214" customWidth="1"/>
    <col min="6147" max="6147" width="42.140625" style="214" customWidth="1"/>
    <col min="6148" max="6148" width="8.140625" style="214" customWidth="1"/>
    <col min="6149" max="6149" width="8.5703125" style="214" customWidth="1"/>
    <col min="6150" max="6150" width="8.140625" style="214" customWidth="1"/>
    <col min="6151" max="6151" width="7.140625" style="214" customWidth="1"/>
    <col min="6152" max="6152" width="8.28515625" style="214" customWidth="1"/>
    <col min="6153" max="6153" width="9.140625" style="214"/>
    <col min="6154" max="6154" width="12" style="214" bestFit="1" customWidth="1"/>
    <col min="6155" max="6400" width="9.140625" style="214"/>
    <col min="6401" max="6401" width="5.28515625" style="214" customWidth="1"/>
    <col min="6402" max="6402" width="8.85546875" style="214" customWidth="1"/>
    <col min="6403" max="6403" width="42.140625" style="214" customWidth="1"/>
    <col min="6404" max="6404" width="8.140625" style="214" customWidth="1"/>
    <col min="6405" max="6405" width="8.5703125" style="214" customWidth="1"/>
    <col min="6406" max="6406" width="8.140625" style="214" customWidth="1"/>
    <col min="6407" max="6407" width="7.140625" style="214" customWidth="1"/>
    <col min="6408" max="6408" width="8.28515625" style="214" customWidth="1"/>
    <col min="6409" max="6409" width="9.140625" style="214"/>
    <col min="6410" max="6410" width="12" style="214" bestFit="1" customWidth="1"/>
    <col min="6411" max="6656" width="9.140625" style="214"/>
    <col min="6657" max="6657" width="5.28515625" style="214" customWidth="1"/>
    <col min="6658" max="6658" width="8.85546875" style="214" customWidth="1"/>
    <col min="6659" max="6659" width="42.140625" style="214" customWidth="1"/>
    <col min="6660" max="6660" width="8.140625" style="214" customWidth="1"/>
    <col min="6661" max="6661" width="8.5703125" style="214" customWidth="1"/>
    <col min="6662" max="6662" width="8.140625" style="214" customWidth="1"/>
    <col min="6663" max="6663" width="7.140625" style="214" customWidth="1"/>
    <col min="6664" max="6664" width="8.28515625" style="214" customWidth="1"/>
    <col min="6665" max="6665" width="9.140625" style="214"/>
    <col min="6666" max="6666" width="12" style="214" bestFit="1" customWidth="1"/>
    <col min="6667" max="6912" width="9.140625" style="214"/>
    <col min="6913" max="6913" width="5.28515625" style="214" customWidth="1"/>
    <col min="6914" max="6914" width="8.85546875" style="214" customWidth="1"/>
    <col min="6915" max="6915" width="42.140625" style="214" customWidth="1"/>
    <col min="6916" max="6916" width="8.140625" style="214" customWidth="1"/>
    <col min="6917" max="6917" width="8.5703125" style="214" customWidth="1"/>
    <col min="6918" max="6918" width="8.140625" style="214" customWidth="1"/>
    <col min="6919" max="6919" width="7.140625" style="214" customWidth="1"/>
    <col min="6920" max="6920" width="8.28515625" style="214" customWidth="1"/>
    <col min="6921" max="6921" width="9.140625" style="214"/>
    <col min="6922" max="6922" width="12" style="214" bestFit="1" customWidth="1"/>
    <col min="6923" max="7168" width="9.140625" style="214"/>
    <col min="7169" max="7169" width="5.28515625" style="214" customWidth="1"/>
    <col min="7170" max="7170" width="8.85546875" style="214" customWidth="1"/>
    <col min="7171" max="7171" width="42.140625" style="214" customWidth="1"/>
    <col min="7172" max="7172" width="8.140625" style="214" customWidth="1"/>
    <col min="7173" max="7173" width="8.5703125" style="214" customWidth="1"/>
    <col min="7174" max="7174" width="8.140625" style="214" customWidth="1"/>
    <col min="7175" max="7175" width="7.140625" style="214" customWidth="1"/>
    <col min="7176" max="7176" width="8.28515625" style="214" customWidth="1"/>
    <col min="7177" max="7177" width="9.140625" style="214"/>
    <col min="7178" max="7178" width="12" style="214" bestFit="1" customWidth="1"/>
    <col min="7179" max="7424" width="9.140625" style="214"/>
    <col min="7425" max="7425" width="5.28515625" style="214" customWidth="1"/>
    <col min="7426" max="7426" width="8.85546875" style="214" customWidth="1"/>
    <col min="7427" max="7427" width="42.140625" style="214" customWidth="1"/>
    <col min="7428" max="7428" width="8.140625" style="214" customWidth="1"/>
    <col min="7429" max="7429" width="8.5703125" style="214" customWidth="1"/>
    <col min="7430" max="7430" width="8.140625" style="214" customWidth="1"/>
    <col min="7431" max="7431" width="7.140625" style="214" customWidth="1"/>
    <col min="7432" max="7432" width="8.28515625" style="214" customWidth="1"/>
    <col min="7433" max="7433" width="9.140625" style="214"/>
    <col min="7434" max="7434" width="12" style="214" bestFit="1" customWidth="1"/>
    <col min="7435" max="7680" width="9.140625" style="214"/>
    <col min="7681" max="7681" width="5.28515625" style="214" customWidth="1"/>
    <col min="7682" max="7682" width="8.85546875" style="214" customWidth="1"/>
    <col min="7683" max="7683" width="42.140625" style="214" customWidth="1"/>
    <col min="7684" max="7684" width="8.140625" style="214" customWidth="1"/>
    <col min="7685" max="7685" width="8.5703125" style="214" customWidth="1"/>
    <col min="7686" max="7686" width="8.140625" style="214" customWidth="1"/>
    <col min="7687" max="7687" width="7.140625" style="214" customWidth="1"/>
    <col min="7688" max="7688" width="8.28515625" style="214" customWidth="1"/>
    <col min="7689" max="7689" width="9.140625" style="214"/>
    <col min="7690" max="7690" width="12" style="214" bestFit="1" customWidth="1"/>
    <col min="7691" max="7936" width="9.140625" style="214"/>
    <col min="7937" max="7937" width="5.28515625" style="214" customWidth="1"/>
    <col min="7938" max="7938" width="8.85546875" style="214" customWidth="1"/>
    <col min="7939" max="7939" width="42.140625" style="214" customWidth="1"/>
    <col min="7940" max="7940" width="8.140625" style="214" customWidth="1"/>
    <col min="7941" max="7941" width="8.5703125" style="214" customWidth="1"/>
    <col min="7942" max="7942" width="8.140625" style="214" customWidth="1"/>
    <col min="7943" max="7943" width="7.140625" style="214" customWidth="1"/>
    <col min="7944" max="7944" width="8.28515625" style="214" customWidth="1"/>
    <col min="7945" max="7945" width="9.140625" style="214"/>
    <col min="7946" max="7946" width="12" style="214" bestFit="1" customWidth="1"/>
    <col min="7947" max="8192" width="9.140625" style="214"/>
    <col min="8193" max="8193" width="5.28515625" style="214" customWidth="1"/>
    <col min="8194" max="8194" width="8.85546875" style="214" customWidth="1"/>
    <col min="8195" max="8195" width="42.140625" style="214" customWidth="1"/>
    <col min="8196" max="8196" width="8.140625" style="214" customWidth="1"/>
    <col min="8197" max="8197" width="8.5703125" style="214" customWidth="1"/>
    <col min="8198" max="8198" width="8.140625" style="214" customWidth="1"/>
    <col min="8199" max="8199" width="7.140625" style="214" customWidth="1"/>
    <col min="8200" max="8200" width="8.28515625" style="214" customWidth="1"/>
    <col min="8201" max="8201" width="9.140625" style="214"/>
    <col min="8202" max="8202" width="12" style="214" bestFit="1" customWidth="1"/>
    <col min="8203" max="8448" width="9.140625" style="214"/>
    <col min="8449" max="8449" width="5.28515625" style="214" customWidth="1"/>
    <col min="8450" max="8450" width="8.85546875" style="214" customWidth="1"/>
    <col min="8451" max="8451" width="42.140625" style="214" customWidth="1"/>
    <col min="8452" max="8452" width="8.140625" style="214" customWidth="1"/>
    <col min="8453" max="8453" width="8.5703125" style="214" customWidth="1"/>
    <col min="8454" max="8454" width="8.140625" style="214" customWidth="1"/>
    <col min="8455" max="8455" width="7.140625" style="214" customWidth="1"/>
    <col min="8456" max="8456" width="8.28515625" style="214" customWidth="1"/>
    <col min="8457" max="8457" width="9.140625" style="214"/>
    <col min="8458" max="8458" width="12" style="214" bestFit="1" customWidth="1"/>
    <col min="8459" max="8704" width="9.140625" style="214"/>
    <col min="8705" max="8705" width="5.28515625" style="214" customWidth="1"/>
    <col min="8706" max="8706" width="8.85546875" style="214" customWidth="1"/>
    <col min="8707" max="8707" width="42.140625" style="214" customWidth="1"/>
    <col min="8708" max="8708" width="8.140625" style="214" customWidth="1"/>
    <col min="8709" max="8709" width="8.5703125" style="214" customWidth="1"/>
    <col min="8710" max="8710" width="8.140625" style="214" customWidth="1"/>
    <col min="8711" max="8711" width="7.140625" style="214" customWidth="1"/>
    <col min="8712" max="8712" width="8.28515625" style="214" customWidth="1"/>
    <col min="8713" max="8713" width="9.140625" style="214"/>
    <col min="8714" max="8714" width="12" style="214" bestFit="1" customWidth="1"/>
    <col min="8715" max="8960" width="9.140625" style="214"/>
    <col min="8961" max="8961" width="5.28515625" style="214" customWidth="1"/>
    <col min="8962" max="8962" width="8.85546875" style="214" customWidth="1"/>
    <col min="8963" max="8963" width="42.140625" style="214" customWidth="1"/>
    <col min="8964" max="8964" width="8.140625" style="214" customWidth="1"/>
    <col min="8965" max="8965" width="8.5703125" style="214" customWidth="1"/>
    <col min="8966" max="8966" width="8.140625" style="214" customWidth="1"/>
    <col min="8967" max="8967" width="7.140625" style="214" customWidth="1"/>
    <col min="8968" max="8968" width="8.28515625" style="214" customWidth="1"/>
    <col min="8969" max="8969" width="9.140625" style="214"/>
    <col min="8970" max="8970" width="12" style="214" bestFit="1" customWidth="1"/>
    <col min="8971" max="9216" width="9.140625" style="214"/>
    <col min="9217" max="9217" width="5.28515625" style="214" customWidth="1"/>
    <col min="9218" max="9218" width="8.85546875" style="214" customWidth="1"/>
    <col min="9219" max="9219" width="42.140625" style="214" customWidth="1"/>
    <col min="9220" max="9220" width="8.140625" style="214" customWidth="1"/>
    <col min="9221" max="9221" width="8.5703125" style="214" customWidth="1"/>
    <col min="9222" max="9222" width="8.140625" style="214" customWidth="1"/>
    <col min="9223" max="9223" width="7.140625" style="214" customWidth="1"/>
    <col min="9224" max="9224" width="8.28515625" style="214" customWidth="1"/>
    <col min="9225" max="9225" width="9.140625" style="214"/>
    <col min="9226" max="9226" width="12" style="214" bestFit="1" customWidth="1"/>
    <col min="9227" max="9472" width="9.140625" style="214"/>
    <col min="9473" max="9473" width="5.28515625" style="214" customWidth="1"/>
    <col min="9474" max="9474" width="8.85546875" style="214" customWidth="1"/>
    <col min="9475" max="9475" width="42.140625" style="214" customWidth="1"/>
    <col min="9476" max="9476" width="8.140625" style="214" customWidth="1"/>
    <col min="9477" max="9477" width="8.5703125" style="214" customWidth="1"/>
    <col min="9478" max="9478" width="8.140625" style="214" customWidth="1"/>
    <col min="9479" max="9479" width="7.140625" style="214" customWidth="1"/>
    <col min="9480" max="9480" width="8.28515625" style="214" customWidth="1"/>
    <col min="9481" max="9481" width="9.140625" style="214"/>
    <col min="9482" max="9482" width="12" style="214" bestFit="1" customWidth="1"/>
    <col min="9483" max="9728" width="9.140625" style="214"/>
    <col min="9729" max="9729" width="5.28515625" style="214" customWidth="1"/>
    <col min="9730" max="9730" width="8.85546875" style="214" customWidth="1"/>
    <col min="9731" max="9731" width="42.140625" style="214" customWidth="1"/>
    <col min="9732" max="9732" width="8.140625" style="214" customWidth="1"/>
    <col min="9733" max="9733" width="8.5703125" style="214" customWidth="1"/>
    <col min="9734" max="9734" width="8.140625" style="214" customWidth="1"/>
    <col min="9735" max="9735" width="7.140625" style="214" customWidth="1"/>
    <col min="9736" max="9736" width="8.28515625" style="214" customWidth="1"/>
    <col min="9737" max="9737" width="9.140625" style="214"/>
    <col min="9738" max="9738" width="12" style="214" bestFit="1" customWidth="1"/>
    <col min="9739" max="9984" width="9.140625" style="214"/>
    <col min="9985" max="9985" width="5.28515625" style="214" customWidth="1"/>
    <col min="9986" max="9986" width="8.85546875" style="214" customWidth="1"/>
    <col min="9987" max="9987" width="42.140625" style="214" customWidth="1"/>
    <col min="9988" max="9988" width="8.140625" style="214" customWidth="1"/>
    <col min="9989" max="9989" width="8.5703125" style="214" customWidth="1"/>
    <col min="9990" max="9990" width="8.140625" style="214" customWidth="1"/>
    <col min="9991" max="9991" width="7.140625" style="214" customWidth="1"/>
    <col min="9992" max="9992" width="8.28515625" style="214" customWidth="1"/>
    <col min="9993" max="9993" width="9.140625" style="214"/>
    <col min="9994" max="9994" width="12" style="214" bestFit="1" customWidth="1"/>
    <col min="9995" max="10240" width="9.140625" style="214"/>
    <col min="10241" max="10241" width="5.28515625" style="214" customWidth="1"/>
    <col min="10242" max="10242" width="8.85546875" style="214" customWidth="1"/>
    <col min="10243" max="10243" width="42.140625" style="214" customWidth="1"/>
    <col min="10244" max="10244" width="8.140625" style="214" customWidth="1"/>
    <col min="10245" max="10245" width="8.5703125" style="214" customWidth="1"/>
    <col min="10246" max="10246" width="8.140625" style="214" customWidth="1"/>
    <col min="10247" max="10247" width="7.140625" style="214" customWidth="1"/>
    <col min="10248" max="10248" width="8.28515625" style="214" customWidth="1"/>
    <col min="10249" max="10249" width="9.140625" style="214"/>
    <col min="10250" max="10250" width="12" style="214" bestFit="1" customWidth="1"/>
    <col min="10251" max="10496" width="9.140625" style="214"/>
    <col min="10497" max="10497" width="5.28515625" style="214" customWidth="1"/>
    <col min="10498" max="10498" width="8.85546875" style="214" customWidth="1"/>
    <col min="10499" max="10499" width="42.140625" style="214" customWidth="1"/>
    <col min="10500" max="10500" width="8.140625" style="214" customWidth="1"/>
    <col min="10501" max="10501" width="8.5703125" style="214" customWidth="1"/>
    <col min="10502" max="10502" width="8.140625" style="214" customWidth="1"/>
    <col min="10503" max="10503" width="7.140625" style="214" customWidth="1"/>
    <col min="10504" max="10504" width="8.28515625" style="214" customWidth="1"/>
    <col min="10505" max="10505" width="9.140625" style="214"/>
    <col min="10506" max="10506" width="12" style="214" bestFit="1" customWidth="1"/>
    <col min="10507" max="10752" width="9.140625" style="214"/>
    <col min="10753" max="10753" width="5.28515625" style="214" customWidth="1"/>
    <col min="10754" max="10754" width="8.85546875" style="214" customWidth="1"/>
    <col min="10755" max="10755" width="42.140625" style="214" customWidth="1"/>
    <col min="10756" max="10756" width="8.140625" style="214" customWidth="1"/>
    <col min="10757" max="10757" width="8.5703125" style="214" customWidth="1"/>
    <col min="10758" max="10758" width="8.140625" style="214" customWidth="1"/>
    <col min="10759" max="10759" width="7.140625" style="214" customWidth="1"/>
    <col min="10760" max="10760" width="8.28515625" style="214" customWidth="1"/>
    <col min="10761" max="10761" width="9.140625" style="214"/>
    <col min="10762" max="10762" width="12" style="214" bestFit="1" customWidth="1"/>
    <col min="10763" max="11008" width="9.140625" style="214"/>
    <col min="11009" max="11009" width="5.28515625" style="214" customWidth="1"/>
    <col min="11010" max="11010" width="8.85546875" style="214" customWidth="1"/>
    <col min="11011" max="11011" width="42.140625" style="214" customWidth="1"/>
    <col min="11012" max="11012" width="8.140625" style="214" customWidth="1"/>
    <col min="11013" max="11013" width="8.5703125" style="214" customWidth="1"/>
    <col min="11014" max="11014" width="8.140625" style="214" customWidth="1"/>
    <col min="11015" max="11015" width="7.140625" style="214" customWidth="1"/>
    <col min="11016" max="11016" width="8.28515625" style="214" customWidth="1"/>
    <col min="11017" max="11017" width="9.140625" style="214"/>
    <col min="11018" max="11018" width="12" style="214" bestFit="1" customWidth="1"/>
    <col min="11019" max="11264" width="9.140625" style="214"/>
    <col min="11265" max="11265" width="5.28515625" style="214" customWidth="1"/>
    <col min="11266" max="11266" width="8.85546875" style="214" customWidth="1"/>
    <col min="11267" max="11267" width="42.140625" style="214" customWidth="1"/>
    <col min="11268" max="11268" width="8.140625" style="214" customWidth="1"/>
    <col min="11269" max="11269" width="8.5703125" style="214" customWidth="1"/>
    <col min="11270" max="11270" width="8.140625" style="214" customWidth="1"/>
    <col min="11271" max="11271" width="7.140625" style="214" customWidth="1"/>
    <col min="11272" max="11272" width="8.28515625" style="214" customWidth="1"/>
    <col min="11273" max="11273" width="9.140625" style="214"/>
    <col min="11274" max="11274" width="12" style="214" bestFit="1" customWidth="1"/>
    <col min="11275" max="11520" width="9.140625" style="214"/>
    <col min="11521" max="11521" width="5.28515625" style="214" customWidth="1"/>
    <col min="11522" max="11522" width="8.85546875" style="214" customWidth="1"/>
    <col min="11523" max="11523" width="42.140625" style="214" customWidth="1"/>
    <col min="11524" max="11524" width="8.140625" style="214" customWidth="1"/>
    <col min="11525" max="11525" width="8.5703125" style="214" customWidth="1"/>
    <col min="11526" max="11526" width="8.140625" style="214" customWidth="1"/>
    <col min="11527" max="11527" width="7.140625" style="214" customWidth="1"/>
    <col min="11528" max="11528" width="8.28515625" style="214" customWidth="1"/>
    <col min="11529" max="11529" width="9.140625" style="214"/>
    <col min="11530" max="11530" width="12" style="214" bestFit="1" customWidth="1"/>
    <col min="11531" max="11776" width="9.140625" style="214"/>
    <col min="11777" max="11777" width="5.28515625" style="214" customWidth="1"/>
    <col min="11778" max="11778" width="8.85546875" style="214" customWidth="1"/>
    <col min="11779" max="11779" width="42.140625" style="214" customWidth="1"/>
    <col min="11780" max="11780" width="8.140625" style="214" customWidth="1"/>
    <col min="11781" max="11781" width="8.5703125" style="214" customWidth="1"/>
    <col min="11782" max="11782" width="8.140625" style="214" customWidth="1"/>
    <col min="11783" max="11783" width="7.140625" style="214" customWidth="1"/>
    <col min="11784" max="11784" width="8.28515625" style="214" customWidth="1"/>
    <col min="11785" max="11785" width="9.140625" style="214"/>
    <col min="11786" max="11786" width="12" style="214" bestFit="1" customWidth="1"/>
    <col min="11787" max="12032" width="9.140625" style="214"/>
    <col min="12033" max="12033" width="5.28515625" style="214" customWidth="1"/>
    <col min="12034" max="12034" width="8.85546875" style="214" customWidth="1"/>
    <col min="12035" max="12035" width="42.140625" style="214" customWidth="1"/>
    <col min="12036" max="12036" width="8.140625" style="214" customWidth="1"/>
    <col min="12037" max="12037" width="8.5703125" style="214" customWidth="1"/>
    <col min="12038" max="12038" width="8.140625" style="214" customWidth="1"/>
    <col min="12039" max="12039" width="7.140625" style="214" customWidth="1"/>
    <col min="12040" max="12040" width="8.28515625" style="214" customWidth="1"/>
    <col min="12041" max="12041" width="9.140625" style="214"/>
    <col min="12042" max="12042" width="12" style="214" bestFit="1" customWidth="1"/>
    <col min="12043" max="12288" width="9.140625" style="214"/>
    <col min="12289" max="12289" width="5.28515625" style="214" customWidth="1"/>
    <col min="12290" max="12290" width="8.85546875" style="214" customWidth="1"/>
    <col min="12291" max="12291" width="42.140625" style="214" customWidth="1"/>
    <col min="12292" max="12292" width="8.140625" style="214" customWidth="1"/>
    <col min="12293" max="12293" width="8.5703125" style="214" customWidth="1"/>
    <col min="12294" max="12294" width="8.140625" style="214" customWidth="1"/>
    <col min="12295" max="12295" width="7.140625" style="214" customWidth="1"/>
    <col min="12296" max="12296" width="8.28515625" style="214" customWidth="1"/>
    <col min="12297" max="12297" width="9.140625" style="214"/>
    <col min="12298" max="12298" width="12" style="214" bestFit="1" customWidth="1"/>
    <col min="12299" max="12544" width="9.140625" style="214"/>
    <col min="12545" max="12545" width="5.28515625" style="214" customWidth="1"/>
    <col min="12546" max="12546" width="8.85546875" style="214" customWidth="1"/>
    <col min="12547" max="12547" width="42.140625" style="214" customWidth="1"/>
    <col min="12548" max="12548" width="8.140625" style="214" customWidth="1"/>
    <col min="12549" max="12549" width="8.5703125" style="214" customWidth="1"/>
    <col min="12550" max="12550" width="8.140625" style="214" customWidth="1"/>
    <col min="12551" max="12551" width="7.140625" style="214" customWidth="1"/>
    <col min="12552" max="12552" width="8.28515625" style="214" customWidth="1"/>
    <col min="12553" max="12553" width="9.140625" style="214"/>
    <col min="12554" max="12554" width="12" style="214" bestFit="1" customWidth="1"/>
    <col min="12555" max="12800" width="9.140625" style="214"/>
    <col min="12801" max="12801" width="5.28515625" style="214" customWidth="1"/>
    <col min="12802" max="12802" width="8.85546875" style="214" customWidth="1"/>
    <col min="12803" max="12803" width="42.140625" style="214" customWidth="1"/>
    <col min="12804" max="12804" width="8.140625" style="214" customWidth="1"/>
    <col min="12805" max="12805" width="8.5703125" style="214" customWidth="1"/>
    <col min="12806" max="12806" width="8.140625" style="214" customWidth="1"/>
    <col min="12807" max="12807" width="7.140625" style="214" customWidth="1"/>
    <col min="12808" max="12808" width="8.28515625" style="214" customWidth="1"/>
    <col min="12809" max="12809" width="9.140625" style="214"/>
    <col min="12810" max="12810" width="12" style="214" bestFit="1" customWidth="1"/>
    <col min="12811" max="13056" width="9.140625" style="214"/>
    <col min="13057" max="13057" width="5.28515625" style="214" customWidth="1"/>
    <col min="13058" max="13058" width="8.85546875" style="214" customWidth="1"/>
    <col min="13059" max="13059" width="42.140625" style="214" customWidth="1"/>
    <col min="13060" max="13060" width="8.140625" style="214" customWidth="1"/>
    <col min="13061" max="13061" width="8.5703125" style="214" customWidth="1"/>
    <col min="13062" max="13062" width="8.140625" style="214" customWidth="1"/>
    <col min="13063" max="13063" width="7.140625" style="214" customWidth="1"/>
    <col min="13064" max="13064" width="8.28515625" style="214" customWidth="1"/>
    <col min="13065" max="13065" width="9.140625" style="214"/>
    <col min="13066" max="13066" width="12" style="214" bestFit="1" customWidth="1"/>
    <col min="13067" max="13312" width="9.140625" style="214"/>
    <col min="13313" max="13313" width="5.28515625" style="214" customWidth="1"/>
    <col min="13314" max="13314" width="8.85546875" style="214" customWidth="1"/>
    <col min="13315" max="13315" width="42.140625" style="214" customWidth="1"/>
    <col min="13316" max="13316" width="8.140625" style="214" customWidth="1"/>
    <col min="13317" max="13317" width="8.5703125" style="214" customWidth="1"/>
    <col min="13318" max="13318" width="8.140625" style="214" customWidth="1"/>
    <col min="13319" max="13319" width="7.140625" style="214" customWidth="1"/>
    <col min="13320" max="13320" width="8.28515625" style="214" customWidth="1"/>
    <col min="13321" max="13321" width="9.140625" style="214"/>
    <col min="13322" max="13322" width="12" style="214" bestFit="1" customWidth="1"/>
    <col min="13323" max="13568" width="9.140625" style="214"/>
    <col min="13569" max="13569" width="5.28515625" style="214" customWidth="1"/>
    <col min="13570" max="13570" width="8.85546875" style="214" customWidth="1"/>
    <col min="13571" max="13571" width="42.140625" style="214" customWidth="1"/>
    <col min="13572" max="13572" width="8.140625" style="214" customWidth="1"/>
    <col min="13573" max="13573" width="8.5703125" style="214" customWidth="1"/>
    <col min="13574" max="13574" width="8.140625" style="214" customWidth="1"/>
    <col min="13575" max="13575" width="7.140625" style="214" customWidth="1"/>
    <col min="13576" max="13576" width="8.28515625" style="214" customWidth="1"/>
    <col min="13577" max="13577" width="9.140625" style="214"/>
    <col min="13578" max="13578" width="12" style="214" bestFit="1" customWidth="1"/>
    <col min="13579" max="13824" width="9.140625" style="214"/>
    <col min="13825" max="13825" width="5.28515625" style="214" customWidth="1"/>
    <col min="13826" max="13826" width="8.85546875" style="214" customWidth="1"/>
    <col min="13827" max="13827" width="42.140625" style="214" customWidth="1"/>
    <col min="13828" max="13828" width="8.140625" style="214" customWidth="1"/>
    <col min="13829" max="13829" width="8.5703125" style="214" customWidth="1"/>
    <col min="13830" max="13830" width="8.140625" style="214" customWidth="1"/>
    <col min="13831" max="13831" width="7.140625" style="214" customWidth="1"/>
    <col min="13832" max="13832" width="8.28515625" style="214" customWidth="1"/>
    <col min="13833" max="13833" width="9.140625" style="214"/>
    <col min="13834" max="13834" width="12" style="214" bestFit="1" customWidth="1"/>
    <col min="13835" max="14080" width="9.140625" style="214"/>
    <col min="14081" max="14081" width="5.28515625" style="214" customWidth="1"/>
    <col min="14082" max="14082" width="8.85546875" style="214" customWidth="1"/>
    <col min="14083" max="14083" width="42.140625" style="214" customWidth="1"/>
    <col min="14084" max="14084" width="8.140625" style="214" customWidth="1"/>
    <col min="14085" max="14085" width="8.5703125" style="214" customWidth="1"/>
    <col min="14086" max="14086" width="8.140625" style="214" customWidth="1"/>
    <col min="14087" max="14087" width="7.140625" style="214" customWidth="1"/>
    <col min="14088" max="14088" width="8.28515625" style="214" customWidth="1"/>
    <col min="14089" max="14089" width="9.140625" style="214"/>
    <col min="14090" max="14090" width="12" style="214" bestFit="1" customWidth="1"/>
    <col min="14091" max="14336" width="9.140625" style="214"/>
    <col min="14337" max="14337" width="5.28515625" style="214" customWidth="1"/>
    <col min="14338" max="14338" width="8.85546875" style="214" customWidth="1"/>
    <col min="14339" max="14339" width="42.140625" style="214" customWidth="1"/>
    <col min="14340" max="14340" width="8.140625" style="214" customWidth="1"/>
    <col min="14341" max="14341" width="8.5703125" style="214" customWidth="1"/>
    <col min="14342" max="14342" width="8.140625" style="214" customWidth="1"/>
    <col min="14343" max="14343" width="7.140625" style="214" customWidth="1"/>
    <col min="14344" max="14344" width="8.28515625" style="214" customWidth="1"/>
    <col min="14345" max="14345" width="9.140625" style="214"/>
    <col min="14346" max="14346" width="12" style="214" bestFit="1" customWidth="1"/>
    <col min="14347" max="14592" width="9.140625" style="214"/>
    <col min="14593" max="14593" width="5.28515625" style="214" customWidth="1"/>
    <col min="14594" max="14594" width="8.85546875" style="214" customWidth="1"/>
    <col min="14595" max="14595" width="42.140625" style="214" customWidth="1"/>
    <col min="14596" max="14596" width="8.140625" style="214" customWidth="1"/>
    <col min="14597" max="14597" width="8.5703125" style="214" customWidth="1"/>
    <col min="14598" max="14598" width="8.140625" style="214" customWidth="1"/>
    <col min="14599" max="14599" width="7.140625" style="214" customWidth="1"/>
    <col min="14600" max="14600" width="8.28515625" style="214" customWidth="1"/>
    <col min="14601" max="14601" width="9.140625" style="214"/>
    <col min="14602" max="14602" width="12" style="214" bestFit="1" customWidth="1"/>
    <col min="14603" max="14848" width="9.140625" style="214"/>
    <col min="14849" max="14849" width="5.28515625" style="214" customWidth="1"/>
    <col min="14850" max="14850" width="8.85546875" style="214" customWidth="1"/>
    <col min="14851" max="14851" width="42.140625" style="214" customWidth="1"/>
    <col min="14852" max="14852" width="8.140625" style="214" customWidth="1"/>
    <col min="14853" max="14853" width="8.5703125" style="214" customWidth="1"/>
    <col min="14854" max="14854" width="8.140625" style="214" customWidth="1"/>
    <col min="14855" max="14855" width="7.140625" style="214" customWidth="1"/>
    <col min="14856" max="14856" width="8.28515625" style="214" customWidth="1"/>
    <col min="14857" max="14857" width="9.140625" style="214"/>
    <col min="14858" max="14858" width="12" style="214" bestFit="1" customWidth="1"/>
    <col min="14859" max="15104" width="9.140625" style="214"/>
    <col min="15105" max="15105" width="5.28515625" style="214" customWidth="1"/>
    <col min="15106" max="15106" width="8.85546875" style="214" customWidth="1"/>
    <col min="15107" max="15107" width="42.140625" style="214" customWidth="1"/>
    <col min="15108" max="15108" width="8.140625" style="214" customWidth="1"/>
    <col min="15109" max="15109" width="8.5703125" style="214" customWidth="1"/>
    <col min="15110" max="15110" width="8.140625" style="214" customWidth="1"/>
    <col min="15111" max="15111" width="7.140625" style="214" customWidth="1"/>
    <col min="15112" max="15112" width="8.28515625" style="214" customWidth="1"/>
    <col min="15113" max="15113" width="9.140625" style="214"/>
    <col min="15114" max="15114" width="12" style="214" bestFit="1" customWidth="1"/>
    <col min="15115" max="15360" width="9.140625" style="214"/>
    <col min="15361" max="15361" width="5.28515625" style="214" customWidth="1"/>
    <col min="15362" max="15362" width="8.85546875" style="214" customWidth="1"/>
    <col min="15363" max="15363" width="42.140625" style="214" customWidth="1"/>
    <col min="15364" max="15364" width="8.140625" style="214" customWidth="1"/>
    <col min="15365" max="15365" width="8.5703125" style="214" customWidth="1"/>
    <col min="15366" max="15366" width="8.140625" style="214" customWidth="1"/>
    <col min="15367" max="15367" width="7.140625" style="214" customWidth="1"/>
    <col min="15368" max="15368" width="8.28515625" style="214" customWidth="1"/>
    <col min="15369" max="15369" width="9.140625" style="214"/>
    <col min="15370" max="15370" width="12" style="214" bestFit="1" customWidth="1"/>
    <col min="15371" max="15616" width="9.140625" style="214"/>
    <col min="15617" max="15617" width="5.28515625" style="214" customWidth="1"/>
    <col min="15618" max="15618" width="8.85546875" style="214" customWidth="1"/>
    <col min="15619" max="15619" width="42.140625" style="214" customWidth="1"/>
    <col min="15620" max="15620" width="8.140625" style="214" customWidth="1"/>
    <col min="15621" max="15621" width="8.5703125" style="214" customWidth="1"/>
    <col min="15622" max="15622" width="8.140625" style="214" customWidth="1"/>
    <col min="15623" max="15623" width="7.140625" style="214" customWidth="1"/>
    <col min="15624" max="15624" width="8.28515625" style="214" customWidth="1"/>
    <col min="15625" max="15625" width="9.140625" style="214"/>
    <col min="15626" max="15626" width="12" style="214" bestFit="1" customWidth="1"/>
    <col min="15627" max="15872" width="9.140625" style="214"/>
    <col min="15873" max="15873" width="5.28515625" style="214" customWidth="1"/>
    <col min="15874" max="15874" width="8.85546875" style="214" customWidth="1"/>
    <col min="15875" max="15875" width="42.140625" style="214" customWidth="1"/>
    <col min="15876" max="15876" width="8.140625" style="214" customWidth="1"/>
    <col min="15877" max="15877" width="8.5703125" style="214" customWidth="1"/>
    <col min="15878" max="15878" width="8.140625" style="214" customWidth="1"/>
    <col min="15879" max="15879" width="7.140625" style="214" customWidth="1"/>
    <col min="15880" max="15880" width="8.28515625" style="214" customWidth="1"/>
    <col min="15881" max="15881" width="9.140625" style="214"/>
    <col min="15882" max="15882" width="12" style="214" bestFit="1" customWidth="1"/>
    <col min="15883" max="16128" width="9.140625" style="214"/>
    <col min="16129" max="16129" width="5.28515625" style="214" customWidth="1"/>
    <col min="16130" max="16130" width="8.85546875" style="214" customWidth="1"/>
    <col min="16131" max="16131" width="42.140625" style="214" customWidth="1"/>
    <col min="16132" max="16132" width="8.140625" style="214" customWidth="1"/>
    <col min="16133" max="16133" width="8.5703125" style="214" customWidth="1"/>
    <col min="16134" max="16134" width="8.140625" style="214" customWidth="1"/>
    <col min="16135" max="16135" width="7.140625" style="214" customWidth="1"/>
    <col min="16136" max="16136" width="8.28515625" style="214" customWidth="1"/>
    <col min="16137" max="16137" width="9.140625" style="214"/>
    <col min="16138" max="16138" width="12" style="214" bestFit="1" customWidth="1"/>
    <col min="16139" max="16384" width="9.140625" style="214"/>
  </cols>
  <sheetData>
    <row r="1" spans="1:8" x14ac:dyDescent="0.2">
      <c r="A1" s="628" t="s">
        <v>237</v>
      </c>
      <c r="B1" s="628"/>
      <c r="C1" s="628"/>
      <c r="D1" s="628"/>
      <c r="E1" s="628"/>
      <c r="F1" s="628"/>
      <c r="G1" s="628"/>
      <c r="H1" s="628"/>
    </row>
    <row r="2" spans="1:8" ht="23.25" customHeight="1" x14ac:dyDescent="0.2">
      <c r="A2" s="628" t="s">
        <v>235</v>
      </c>
      <c r="B2" s="628"/>
      <c r="C2" s="628"/>
      <c r="D2" s="628"/>
      <c r="E2" s="628"/>
      <c r="F2" s="628"/>
      <c r="G2" s="628"/>
      <c r="H2" s="628"/>
    </row>
    <row r="3" spans="1:8" ht="31.5" customHeight="1" x14ac:dyDescent="0.2">
      <c r="A3" s="629" t="s">
        <v>41</v>
      </c>
      <c r="B3" s="629"/>
      <c r="C3" s="629"/>
      <c r="D3" s="629"/>
      <c r="E3" s="629"/>
      <c r="F3" s="219">
        <f>H54</f>
        <v>0</v>
      </c>
      <c r="G3" s="215" t="s">
        <v>42</v>
      </c>
      <c r="H3" s="215" t="s">
        <v>6</v>
      </c>
    </row>
    <row r="4" spans="1:8" ht="31.5" customHeight="1" x14ac:dyDescent="0.2">
      <c r="A4" s="629" t="s">
        <v>139</v>
      </c>
      <c r="B4" s="629"/>
      <c r="C4" s="629"/>
      <c r="D4" s="629"/>
      <c r="E4" s="629"/>
      <c r="F4" s="219" t="s">
        <v>98</v>
      </c>
      <c r="G4" s="215" t="s">
        <v>42</v>
      </c>
      <c r="H4" s="215" t="s">
        <v>6</v>
      </c>
    </row>
    <row r="5" spans="1:8" ht="22.5" customHeight="1" x14ac:dyDescent="0.2">
      <c r="A5" s="628" t="s">
        <v>236</v>
      </c>
      <c r="B5" s="628"/>
      <c r="C5" s="628"/>
      <c r="D5" s="215"/>
      <c r="E5" s="215"/>
      <c r="F5" s="215"/>
      <c r="G5" s="215"/>
      <c r="H5" s="215"/>
    </row>
    <row r="6" spans="1:8" ht="42.75" customHeight="1" x14ac:dyDescent="0.2">
      <c r="A6" s="630" t="s">
        <v>615</v>
      </c>
      <c r="B6" s="630"/>
      <c r="C6" s="630"/>
      <c r="D6" s="630"/>
      <c r="E6" s="630"/>
      <c r="F6" s="630"/>
      <c r="G6" s="630"/>
      <c r="H6" s="630"/>
    </row>
    <row r="7" spans="1:8" ht="20.25" customHeight="1" x14ac:dyDescent="0.2">
      <c r="A7" s="631"/>
      <c r="B7" s="631"/>
      <c r="C7" s="631"/>
      <c r="D7" s="631"/>
      <c r="E7" s="631"/>
      <c r="F7" s="631"/>
      <c r="G7" s="631"/>
      <c r="H7" s="631"/>
    </row>
    <row r="8" spans="1:8" ht="37.5" customHeight="1" x14ac:dyDescent="0.2">
      <c r="A8" s="632" t="s">
        <v>39</v>
      </c>
      <c r="B8" s="634" t="s">
        <v>140</v>
      </c>
      <c r="C8" s="632" t="s">
        <v>141</v>
      </c>
      <c r="D8" s="636" t="s">
        <v>85</v>
      </c>
      <c r="E8" s="637"/>
      <c r="F8" s="637"/>
      <c r="G8" s="638"/>
      <c r="H8" s="634" t="s">
        <v>142</v>
      </c>
    </row>
    <row r="9" spans="1:8" ht="85.5" customHeight="1" x14ac:dyDescent="0.2">
      <c r="A9" s="633"/>
      <c r="B9" s="635"/>
      <c r="C9" s="633"/>
      <c r="D9" s="218" t="s">
        <v>44</v>
      </c>
      <c r="E9" s="218" t="s">
        <v>143</v>
      </c>
      <c r="F9" s="218" t="s">
        <v>144</v>
      </c>
      <c r="G9" s="218" t="s">
        <v>145</v>
      </c>
      <c r="H9" s="635"/>
    </row>
    <row r="10" spans="1:8" ht="15" customHeight="1" x14ac:dyDescent="0.2">
      <c r="A10" s="217">
        <v>1</v>
      </c>
      <c r="B10" s="217">
        <v>2</v>
      </c>
      <c r="C10" s="217">
        <v>3</v>
      </c>
      <c r="D10" s="190">
        <v>4</v>
      </c>
      <c r="E10" s="190">
        <v>5</v>
      </c>
      <c r="F10" s="190">
        <v>6</v>
      </c>
      <c r="G10" s="190">
        <v>7</v>
      </c>
      <c r="H10" s="217">
        <v>8</v>
      </c>
    </row>
    <row r="11" spans="1:8" ht="15.95" customHeight="1" thickBot="1" x14ac:dyDescent="0.25">
      <c r="A11" s="216"/>
      <c r="B11" s="216"/>
      <c r="C11" s="3" t="s">
        <v>146</v>
      </c>
      <c r="D11" s="216"/>
      <c r="E11" s="86"/>
      <c r="F11" s="86"/>
      <c r="G11" s="86"/>
      <c r="H11" s="86"/>
    </row>
    <row r="12" spans="1:8" ht="30.75" customHeight="1" x14ac:dyDescent="0.2">
      <c r="A12" s="223">
        <v>1</v>
      </c>
      <c r="B12" s="224"/>
      <c r="C12" s="224" t="s">
        <v>147</v>
      </c>
      <c r="D12" s="225"/>
      <c r="E12" s="226"/>
      <c r="F12" s="226"/>
      <c r="G12" s="226"/>
      <c r="H12" s="227"/>
    </row>
    <row r="13" spans="1:8" ht="15" customHeight="1" thickBot="1" x14ac:dyDescent="0.25">
      <c r="A13" s="102">
        <f>A12+1</f>
        <v>2</v>
      </c>
      <c r="B13" s="103"/>
      <c r="C13" s="103" t="s">
        <v>45</v>
      </c>
      <c r="D13" s="104"/>
      <c r="E13" s="104"/>
      <c r="F13" s="104"/>
      <c r="G13" s="104"/>
      <c r="H13" s="105"/>
    </row>
    <row r="14" spans="1:8" ht="15.95" customHeight="1" thickBot="1" x14ac:dyDescent="0.25">
      <c r="A14" s="122"/>
      <c r="B14" s="54"/>
      <c r="C14" s="48" t="s">
        <v>148</v>
      </c>
      <c r="D14" s="228"/>
      <c r="E14" s="229"/>
      <c r="F14" s="229"/>
      <c r="G14" s="229"/>
      <c r="H14" s="230"/>
    </row>
    <row r="15" spans="1:8" ht="15.95" customHeight="1" thickBot="1" x14ac:dyDescent="0.25">
      <c r="A15" s="46"/>
      <c r="B15" s="46"/>
      <c r="C15" s="112" t="s">
        <v>149</v>
      </c>
      <c r="D15" s="231"/>
      <c r="E15" s="232"/>
      <c r="F15" s="232"/>
      <c r="G15" s="232"/>
      <c r="H15" s="232"/>
    </row>
    <row r="16" spans="1:8" ht="24" customHeight="1" thickBot="1" x14ac:dyDescent="0.25">
      <c r="A16" s="233">
        <v>2</v>
      </c>
      <c r="B16" s="234"/>
      <c r="C16" s="235" t="s">
        <v>150</v>
      </c>
      <c r="D16" s="236" t="s">
        <v>98</v>
      </c>
      <c r="E16" s="236" t="s">
        <v>98</v>
      </c>
      <c r="F16" s="236" t="s">
        <v>98</v>
      </c>
      <c r="G16" s="236" t="s">
        <v>98</v>
      </c>
      <c r="H16" s="237" t="s">
        <v>98</v>
      </c>
    </row>
    <row r="17" spans="1:12" ht="31.5" customHeight="1" thickBot="1" x14ac:dyDescent="0.25">
      <c r="A17" s="396">
        <v>2.1</v>
      </c>
      <c r="B17" s="397" t="s">
        <v>417</v>
      </c>
      <c r="C17" s="397" t="s">
        <v>350</v>
      </c>
      <c r="D17" s="398">
        <f>'o-1'!D13</f>
        <v>0</v>
      </c>
      <c r="E17" s="398">
        <f>'o-1'!E13</f>
        <v>0</v>
      </c>
      <c r="F17" s="398"/>
      <c r="G17" s="398"/>
      <c r="H17" s="400">
        <f t="shared" ref="H17" si="0">D17+E17</f>
        <v>0</v>
      </c>
    </row>
    <row r="18" spans="1:12" ht="15.95" customHeight="1" thickBot="1" x14ac:dyDescent="0.25">
      <c r="A18" s="122"/>
      <c r="B18" s="54"/>
      <c r="C18" s="48" t="s">
        <v>151</v>
      </c>
      <c r="D18" s="229">
        <f>SUM(D17:D17)</f>
        <v>0</v>
      </c>
      <c r="E18" s="229">
        <f>SUM(E17:E17)</f>
        <v>0</v>
      </c>
      <c r="F18" s="229"/>
      <c r="G18" s="229"/>
      <c r="H18" s="238">
        <f>E18+D18</f>
        <v>0</v>
      </c>
      <c r="I18" s="220"/>
    </row>
    <row r="19" spans="1:12" ht="15.95" customHeight="1" thickBot="1" x14ac:dyDescent="0.25">
      <c r="A19" s="46"/>
      <c r="B19" s="46"/>
      <c r="C19" s="112" t="s">
        <v>152</v>
      </c>
      <c r="D19" s="239"/>
      <c r="E19" s="239"/>
      <c r="F19" s="239"/>
      <c r="G19" s="239"/>
      <c r="H19" s="240"/>
    </row>
    <row r="20" spans="1:12" ht="20.25" customHeight="1" thickBot="1" x14ac:dyDescent="0.25">
      <c r="A20" s="59">
        <v>3</v>
      </c>
      <c r="B20" s="71"/>
      <c r="C20" s="221" t="s">
        <v>153</v>
      </c>
      <c r="D20" s="71"/>
      <c r="E20" s="107"/>
      <c r="F20" s="108"/>
      <c r="G20" s="109"/>
      <c r="H20" s="71"/>
    </row>
    <row r="21" spans="1:12" ht="20.25" customHeight="1" thickBot="1" x14ac:dyDescent="0.25">
      <c r="A21" s="214">
        <v>3.1</v>
      </c>
      <c r="B21" s="54"/>
      <c r="C21" s="103" t="s">
        <v>45</v>
      </c>
    </row>
    <row r="22" spans="1:12" ht="17.25" customHeight="1" thickBot="1" x14ac:dyDescent="0.25">
      <c r="A22" s="122"/>
      <c r="B22" s="54"/>
      <c r="C22" s="48" t="s">
        <v>154</v>
      </c>
      <c r="D22" s="229"/>
      <c r="E22" s="229"/>
      <c r="F22" s="229"/>
      <c r="G22" s="229"/>
      <c r="H22" s="230"/>
      <c r="I22" s="220"/>
    </row>
    <row r="23" spans="1:12" ht="14.25" thickBot="1" x14ac:dyDescent="0.25">
      <c r="A23" s="46"/>
      <c r="B23" s="46"/>
      <c r="C23" s="112" t="s">
        <v>155</v>
      </c>
      <c r="D23" s="239"/>
      <c r="E23" s="239"/>
      <c r="F23" s="239"/>
      <c r="G23" s="239"/>
      <c r="H23" s="239"/>
    </row>
    <row r="24" spans="1:12" ht="41.25" thickBot="1" x14ac:dyDescent="0.25">
      <c r="A24" s="233">
        <v>4</v>
      </c>
      <c r="B24" s="235"/>
      <c r="C24" s="234" t="s">
        <v>156</v>
      </c>
      <c r="D24" s="241"/>
      <c r="E24" s="242"/>
      <c r="F24" s="242"/>
      <c r="G24" s="242"/>
      <c r="H24" s="243"/>
      <c r="L24" s="220"/>
    </row>
    <row r="25" spans="1:12" ht="32.25" customHeight="1" thickBot="1" x14ac:dyDescent="0.25">
      <c r="A25" s="396">
        <v>4.2</v>
      </c>
      <c r="B25" s="397" t="s">
        <v>504</v>
      </c>
      <c r="C25" s="397" t="s">
        <v>348</v>
      </c>
      <c r="D25" s="398">
        <f>'2-'!G3</f>
        <v>0</v>
      </c>
      <c r="E25" s="398"/>
      <c r="F25" s="398"/>
      <c r="G25" s="398"/>
      <c r="H25" s="399">
        <f>D25+E25</f>
        <v>0</v>
      </c>
    </row>
    <row r="26" spans="1:12" ht="32.25" customHeight="1" thickBot="1" x14ac:dyDescent="0.25">
      <c r="A26" s="396">
        <v>4.4000000000000004</v>
      </c>
      <c r="B26" s="397" t="s">
        <v>503</v>
      </c>
      <c r="C26" s="397" t="s">
        <v>157</v>
      </c>
      <c r="D26" s="398"/>
      <c r="E26" s="398">
        <f>'3'!D3</f>
        <v>0</v>
      </c>
      <c r="F26" s="398"/>
      <c r="G26" s="398"/>
      <c r="H26" s="399">
        <f t="shared" ref="H26" si="1">D26+E26</f>
        <v>0</v>
      </c>
    </row>
    <row r="27" spans="1:12" ht="14.25" thickBot="1" x14ac:dyDescent="0.25">
      <c r="A27" s="122"/>
      <c r="B27" s="54"/>
      <c r="C27" s="48" t="s">
        <v>158</v>
      </c>
      <c r="D27" s="229">
        <f>SUM(D25:D26)</f>
        <v>0</v>
      </c>
      <c r="E27" s="229">
        <f>SUM(E25:E26)</f>
        <v>0</v>
      </c>
      <c r="F27" s="229"/>
      <c r="G27" s="229"/>
      <c r="H27" s="230">
        <f>H25+H26</f>
        <v>0</v>
      </c>
      <c r="I27" s="220"/>
    </row>
    <row r="28" spans="1:12" ht="18" customHeight="1" x14ac:dyDescent="0.2">
      <c r="A28" s="46"/>
      <c r="B28" s="46"/>
      <c r="C28" s="112" t="s">
        <v>159</v>
      </c>
      <c r="D28" s="239"/>
      <c r="E28" s="239"/>
      <c r="F28" s="239"/>
      <c r="G28" s="239"/>
      <c r="H28" s="239"/>
    </row>
    <row r="29" spans="1:12" ht="21" customHeight="1" x14ac:dyDescent="0.2">
      <c r="A29" s="4">
        <v>5</v>
      </c>
      <c r="B29" s="190"/>
      <c r="C29" s="4" t="s">
        <v>160</v>
      </c>
      <c r="D29" s="367"/>
      <c r="E29" s="368"/>
      <c r="F29" s="368"/>
      <c r="G29" s="368"/>
      <c r="H29" s="368" t="s">
        <v>98</v>
      </c>
    </row>
    <row r="30" spans="1:12" ht="28.5" customHeight="1" x14ac:dyDescent="0.2">
      <c r="A30" s="401">
        <f>A29+0.1</f>
        <v>5.0999999999999996</v>
      </c>
      <c r="B30" s="401" t="s">
        <v>485</v>
      </c>
      <c r="C30" s="401" t="s">
        <v>161</v>
      </c>
      <c r="D30" s="402">
        <f>'4'!D3</f>
        <v>0</v>
      </c>
      <c r="E30" s="403"/>
      <c r="F30" s="403"/>
      <c r="G30" s="403"/>
      <c r="H30" s="402">
        <f>D30</f>
        <v>0</v>
      </c>
    </row>
    <row r="31" spans="1:12" ht="29.25" customHeight="1" x14ac:dyDescent="0.2">
      <c r="A31" s="401">
        <f t="shared" ref="A31" si="2">A30+0.1</f>
        <v>5.2</v>
      </c>
      <c r="B31" s="401" t="s">
        <v>486</v>
      </c>
      <c r="C31" s="401" t="s">
        <v>551</v>
      </c>
      <c r="D31" s="402">
        <f>'5'!E3</f>
        <v>0</v>
      </c>
      <c r="E31" s="403"/>
      <c r="F31" s="403"/>
      <c r="G31" s="403"/>
      <c r="H31" s="402">
        <f>D31</f>
        <v>0</v>
      </c>
    </row>
    <row r="32" spans="1:12" s="506" customFormat="1" ht="29.25" customHeight="1" x14ac:dyDescent="0.2">
      <c r="A32" s="401">
        <v>5.3</v>
      </c>
      <c r="B32" s="401" t="s">
        <v>594</v>
      </c>
      <c r="C32" s="401" t="s">
        <v>595</v>
      </c>
      <c r="D32" s="402">
        <f>'6'!H20/1000</f>
        <v>0</v>
      </c>
      <c r="E32" s="403"/>
      <c r="F32" s="403"/>
      <c r="G32" s="403"/>
      <c r="H32" s="402">
        <f>D32</f>
        <v>0</v>
      </c>
    </row>
    <row r="33" spans="1:10" ht="17.25" customHeight="1" x14ac:dyDescent="0.2">
      <c r="A33" s="190"/>
      <c r="B33" s="4"/>
      <c r="C33" s="4" t="s">
        <v>162</v>
      </c>
      <c r="D33" s="369">
        <f>D30+D31+D32</f>
        <v>0</v>
      </c>
      <c r="E33" s="369">
        <f>SUM(E30:E31)</f>
        <v>0</v>
      </c>
      <c r="F33" s="369"/>
      <c r="G33" s="369"/>
      <c r="H33" s="369">
        <f>D33</f>
        <v>0</v>
      </c>
      <c r="I33" s="220"/>
    </row>
    <row r="34" spans="1:10" ht="17.25" customHeight="1" x14ac:dyDescent="0.2">
      <c r="A34" s="190"/>
      <c r="B34" s="190"/>
      <c r="C34" s="4" t="s">
        <v>163</v>
      </c>
      <c r="D34" s="369"/>
      <c r="E34" s="369"/>
      <c r="F34" s="369"/>
      <c r="G34" s="369"/>
      <c r="H34" s="369"/>
    </row>
    <row r="35" spans="1:10" ht="19.5" customHeight="1" x14ac:dyDescent="0.2">
      <c r="A35" s="365">
        <v>6</v>
      </c>
      <c r="B35" s="22"/>
      <c r="C35" s="267" t="s">
        <v>164</v>
      </c>
      <c r="D35" s="244"/>
      <c r="E35" s="244"/>
      <c r="F35" s="244"/>
      <c r="G35" s="244"/>
      <c r="H35" s="366"/>
    </row>
    <row r="36" spans="1:10" ht="20.25" customHeight="1" thickBot="1" x14ac:dyDescent="0.25">
      <c r="A36" s="102">
        <v>6.1</v>
      </c>
      <c r="B36" s="15"/>
      <c r="C36" s="103" t="s">
        <v>45</v>
      </c>
      <c r="D36" s="104"/>
      <c r="E36" s="104"/>
      <c r="F36" s="104"/>
      <c r="G36" s="104"/>
      <c r="H36" s="245"/>
    </row>
    <row r="37" spans="1:10" ht="15.95" customHeight="1" thickBot="1" x14ac:dyDescent="0.25">
      <c r="A37" s="46"/>
      <c r="B37" s="112"/>
      <c r="C37" s="112" t="s">
        <v>165</v>
      </c>
      <c r="D37" s="239"/>
      <c r="E37" s="239"/>
      <c r="F37" s="239"/>
      <c r="G37" s="239"/>
      <c r="H37" s="239"/>
    </row>
    <row r="38" spans="1:10" ht="15.95" customHeight="1" thickBot="1" x14ac:dyDescent="0.25">
      <c r="A38" s="122"/>
      <c r="B38" s="48"/>
      <c r="C38" s="48" t="s">
        <v>166</v>
      </c>
      <c r="D38" s="229">
        <f>D33+D27+D18</f>
        <v>0</v>
      </c>
      <c r="E38" s="229">
        <f>E33+E27+E18</f>
        <v>0</v>
      </c>
      <c r="F38" s="229"/>
      <c r="G38" s="229"/>
      <c r="H38" s="230">
        <f>H33+H27+H18</f>
        <v>0</v>
      </c>
      <c r="I38" s="220"/>
      <c r="J38" s="220"/>
    </row>
    <row r="39" spans="1:10" ht="15.95" customHeight="1" thickBot="1" x14ac:dyDescent="0.25">
      <c r="A39" s="46"/>
      <c r="B39" s="46"/>
      <c r="C39" s="112" t="s">
        <v>167</v>
      </c>
      <c r="D39" s="231"/>
      <c r="E39" s="232"/>
      <c r="F39" s="232"/>
      <c r="G39" s="232"/>
      <c r="H39" s="232"/>
    </row>
    <row r="40" spans="1:10" ht="19.5" customHeight="1" x14ac:dyDescent="0.2">
      <c r="A40" s="223">
        <v>7</v>
      </c>
      <c r="B40" s="14"/>
      <c r="C40" s="224" t="s">
        <v>168</v>
      </c>
      <c r="D40" s="226" t="s">
        <v>98</v>
      </c>
      <c r="E40" s="226" t="s">
        <v>98</v>
      </c>
      <c r="F40" s="226" t="s">
        <v>98</v>
      </c>
      <c r="G40" s="226" t="s">
        <v>98</v>
      </c>
      <c r="H40" s="227" t="s">
        <v>98</v>
      </c>
      <c r="I40" s="220"/>
    </row>
    <row r="41" spans="1:10" ht="18" customHeight="1" thickBot="1" x14ac:dyDescent="0.25">
      <c r="A41" s="102">
        <v>7.1</v>
      </c>
      <c r="B41" s="15"/>
      <c r="C41" s="103" t="s">
        <v>169</v>
      </c>
      <c r="D41" s="104" t="s">
        <v>98</v>
      </c>
      <c r="E41" s="104" t="s">
        <v>98</v>
      </c>
      <c r="F41" s="104" t="s">
        <v>98</v>
      </c>
      <c r="G41" s="104" t="s">
        <v>98</v>
      </c>
      <c r="H41" s="245" t="s">
        <v>98</v>
      </c>
    </row>
    <row r="42" spans="1:10" ht="18" customHeight="1" thickBot="1" x14ac:dyDescent="0.25">
      <c r="A42" s="46"/>
      <c r="B42" s="46"/>
      <c r="C42" s="112" t="s">
        <v>170</v>
      </c>
      <c r="D42" s="239"/>
      <c r="E42" s="239"/>
      <c r="F42" s="239"/>
      <c r="G42" s="239"/>
      <c r="H42" s="239"/>
    </row>
    <row r="43" spans="1:10" ht="21" customHeight="1" thickBot="1" x14ac:dyDescent="0.25">
      <c r="A43" s="223">
        <v>8</v>
      </c>
      <c r="B43" s="224"/>
      <c r="C43" s="224" t="s">
        <v>171</v>
      </c>
      <c r="D43" s="226" t="s">
        <v>98</v>
      </c>
      <c r="E43" s="226" t="s">
        <v>98</v>
      </c>
      <c r="F43" s="226" t="s">
        <v>98</v>
      </c>
      <c r="G43" s="226" t="s">
        <v>98</v>
      </c>
      <c r="H43" s="227" t="s">
        <v>98</v>
      </c>
    </row>
    <row r="44" spans="1:10" ht="21" customHeight="1" thickBot="1" x14ac:dyDescent="0.25">
      <c r="A44" s="102">
        <v>8.1</v>
      </c>
      <c r="B44" s="103"/>
      <c r="C44" s="224" t="s">
        <v>171</v>
      </c>
      <c r="D44" s="104"/>
      <c r="E44" s="104"/>
      <c r="F44" s="104"/>
      <c r="G44" s="110"/>
      <c r="H44" s="105"/>
    </row>
    <row r="45" spans="1:10" ht="21" customHeight="1" thickBot="1" x14ac:dyDescent="0.25">
      <c r="A45" s="122"/>
      <c r="B45" s="54"/>
      <c r="C45" s="54" t="s">
        <v>172</v>
      </c>
      <c r="D45" s="246"/>
      <c r="E45" s="246"/>
      <c r="F45" s="229"/>
      <c r="G45" s="246"/>
      <c r="H45" s="238"/>
    </row>
    <row r="46" spans="1:10" ht="21" customHeight="1" thickBot="1" x14ac:dyDescent="0.25">
      <c r="A46" s="46"/>
      <c r="B46" s="46"/>
      <c r="C46" s="112" t="s">
        <v>173</v>
      </c>
      <c r="D46" s="46"/>
      <c r="E46" s="46"/>
      <c r="F46" s="247"/>
      <c r="G46" s="247"/>
      <c r="H46" s="247"/>
    </row>
    <row r="47" spans="1:10" ht="42" customHeight="1" x14ac:dyDescent="0.2">
      <c r="A47" s="223">
        <v>9</v>
      </c>
      <c r="B47" s="224"/>
      <c r="C47" s="14" t="s">
        <v>174</v>
      </c>
      <c r="D47" s="224"/>
      <c r="E47" s="224"/>
      <c r="F47" s="248"/>
      <c r="G47" s="248"/>
      <c r="H47" s="249"/>
    </row>
    <row r="48" spans="1:10" ht="16.5" customHeight="1" x14ac:dyDescent="0.2">
      <c r="A48" s="250">
        <f>A47+0.1</f>
        <v>9.1</v>
      </c>
      <c r="B48" s="190"/>
      <c r="C48" s="4" t="s">
        <v>175</v>
      </c>
      <c r="D48" s="4"/>
      <c r="E48" s="4"/>
      <c r="F48" s="7"/>
      <c r="G48" s="7"/>
      <c r="H48" s="111"/>
    </row>
    <row r="49" spans="1:11" ht="16.5" customHeight="1" thickBot="1" x14ac:dyDescent="0.25">
      <c r="A49" s="46"/>
      <c r="B49" s="46"/>
      <c r="C49" s="112" t="s">
        <v>176</v>
      </c>
      <c r="D49" s="112"/>
      <c r="E49" s="112"/>
      <c r="F49" s="113"/>
      <c r="G49" s="113"/>
      <c r="H49" s="113"/>
      <c r="I49" s="220"/>
    </row>
    <row r="50" spans="1:11" ht="18" customHeight="1" thickBot="1" x14ac:dyDescent="0.25">
      <c r="A50" s="122"/>
      <c r="B50" s="54"/>
      <c r="C50" s="54" t="s">
        <v>177</v>
      </c>
      <c r="D50" s="246">
        <f>D49+D38</f>
        <v>0</v>
      </c>
      <c r="E50" s="246">
        <f>E38</f>
        <v>0</v>
      </c>
      <c r="F50" s="246"/>
      <c r="G50" s="246">
        <f>G49+G45</f>
        <v>0</v>
      </c>
      <c r="H50" s="238">
        <f>G50+F50+E50+D50</f>
        <v>0</v>
      </c>
      <c r="I50" s="220"/>
      <c r="J50" s="220"/>
    </row>
    <row r="51" spans="1:11" ht="30.75" customHeight="1" thickBot="1" x14ac:dyDescent="0.25">
      <c r="A51" s="122">
        <v>10</v>
      </c>
      <c r="B51" s="54"/>
      <c r="C51" s="48" t="s">
        <v>367</v>
      </c>
      <c r="D51" s="251"/>
      <c r="E51" s="246"/>
      <c r="F51" s="246"/>
      <c r="G51" s="246">
        <f>H50*1%</f>
        <v>0</v>
      </c>
      <c r="H51" s="238">
        <f>G51</f>
        <v>0</v>
      </c>
    </row>
    <row r="52" spans="1:11" ht="19.5" customHeight="1" x14ac:dyDescent="0.2">
      <c r="A52" s="217"/>
      <c r="B52" s="217"/>
      <c r="C52" s="217" t="s">
        <v>46</v>
      </c>
      <c r="D52" s="252">
        <f>D50</f>
        <v>0</v>
      </c>
      <c r="E52" s="252">
        <f>E50</f>
        <v>0</v>
      </c>
      <c r="F52" s="252"/>
      <c r="G52" s="252">
        <f>G51+G50</f>
        <v>0</v>
      </c>
      <c r="H52" s="252">
        <f>H50+H51</f>
        <v>0</v>
      </c>
      <c r="I52" s="253"/>
    </row>
    <row r="53" spans="1:11" ht="20.100000000000001" customHeight="1" thickBot="1" x14ac:dyDescent="0.25">
      <c r="A53" s="216">
        <v>11</v>
      </c>
      <c r="B53" s="216"/>
      <c r="C53" s="3" t="s">
        <v>47</v>
      </c>
      <c r="D53" s="254">
        <f>D52*0.18</f>
        <v>0</v>
      </c>
      <c r="E53" s="254">
        <f>E52*0.18</f>
        <v>0</v>
      </c>
      <c r="F53" s="254"/>
      <c r="G53" s="254">
        <f>G52*0.18</f>
        <v>0</v>
      </c>
      <c r="H53" s="254">
        <f>G53+F53+E53+D53</f>
        <v>0</v>
      </c>
    </row>
    <row r="54" spans="1:11" ht="20.100000000000001" customHeight="1" thickBot="1" x14ac:dyDescent="0.25">
      <c r="A54" s="122"/>
      <c r="B54" s="54"/>
      <c r="C54" s="48" t="s">
        <v>46</v>
      </c>
      <c r="D54" s="246">
        <f>SUM(D52:D53)</f>
        <v>0</v>
      </c>
      <c r="E54" s="246">
        <f>E53+E52</f>
        <v>0</v>
      </c>
      <c r="F54" s="246"/>
      <c r="G54" s="246">
        <f>SUM(G52:G53)</f>
        <v>0</v>
      </c>
      <c r="H54" s="238">
        <f>G54+E54+D54</f>
        <v>0</v>
      </c>
      <c r="I54" s="220"/>
    </row>
    <row r="55" spans="1:11" ht="4.5" customHeight="1" x14ac:dyDescent="0.2">
      <c r="A55" s="98"/>
      <c r="B55" s="98"/>
      <c r="C55" s="91"/>
      <c r="D55" s="114"/>
      <c r="E55" s="114"/>
      <c r="F55" s="114"/>
      <c r="G55" s="114"/>
      <c r="H55" s="114"/>
      <c r="I55" s="220"/>
    </row>
    <row r="56" spans="1:11" ht="33.75" customHeight="1" x14ac:dyDescent="0.2">
      <c r="C56" s="215"/>
      <c r="D56" s="215"/>
      <c r="E56" s="629"/>
      <c r="F56" s="629"/>
      <c r="G56" s="629"/>
      <c r="H56" s="629"/>
      <c r="K56" s="220"/>
    </row>
    <row r="57" spans="1:11" ht="24.75" customHeight="1" x14ac:dyDescent="0.2">
      <c r="C57" s="215"/>
      <c r="D57" s="215"/>
      <c r="E57" s="629"/>
      <c r="F57" s="629"/>
      <c r="G57" s="629"/>
      <c r="H57" s="629"/>
    </row>
    <row r="58" spans="1:11" ht="36" customHeight="1" x14ac:dyDescent="0.2">
      <c r="C58" s="215"/>
      <c r="D58" s="215"/>
      <c r="E58" s="629"/>
      <c r="F58" s="629"/>
      <c r="G58" s="629"/>
      <c r="H58" s="629"/>
    </row>
    <row r="59" spans="1:11" ht="20.100000000000001" customHeight="1" x14ac:dyDescent="0.2"/>
    <row r="60" spans="1:11" ht="20.100000000000001" customHeight="1" x14ac:dyDescent="0.2"/>
    <row r="61" spans="1:11" ht="20.100000000000001" customHeight="1" x14ac:dyDescent="0.2"/>
    <row r="62" spans="1:11" ht="20.100000000000001" customHeight="1" x14ac:dyDescent="0.2"/>
    <row r="63" spans="1:11" ht="20.100000000000001" customHeight="1" x14ac:dyDescent="0.2"/>
    <row r="64" spans="1:11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</sheetData>
  <mergeCells count="14">
    <mergeCell ref="E56:H57"/>
    <mergeCell ref="E58:H58"/>
    <mergeCell ref="A6:H6"/>
    <mergeCell ref="A7:H7"/>
    <mergeCell ref="A8:A9"/>
    <mergeCell ref="B8:B9"/>
    <mergeCell ref="C8:C9"/>
    <mergeCell ref="D8:G8"/>
    <mergeCell ref="H8:H9"/>
    <mergeCell ref="A5:C5"/>
    <mergeCell ref="A1:H1"/>
    <mergeCell ref="A2:H2"/>
    <mergeCell ref="A3:E3"/>
    <mergeCell ref="A4:E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46" workbookViewId="0">
      <selection activeCell="C54" sqref="C54"/>
    </sheetView>
  </sheetViews>
  <sheetFormatPr defaultRowHeight="12.75" x14ac:dyDescent="0.2"/>
  <cols>
    <col min="1" max="1" width="6.28515625" style="356" customWidth="1"/>
    <col min="2" max="2" width="9.28515625" style="356" bestFit="1" customWidth="1"/>
    <col min="3" max="3" width="25.140625" style="356" customWidth="1"/>
    <col min="4" max="4" width="8.5703125" style="356" customWidth="1"/>
    <col min="5" max="5" width="10.140625" style="356" bestFit="1" customWidth="1"/>
    <col min="6" max="7" width="9.28515625" style="356" bestFit="1" customWidth="1"/>
    <col min="8" max="8" width="10.7109375" style="356" bestFit="1" customWidth="1"/>
    <col min="9" max="9" width="9.42578125" style="356" bestFit="1" customWidth="1"/>
    <col min="10" max="256" width="9.140625" style="356"/>
    <col min="257" max="257" width="6.28515625" style="356" customWidth="1"/>
    <col min="258" max="258" width="9.28515625" style="356" bestFit="1" customWidth="1"/>
    <col min="259" max="259" width="25.140625" style="356" customWidth="1"/>
    <col min="260" max="260" width="8.5703125" style="356" customWidth="1"/>
    <col min="261" max="261" width="10.140625" style="356" bestFit="1" customWidth="1"/>
    <col min="262" max="263" width="9.28515625" style="356" bestFit="1" customWidth="1"/>
    <col min="264" max="264" width="10.7109375" style="356" bestFit="1" customWidth="1"/>
    <col min="265" max="265" width="9.42578125" style="356" bestFit="1" customWidth="1"/>
    <col min="266" max="512" width="9.140625" style="356"/>
    <col min="513" max="513" width="6.28515625" style="356" customWidth="1"/>
    <col min="514" max="514" width="9.28515625" style="356" bestFit="1" customWidth="1"/>
    <col min="515" max="515" width="25.140625" style="356" customWidth="1"/>
    <col min="516" max="516" width="8.5703125" style="356" customWidth="1"/>
    <col min="517" max="517" width="10.140625" style="356" bestFit="1" customWidth="1"/>
    <col min="518" max="519" width="9.28515625" style="356" bestFit="1" customWidth="1"/>
    <col min="520" max="520" width="10.7109375" style="356" bestFit="1" customWidth="1"/>
    <col min="521" max="521" width="9.42578125" style="356" bestFit="1" customWidth="1"/>
    <col min="522" max="768" width="9.140625" style="356"/>
    <col min="769" max="769" width="6.28515625" style="356" customWidth="1"/>
    <col min="770" max="770" width="9.28515625" style="356" bestFit="1" customWidth="1"/>
    <col min="771" max="771" width="25.140625" style="356" customWidth="1"/>
    <col min="772" max="772" width="8.5703125" style="356" customWidth="1"/>
    <col min="773" max="773" width="10.140625" style="356" bestFit="1" customWidth="1"/>
    <col min="774" max="775" width="9.28515625" style="356" bestFit="1" customWidth="1"/>
    <col min="776" max="776" width="10.7109375" style="356" bestFit="1" customWidth="1"/>
    <col min="777" max="777" width="9.42578125" style="356" bestFit="1" customWidth="1"/>
    <col min="778" max="1024" width="9.140625" style="356"/>
    <col min="1025" max="1025" width="6.28515625" style="356" customWidth="1"/>
    <col min="1026" max="1026" width="9.28515625" style="356" bestFit="1" customWidth="1"/>
    <col min="1027" max="1027" width="25.140625" style="356" customWidth="1"/>
    <col min="1028" max="1028" width="8.5703125" style="356" customWidth="1"/>
    <col min="1029" max="1029" width="10.140625" style="356" bestFit="1" customWidth="1"/>
    <col min="1030" max="1031" width="9.28515625" style="356" bestFit="1" customWidth="1"/>
    <col min="1032" max="1032" width="10.7109375" style="356" bestFit="1" customWidth="1"/>
    <col min="1033" max="1033" width="9.42578125" style="356" bestFit="1" customWidth="1"/>
    <col min="1034" max="1280" width="9.140625" style="356"/>
    <col min="1281" max="1281" width="6.28515625" style="356" customWidth="1"/>
    <col min="1282" max="1282" width="9.28515625" style="356" bestFit="1" customWidth="1"/>
    <col min="1283" max="1283" width="25.140625" style="356" customWidth="1"/>
    <col min="1284" max="1284" width="8.5703125" style="356" customWidth="1"/>
    <col min="1285" max="1285" width="10.140625" style="356" bestFit="1" customWidth="1"/>
    <col min="1286" max="1287" width="9.28515625" style="356" bestFit="1" customWidth="1"/>
    <col min="1288" max="1288" width="10.7109375" style="356" bestFit="1" customWidth="1"/>
    <col min="1289" max="1289" width="9.42578125" style="356" bestFit="1" customWidth="1"/>
    <col min="1290" max="1536" width="9.140625" style="356"/>
    <col min="1537" max="1537" width="6.28515625" style="356" customWidth="1"/>
    <col min="1538" max="1538" width="9.28515625" style="356" bestFit="1" customWidth="1"/>
    <col min="1539" max="1539" width="25.140625" style="356" customWidth="1"/>
    <col min="1540" max="1540" width="8.5703125" style="356" customWidth="1"/>
    <col min="1541" max="1541" width="10.140625" style="356" bestFit="1" customWidth="1"/>
    <col min="1542" max="1543" width="9.28515625" style="356" bestFit="1" customWidth="1"/>
    <col min="1544" max="1544" width="10.7109375" style="356" bestFit="1" customWidth="1"/>
    <col min="1545" max="1545" width="9.42578125" style="356" bestFit="1" customWidth="1"/>
    <col min="1546" max="1792" width="9.140625" style="356"/>
    <col min="1793" max="1793" width="6.28515625" style="356" customWidth="1"/>
    <col min="1794" max="1794" width="9.28515625" style="356" bestFit="1" customWidth="1"/>
    <col min="1795" max="1795" width="25.140625" style="356" customWidth="1"/>
    <col min="1796" max="1796" width="8.5703125" style="356" customWidth="1"/>
    <col min="1797" max="1797" width="10.140625" style="356" bestFit="1" customWidth="1"/>
    <col min="1798" max="1799" width="9.28515625" style="356" bestFit="1" customWidth="1"/>
    <col min="1800" max="1800" width="10.7109375" style="356" bestFit="1" customWidth="1"/>
    <col min="1801" max="1801" width="9.42578125" style="356" bestFit="1" customWidth="1"/>
    <col min="1802" max="2048" width="9.140625" style="356"/>
    <col min="2049" max="2049" width="6.28515625" style="356" customWidth="1"/>
    <col min="2050" max="2050" width="9.28515625" style="356" bestFit="1" customWidth="1"/>
    <col min="2051" max="2051" width="25.140625" style="356" customWidth="1"/>
    <col min="2052" max="2052" width="8.5703125" style="356" customWidth="1"/>
    <col min="2053" max="2053" width="10.140625" style="356" bestFit="1" customWidth="1"/>
    <col min="2054" max="2055" width="9.28515625" style="356" bestFit="1" customWidth="1"/>
    <col min="2056" max="2056" width="10.7109375" style="356" bestFit="1" customWidth="1"/>
    <col min="2057" max="2057" width="9.42578125" style="356" bestFit="1" customWidth="1"/>
    <col min="2058" max="2304" width="9.140625" style="356"/>
    <col min="2305" max="2305" width="6.28515625" style="356" customWidth="1"/>
    <col min="2306" max="2306" width="9.28515625" style="356" bestFit="1" customWidth="1"/>
    <col min="2307" max="2307" width="25.140625" style="356" customWidth="1"/>
    <col min="2308" max="2308" width="8.5703125" style="356" customWidth="1"/>
    <col min="2309" max="2309" width="10.140625" style="356" bestFit="1" customWidth="1"/>
    <col min="2310" max="2311" width="9.28515625" style="356" bestFit="1" customWidth="1"/>
    <col min="2312" max="2312" width="10.7109375" style="356" bestFit="1" customWidth="1"/>
    <col min="2313" max="2313" width="9.42578125" style="356" bestFit="1" customWidth="1"/>
    <col min="2314" max="2560" width="9.140625" style="356"/>
    <col min="2561" max="2561" width="6.28515625" style="356" customWidth="1"/>
    <col min="2562" max="2562" width="9.28515625" style="356" bestFit="1" customWidth="1"/>
    <col min="2563" max="2563" width="25.140625" style="356" customWidth="1"/>
    <col min="2564" max="2564" width="8.5703125" style="356" customWidth="1"/>
    <col min="2565" max="2565" width="10.140625" style="356" bestFit="1" customWidth="1"/>
    <col min="2566" max="2567" width="9.28515625" style="356" bestFit="1" customWidth="1"/>
    <col min="2568" max="2568" width="10.7109375" style="356" bestFit="1" customWidth="1"/>
    <col min="2569" max="2569" width="9.42578125" style="356" bestFit="1" customWidth="1"/>
    <col min="2570" max="2816" width="9.140625" style="356"/>
    <col min="2817" max="2817" width="6.28515625" style="356" customWidth="1"/>
    <col min="2818" max="2818" width="9.28515625" style="356" bestFit="1" customWidth="1"/>
    <col min="2819" max="2819" width="25.140625" style="356" customWidth="1"/>
    <col min="2820" max="2820" width="8.5703125" style="356" customWidth="1"/>
    <col min="2821" max="2821" width="10.140625" style="356" bestFit="1" customWidth="1"/>
    <col min="2822" max="2823" width="9.28515625" style="356" bestFit="1" customWidth="1"/>
    <col min="2824" max="2824" width="10.7109375" style="356" bestFit="1" customWidth="1"/>
    <col min="2825" max="2825" width="9.42578125" style="356" bestFit="1" customWidth="1"/>
    <col min="2826" max="3072" width="9.140625" style="356"/>
    <col min="3073" max="3073" width="6.28515625" style="356" customWidth="1"/>
    <col min="3074" max="3074" width="9.28515625" style="356" bestFit="1" customWidth="1"/>
    <col min="3075" max="3075" width="25.140625" style="356" customWidth="1"/>
    <col min="3076" max="3076" width="8.5703125" style="356" customWidth="1"/>
    <col min="3077" max="3077" width="10.140625" style="356" bestFit="1" customWidth="1"/>
    <col min="3078" max="3079" width="9.28515625" style="356" bestFit="1" customWidth="1"/>
    <col min="3080" max="3080" width="10.7109375" style="356" bestFit="1" customWidth="1"/>
    <col min="3081" max="3081" width="9.42578125" style="356" bestFit="1" customWidth="1"/>
    <col min="3082" max="3328" width="9.140625" style="356"/>
    <col min="3329" max="3329" width="6.28515625" style="356" customWidth="1"/>
    <col min="3330" max="3330" width="9.28515625" style="356" bestFit="1" customWidth="1"/>
    <col min="3331" max="3331" width="25.140625" style="356" customWidth="1"/>
    <col min="3332" max="3332" width="8.5703125" style="356" customWidth="1"/>
    <col min="3333" max="3333" width="10.140625" style="356" bestFit="1" customWidth="1"/>
    <col min="3334" max="3335" width="9.28515625" style="356" bestFit="1" customWidth="1"/>
    <col min="3336" max="3336" width="10.7109375" style="356" bestFit="1" customWidth="1"/>
    <col min="3337" max="3337" width="9.42578125" style="356" bestFit="1" customWidth="1"/>
    <col min="3338" max="3584" width="9.140625" style="356"/>
    <col min="3585" max="3585" width="6.28515625" style="356" customWidth="1"/>
    <col min="3586" max="3586" width="9.28515625" style="356" bestFit="1" customWidth="1"/>
    <col min="3587" max="3587" width="25.140625" style="356" customWidth="1"/>
    <col min="3588" max="3588" width="8.5703125" style="356" customWidth="1"/>
    <col min="3589" max="3589" width="10.140625" style="356" bestFit="1" customWidth="1"/>
    <col min="3590" max="3591" width="9.28515625" style="356" bestFit="1" customWidth="1"/>
    <col min="3592" max="3592" width="10.7109375" style="356" bestFit="1" customWidth="1"/>
    <col min="3593" max="3593" width="9.42578125" style="356" bestFit="1" customWidth="1"/>
    <col min="3594" max="3840" width="9.140625" style="356"/>
    <col min="3841" max="3841" width="6.28515625" style="356" customWidth="1"/>
    <col min="3842" max="3842" width="9.28515625" style="356" bestFit="1" customWidth="1"/>
    <col min="3843" max="3843" width="25.140625" style="356" customWidth="1"/>
    <col min="3844" max="3844" width="8.5703125" style="356" customWidth="1"/>
    <col min="3845" max="3845" width="10.140625" style="356" bestFit="1" customWidth="1"/>
    <col min="3846" max="3847" width="9.28515625" style="356" bestFit="1" customWidth="1"/>
    <col min="3848" max="3848" width="10.7109375" style="356" bestFit="1" customWidth="1"/>
    <col min="3849" max="3849" width="9.42578125" style="356" bestFit="1" customWidth="1"/>
    <col min="3850" max="4096" width="9.140625" style="356"/>
    <col min="4097" max="4097" width="6.28515625" style="356" customWidth="1"/>
    <col min="4098" max="4098" width="9.28515625" style="356" bestFit="1" customWidth="1"/>
    <col min="4099" max="4099" width="25.140625" style="356" customWidth="1"/>
    <col min="4100" max="4100" width="8.5703125" style="356" customWidth="1"/>
    <col min="4101" max="4101" width="10.140625" style="356" bestFit="1" customWidth="1"/>
    <col min="4102" max="4103" width="9.28515625" style="356" bestFit="1" customWidth="1"/>
    <col min="4104" max="4104" width="10.7109375" style="356" bestFit="1" customWidth="1"/>
    <col min="4105" max="4105" width="9.42578125" style="356" bestFit="1" customWidth="1"/>
    <col min="4106" max="4352" width="9.140625" style="356"/>
    <col min="4353" max="4353" width="6.28515625" style="356" customWidth="1"/>
    <col min="4354" max="4354" width="9.28515625" style="356" bestFit="1" customWidth="1"/>
    <col min="4355" max="4355" width="25.140625" style="356" customWidth="1"/>
    <col min="4356" max="4356" width="8.5703125" style="356" customWidth="1"/>
    <col min="4357" max="4357" width="10.140625" style="356" bestFit="1" customWidth="1"/>
    <col min="4358" max="4359" width="9.28515625" style="356" bestFit="1" customWidth="1"/>
    <col min="4360" max="4360" width="10.7109375" style="356" bestFit="1" customWidth="1"/>
    <col min="4361" max="4361" width="9.42578125" style="356" bestFit="1" customWidth="1"/>
    <col min="4362" max="4608" width="9.140625" style="356"/>
    <col min="4609" max="4609" width="6.28515625" style="356" customWidth="1"/>
    <col min="4610" max="4610" width="9.28515625" style="356" bestFit="1" customWidth="1"/>
    <col min="4611" max="4611" width="25.140625" style="356" customWidth="1"/>
    <col min="4612" max="4612" width="8.5703125" style="356" customWidth="1"/>
    <col min="4613" max="4613" width="10.140625" style="356" bestFit="1" customWidth="1"/>
    <col min="4614" max="4615" width="9.28515625" style="356" bestFit="1" customWidth="1"/>
    <col min="4616" max="4616" width="10.7109375" style="356" bestFit="1" customWidth="1"/>
    <col min="4617" max="4617" width="9.42578125" style="356" bestFit="1" customWidth="1"/>
    <col min="4618" max="4864" width="9.140625" style="356"/>
    <col min="4865" max="4865" width="6.28515625" style="356" customWidth="1"/>
    <col min="4866" max="4866" width="9.28515625" style="356" bestFit="1" customWidth="1"/>
    <col min="4867" max="4867" width="25.140625" style="356" customWidth="1"/>
    <col min="4868" max="4868" width="8.5703125" style="356" customWidth="1"/>
    <col min="4869" max="4869" width="10.140625" style="356" bestFit="1" customWidth="1"/>
    <col min="4870" max="4871" width="9.28515625" style="356" bestFit="1" customWidth="1"/>
    <col min="4872" max="4872" width="10.7109375" style="356" bestFit="1" customWidth="1"/>
    <col min="4873" max="4873" width="9.42578125" style="356" bestFit="1" customWidth="1"/>
    <col min="4874" max="5120" width="9.140625" style="356"/>
    <col min="5121" max="5121" width="6.28515625" style="356" customWidth="1"/>
    <col min="5122" max="5122" width="9.28515625" style="356" bestFit="1" customWidth="1"/>
    <col min="5123" max="5123" width="25.140625" style="356" customWidth="1"/>
    <col min="5124" max="5124" width="8.5703125" style="356" customWidth="1"/>
    <col min="5125" max="5125" width="10.140625" style="356" bestFit="1" customWidth="1"/>
    <col min="5126" max="5127" width="9.28515625" style="356" bestFit="1" customWidth="1"/>
    <col min="5128" max="5128" width="10.7109375" style="356" bestFit="1" customWidth="1"/>
    <col min="5129" max="5129" width="9.42578125" style="356" bestFit="1" customWidth="1"/>
    <col min="5130" max="5376" width="9.140625" style="356"/>
    <col min="5377" max="5377" width="6.28515625" style="356" customWidth="1"/>
    <col min="5378" max="5378" width="9.28515625" style="356" bestFit="1" customWidth="1"/>
    <col min="5379" max="5379" width="25.140625" style="356" customWidth="1"/>
    <col min="5380" max="5380" width="8.5703125" style="356" customWidth="1"/>
    <col min="5381" max="5381" width="10.140625" style="356" bestFit="1" customWidth="1"/>
    <col min="5382" max="5383" width="9.28515625" style="356" bestFit="1" customWidth="1"/>
    <col min="5384" max="5384" width="10.7109375" style="356" bestFit="1" customWidth="1"/>
    <col min="5385" max="5385" width="9.42578125" style="356" bestFit="1" customWidth="1"/>
    <col min="5386" max="5632" width="9.140625" style="356"/>
    <col min="5633" max="5633" width="6.28515625" style="356" customWidth="1"/>
    <col min="5634" max="5634" width="9.28515625" style="356" bestFit="1" customWidth="1"/>
    <col min="5635" max="5635" width="25.140625" style="356" customWidth="1"/>
    <col min="5636" max="5636" width="8.5703125" style="356" customWidth="1"/>
    <col min="5637" max="5637" width="10.140625" style="356" bestFit="1" customWidth="1"/>
    <col min="5638" max="5639" width="9.28515625" style="356" bestFit="1" customWidth="1"/>
    <col min="5640" max="5640" width="10.7109375" style="356" bestFit="1" customWidth="1"/>
    <col min="5641" max="5641" width="9.42578125" style="356" bestFit="1" customWidth="1"/>
    <col min="5642" max="5888" width="9.140625" style="356"/>
    <col min="5889" max="5889" width="6.28515625" style="356" customWidth="1"/>
    <col min="5890" max="5890" width="9.28515625" style="356" bestFit="1" customWidth="1"/>
    <col min="5891" max="5891" width="25.140625" style="356" customWidth="1"/>
    <col min="5892" max="5892" width="8.5703125" style="356" customWidth="1"/>
    <col min="5893" max="5893" width="10.140625" style="356" bestFit="1" customWidth="1"/>
    <col min="5894" max="5895" width="9.28515625" style="356" bestFit="1" customWidth="1"/>
    <col min="5896" max="5896" width="10.7109375" style="356" bestFit="1" customWidth="1"/>
    <col min="5897" max="5897" width="9.42578125" style="356" bestFit="1" customWidth="1"/>
    <col min="5898" max="6144" width="9.140625" style="356"/>
    <col min="6145" max="6145" width="6.28515625" style="356" customWidth="1"/>
    <col min="6146" max="6146" width="9.28515625" style="356" bestFit="1" customWidth="1"/>
    <col min="6147" max="6147" width="25.140625" style="356" customWidth="1"/>
    <col min="6148" max="6148" width="8.5703125" style="356" customWidth="1"/>
    <col min="6149" max="6149" width="10.140625" style="356" bestFit="1" customWidth="1"/>
    <col min="6150" max="6151" width="9.28515625" style="356" bestFit="1" customWidth="1"/>
    <col min="6152" max="6152" width="10.7109375" style="356" bestFit="1" customWidth="1"/>
    <col min="6153" max="6153" width="9.42578125" style="356" bestFit="1" customWidth="1"/>
    <col min="6154" max="6400" width="9.140625" style="356"/>
    <col min="6401" max="6401" width="6.28515625" style="356" customWidth="1"/>
    <col min="6402" max="6402" width="9.28515625" style="356" bestFit="1" customWidth="1"/>
    <col min="6403" max="6403" width="25.140625" style="356" customWidth="1"/>
    <col min="6404" max="6404" width="8.5703125" style="356" customWidth="1"/>
    <col min="6405" max="6405" width="10.140625" style="356" bestFit="1" customWidth="1"/>
    <col min="6406" max="6407" width="9.28515625" style="356" bestFit="1" customWidth="1"/>
    <col min="6408" max="6408" width="10.7109375" style="356" bestFit="1" customWidth="1"/>
    <col min="6409" max="6409" width="9.42578125" style="356" bestFit="1" customWidth="1"/>
    <col min="6410" max="6656" width="9.140625" style="356"/>
    <col min="6657" max="6657" width="6.28515625" style="356" customWidth="1"/>
    <col min="6658" max="6658" width="9.28515625" style="356" bestFit="1" customWidth="1"/>
    <col min="6659" max="6659" width="25.140625" style="356" customWidth="1"/>
    <col min="6660" max="6660" width="8.5703125" style="356" customWidth="1"/>
    <col min="6661" max="6661" width="10.140625" style="356" bestFit="1" customWidth="1"/>
    <col min="6662" max="6663" width="9.28515625" style="356" bestFit="1" customWidth="1"/>
    <col min="6664" max="6664" width="10.7109375" style="356" bestFit="1" customWidth="1"/>
    <col min="6665" max="6665" width="9.42578125" style="356" bestFit="1" customWidth="1"/>
    <col min="6666" max="6912" width="9.140625" style="356"/>
    <col min="6913" max="6913" width="6.28515625" style="356" customWidth="1"/>
    <col min="6914" max="6914" width="9.28515625" style="356" bestFit="1" customWidth="1"/>
    <col min="6915" max="6915" width="25.140625" style="356" customWidth="1"/>
    <col min="6916" max="6916" width="8.5703125" style="356" customWidth="1"/>
    <col min="6917" max="6917" width="10.140625" style="356" bestFit="1" customWidth="1"/>
    <col min="6918" max="6919" width="9.28515625" style="356" bestFit="1" customWidth="1"/>
    <col min="6920" max="6920" width="10.7109375" style="356" bestFit="1" customWidth="1"/>
    <col min="6921" max="6921" width="9.42578125" style="356" bestFit="1" customWidth="1"/>
    <col min="6922" max="7168" width="9.140625" style="356"/>
    <col min="7169" max="7169" width="6.28515625" style="356" customWidth="1"/>
    <col min="7170" max="7170" width="9.28515625" style="356" bestFit="1" customWidth="1"/>
    <col min="7171" max="7171" width="25.140625" style="356" customWidth="1"/>
    <col min="7172" max="7172" width="8.5703125" style="356" customWidth="1"/>
    <col min="7173" max="7173" width="10.140625" style="356" bestFit="1" customWidth="1"/>
    <col min="7174" max="7175" width="9.28515625" style="356" bestFit="1" customWidth="1"/>
    <col min="7176" max="7176" width="10.7109375" style="356" bestFit="1" customWidth="1"/>
    <col min="7177" max="7177" width="9.42578125" style="356" bestFit="1" customWidth="1"/>
    <col min="7178" max="7424" width="9.140625" style="356"/>
    <col min="7425" max="7425" width="6.28515625" style="356" customWidth="1"/>
    <col min="7426" max="7426" width="9.28515625" style="356" bestFit="1" customWidth="1"/>
    <col min="7427" max="7427" width="25.140625" style="356" customWidth="1"/>
    <col min="7428" max="7428" width="8.5703125" style="356" customWidth="1"/>
    <col min="7429" max="7429" width="10.140625" style="356" bestFit="1" customWidth="1"/>
    <col min="7430" max="7431" width="9.28515625" style="356" bestFit="1" customWidth="1"/>
    <col min="7432" max="7432" width="10.7109375" style="356" bestFit="1" customWidth="1"/>
    <col min="7433" max="7433" width="9.42578125" style="356" bestFit="1" customWidth="1"/>
    <col min="7434" max="7680" width="9.140625" style="356"/>
    <col min="7681" max="7681" width="6.28515625" style="356" customWidth="1"/>
    <col min="7682" max="7682" width="9.28515625" style="356" bestFit="1" customWidth="1"/>
    <col min="7683" max="7683" width="25.140625" style="356" customWidth="1"/>
    <col min="7684" max="7684" width="8.5703125" style="356" customWidth="1"/>
    <col min="7685" max="7685" width="10.140625" style="356" bestFit="1" customWidth="1"/>
    <col min="7686" max="7687" width="9.28515625" style="356" bestFit="1" customWidth="1"/>
    <col min="7688" max="7688" width="10.7109375" style="356" bestFit="1" customWidth="1"/>
    <col min="7689" max="7689" width="9.42578125" style="356" bestFit="1" customWidth="1"/>
    <col min="7690" max="7936" width="9.140625" style="356"/>
    <col min="7937" max="7937" width="6.28515625" style="356" customWidth="1"/>
    <col min="7938" max="7938" width="9.28515625" style="356" bestFit="1" customWidth="1"/>
    <col min="7939" max="7939" width="25.140625" style="356" customWidth="1"/>
    <col min="7940" max="7940" width="8.5703125" style="356" customWidth="1"/>
    <col min="7941" max="7941" width="10.140625" style="356" bestFit="1" customWidth="1"/>
    <col min="7942" max="7943" width="9.28515625" style="356" bestFit="1" customWidth="1"/>
    <col min="7944" max="7944" width="10.7109375" style="356" bestFit="1" customWidth="1"/>
    <col min="7945" max="7945" width="9.42578125" style="356" bestFit="1" customWidth="1"/>
    <col min="7946" max="8192" width="9.140625" style="356"/>
    <col min="8193" max="8193" width="6.28515625" style="356" customWidth="1"/>
    <col min="8194" max="8194" width="9.28515625" style="356" bestFit="1" customWidth="1"/>
    <col min="8195" max="8195" width="25.140625" style="356" customWidth="1"/>
    <col min="8196" max="8196" width="8.5703125" style="356" customWidth="1"/>
    <col min="8197" max="8197" width="10.140625" style="356" bestFit="1" customWidth="1"/>
    <col min="8198" max="8199" width="9.28515625" style="356" bestFit="1" customWidth="1"/>
    <col min="8200" max="8200" width="10.7109375" style="356" bestFit="1" customWidth="1"/>
    <col min="8201" max="8201" width="9.42578125" style="356" bestFit="1" customWidth="1"/>
    <col min="8202" max="8448" width="9.140625" style="356"/>
    <col min="8449" max="8449" width="6.28515625" style="356" customWidth="1"/>
    <col min="8450" max="8450" width="9.28515625" style="356" bestFit="1" customWidth="1"/>
    <col min="8451" max="8451" width="25.140625" style="356" customWidth="1"/>
    <col min="8452" max="8452" width="8.5703125" style="356" customWidth="1"/>
    <col min="8453" max="8453" width="10.140625" style="356" bestFit="1" customWidth="1"/>
    <col min="8454" max="8455" width="9.28515625" style="356" bestFit="1" customWidth="1"/>
    <col min="8456" max="8456" width="10.7109375" style="356" bestFit="1" customWidth="1"/>
    <col min="8457" max="8457" width="9.42578125" style="356" bestFit="1" customWidth="1"/>
    <col min="8458" max="8704" width="9.140625" style="356"/>
    <col min="8705" max="8705" width="6.28515625" style="356" customWidth="1"/>
    <col min="8706" max="8706" width="9.28515625" style="356" bestFit="1" customWidth="1"/>
    <col min="8707" max="8707" width="25.140625" style="356" customWidth="1"/>
    <col min="8708" max="8708" width="8.5703125" style="356" customWidth="1"/>
    <col min="8709" max="8709" width="10.140625" style="356" bestFit="1" customWidth="1"/>
    <col min="8710" max="8711" width="9.28515625" style="356" bestFit="1" customWidth="1"/>
    <col min="8712" max="8712" width="10.7109375" style="356" bestFit="1" customWidth="1"/>
    <col min="8713" max="8713" width="9.42578125" style="356" bestFit="1" customWidth="1"/>
    <col min="8714" max="8960" width="9.140625" style="356"/>
    <col min="8961" max="8961" width="6.28515625" style="356" customWidth="1"/>
    <col min="8962" max="8962" width="9.28515625" style="356" bestFit="1" customWidth="1"/>
    <col min="8963" max="8963" width="25.140625" style="356" customWidth="1"/>
    <col min="8964" max="8964" width="8.5703125" style="356" customWidth="1"/>
    <col min="8965" max="8965" width="10.140625" style="356" bestFit="1" customWidth="1"/>
    <col min="8966" max="8967" width="9.28515625" style="356" bestFit="1" customWidth="1"/>
    <col min="8968" max="8968" width="10.7109375" style="356" bestFit="1" customWidth="1"/>
    <col min="8969" max="8969" width="9.42578125" style="356" bestFit="1" customWidth="1"/>
    <col min="8970" max="9216" width="9.140625" style="356"/>
    <col min="9217" max="9217" width="6.28515625" style="356" customWidth="1"/>
    <col min="9218" max="9218" width="9.28515625" style="356" bestFit="1" customWidth="1"/>
    <col min="9219" max="9219" width="25.140625" style="356" customWidth="1"/>
    <col min="9220" max="9220" width="8.5703125" style="356" customWidth="1"/>
    <col min="9221" max="9221" width="10.140625" style="356" bestFit="1" customWidth="1"/>
    <col min="9222" max="9223" width="9.28515625" style="356" bestFit="1" customWidth="1"/>
    <col min="9224" max="9224" width="10.7109375" style="356" bestFit="1" customWidth="1"/>
    <col min="9225" max="9225" width="9.42578125" style="356" bestFit="1" customWidth="1"/>
    <col min="9226" max="9472" width="9.140625" style="356"/>
    <col min="9473" max="9473" width="6.28515625" style="356" customWidth="1"/>
    <col min="9474" max="9474" width="9.28515625" style="356" bestFit="1" customWidth="1"/>
    <col min="9475" max="9475" width="25.140625" style="356" customWidth="1"/>
    <col min="9476" max="9476" width="8.5703125" style="356" customWidth="1"/>
    <col min="9477" max="9477" width="10.140625" style="356" bestFit="1" customWidth="1"/>
    <col min="9478" max="9479" width="9.28515625" style="356" bestFit="1" customWidth="1"/>
    <col min="9480" max="9480" width="10.7109375" style="356" bestFit="1" customWidth="1"/>
    <col min="9481" max="9481" width="9.42578125" style="356" bestFit="1" customWidth="1"/>
    <col min="9482" max="9728" width="9.140625" style="356"/>
    <col min="9729" max="9729" width="6.28515625" style="356" customWidth="1"/>
    <col min="9730" max="9730" width="9.28515625" style="356" bestFit="1" customWidth="1"/>
    <col min="9731" max="9731" width="25.140625" style="356" customWidth="1"/>
    <col min="9732" max="9732" width="8.5703125" style="356" customWidth="1"/>
    <col min="9733" max="9733" width="10.140625" style="356" bestFit="1" customWidth="1"/>
    <col min="9734" max="9735" width="9.28515625" style="356" bestFit="1" customWidth="1"/>
    <col min="9736" max="9736" width="10.7109375" style="356" bestFit="1" customWidth="1"/>
    <col min="9737" max="9737" width="9.42578125" style="356" bestFit="1" customWidth="1"/>
    <col min="9738" max="9984" width="9.140625" style="356"/>
    <col min="9985" max="9985" width="6.28515625" style="356" customWidth="1"/>
    <col min="9986" max="9986" width="9.28515625" style="356" bestFit="1" customWidth="1"/>
    <col min="9987" max="9987" width="25.140625" style="356" customWidth="1"/>
    <col min="9988" max="9988" width="8.5703125" style="356" customWidth="1"/>
    <col min="9989" max="9989" width="10.140625" style="356" bestFit="1" customWidth="1"/>
    <col min="9990" max="9991" width="9.28515625" style="356" bestFit="1" customWidth="1"/>
    <col min="9992" max="9992" width="10.7109375" style="356" bestFit="1" customWidth="1"/>
    <col min="9993" max="9993" width="9.42578125" style="356" bestFit="1" customWidth="1"/>
    <col min="9994" max="10240" width="9.140625" style="356"/>
    <col min="10241" max="10241" width="6.28515625" style="356" customWidth="1"/>
    <col min="10242" max="10242" width="9.28515625" style="356" bestFit="1" customWidth="1"/>
    <col min="10243" max="10243" width="25.140625" style="356" customWidth="1"/>
    <col min="10244" max="10244" width="8.5703125" style="356" customWidth="1"/>
    <col min="10245" max="10245" width="10.140625" style="356" bestFit="1" customWidth="1"/>
    <col min="10246" max="10247" width="9.28515625" style="356" bestFit="1" customWidth="1"/>
    <col min="10248" max="10248" width="10.7109375" style="356" bestFit="1" customWidth="1"/>
    <col min="10249" max="10249" width="9.42578125" style="356" bestFit="1" customWidth="1"/>
    <col min="10250" max="10496" width="9.140625" style="356"/>
    <col min="10497" max="10497" width="6.28515625" style="356" customWidth="1"/>
    <col min="10498" max="10498" width="9.28515625" style="356" bestFit="1" customWidth="1"/>
    <col min="10499" max="10499" width="25.140625" style="356" customWidth="1"/>
    <col min="10500" max="10500" width="8.5703125" style="356" customWidth="1"/>
    <col min="10501" max="10501" width="10.140625" style="356" bestFit="1" customWidth="1"/>
    <col min="10502" max="10503" width="9.28515625" style="356" bestFit="1" customWidth="1"/>
    <col min="10504" max="10504" width="10.7109375" style="356" bestFit="1" customWidth="1"/>
    <col min="10505" max="10505" width="9.42578125" style="356" bestFit="1" customWidth="1"/>
    <col min="10506" max="10752" width="9.140625" style="356"/>
    <col min="10753" max="10753" width="6.28515625" style="356" customWidth="1"/>
    <col min="10754" max="10754" width="9.28515625" style="356" bestFit="1" customWidth="1"/>
    <col min="10755" max="10755" width="25.140625" style="356" customWidth="1"/>
    <col min="10756" max="10756" width="8.5703125" style="356" customWidth="1"/>
    <col min="10757" max="10757" width="10.140625" style="356" bestFit="1" customWidth="1"/>
    <col min="10758" max="10759" width="9.28515625" style="356" bestFit="1" customWidth="1"/>
    <col min="10760" max="10760" width="10.7109375" style="356" bestFit="1" customWidth="1"/>
    <col min="10761" max="10761" width="9.42578125" style="356" bestFit="1" customWidth="1"/>
    <col min="10762" max="11008" width="9.140625" style="356"/>
    <col min="11009" max="11009" width="6.28515625" style="356" customWidth="1"/>
    <col min="11010" max="11010" width="9.28515625" style="356" bestFit="1" customWidth="1"/>
    <col min="11011" max="11011" width="25.140625" style="356" customWidth="1"/>
    <col min="11012" max="11012" width="8.5703125" style="356" customWidth="1"/>
    <col min="11013" max="11013" width="10.140625" style="356" bestFit="1" customWidth="1"/>
    <col min="11014" max="11015" width="9.28515625" style="356" bestFit="1" customWidth="1"/>
    <col min="11016" max="11016" width="10.7109375" style="356" bestFit="1" customWidth="1"/>
    <col min="11017" max="11017" width="9.42578125" style="356" bestFit="1" customWidth="1"/>
    <col min="11018" max="11264" width="9.140625" style="356"/>
    <col min="11265" max="11265" width="6.28515625" style="356" customWidth="1"/>
    <col min="11266" max="11266" width="9.28515625" style="356" bestFit="1" customWidth="1"/>
    <col min="11267" max="11267" width="25.140625" style="356" customWidth="1"/>
    <col min="11268" max="11268" width="8.5703125" style="356" customWidth="1"/>
    <col min="11269" max="11269" width="10.140625" style="356" bestFit="1" customWidth="1"/>
    <col min="11270" max="11271" width="9.28515625" style="356" bestFit="1" customWidth="1"/>
    <col min="11272" max="11272" width="10.7109375" style="356" bestFit="1" customWidth="1"/>
    <col min="11273" max="11273" width="9.42578125" style="356" bestFit="1" customWidth="1"/>
    <col min="11274" max="11520" width="9.140625" style="356"/>
    <col min="11521" max="11521" width="6.28515625" style="356" customWidth="1"/>
    <col min="11522" max="11522" width="9.28515625" style="356" bestFit="1" customWidth="1"/>
    <col min="11523" max="11523" width="25.140625" style="356" customWidth="1"/>
    <col min="11524" max="11524" width="8.5703125" style="356" customWidth="1"/>
    <col min="11525" max="11525" width="10.140625" style="356" bestFit="1" customWidth="1"/>
    <col min="11526" max="11527" width="9.28515625" style="356" bestFit="1" customWidth="1"/>
    <col min="11528" max="11528" width="10.7109375" style="356" bestFit="1" customWidth="1"/>
    <col min="11529" max="11529" width="9.42578125" style="356" bestFit="1" customWidth="1"/>
    <col min="11530" max="11776" width="9.140625" style="356"/>
    <col min="11777" max="11777" width="6.28515625" style="356" customWidth="1"/>
    <col min="11778" max="11778" width="9.28515625" style="356" bestFit="1" customWidth="1"/>
    <col min="11779" max="11779" width="25.140625" style="356" customWidth="1"/>
    <col min="11780" max="11780" width="8.5703125" style="356" customWidth="1"/>
    <col min="11781" max="11781" width="10.140625" style="356" bestFit="1" customWidth="1"/>
    <col min="11782" max="11783" width="9.28515625" style="356" bestFit="1" customWidth="1"/>
    <col min="11784" max="11784" width="10.7109375" style="356" bestFit="1" customWidth="1"/>
    <col min="11785" max="11785" width="9.42578125" style="356" bestFit="1" customWidth="1"/>
    <col min="11786" max="12032" width="9.140625" style="356"/>
    <col min="12033" max="12033" width="6.28515625" style="356" customWidth="1"/>
    <col min="12034" max="12034" width="9.28515625" style="356" bestFit="1" customWidth="1"/>
    <col min="12035" max="12035" width="25.140625" style="356" customWidth="1"/>
    <col min="12036" max="12036" width="8.5703125" style="356" customWidth="1"/>
    <col min="12037" max="12037" width="10.140625" style="356" bestFit="1" customWidth="1"/>
    <col min="12038" max="12039" width="9.28515625" style="356" bestFit="1" customWidth="1"/>
    <col min="12040" max="12040" width="10.7109375" style="356" bestFit="1" customWidth="1"/>
    <col min="12041" max="12041" width="9.42578125" style="356" bestFit="1" customWidth="1"/>
    <col min="12042" max="12288" width="9.140625" style="356"/>
    <col min="12289" max="12289" width="6.28515625" style="356" customWidth="1"/>
    <col min="12290" max="12290" width="9.28515625" style="356" bestFit="1" customWidth="1"/>
    <col min="12291" max="12291" width="25.140625" style="356" customWidth="1"/>
    <col min="12292" max="12292" width="8.5703125" style="356" customWidth="1"/>
    <col min="12293" max="12293" width="10.140625" style="356" bestFit="1" customWidth="1"/>
    <col min="12294" max="12295" width="9.28515625" style="356" bestFit="1" customWidth="1"/>
    <col min="12296" max="12296" width="10.7109375" style="356" bestFit="1" customWidth="1"/>
    <col min="12297" max="12297" width="9.42578125" style="356" bestFit="1" customWidth="1"/>
    <col min="12298" max="12544" width="9.140625" style="356"/>
    <col min="12545" max="12545" width="6.28515625" style="356" customWidth="1"/>
    <col min="12546" max="12546" width="9.28515625" style="356" bestFit="1" customWidth="1"/>
    <col min="12547" max="12547" width="25.140625" style="356" customWidth="1"/>
    <col min="12548" max="12548" width="8.5703125" style="356" customWidth="1"/>
    <col min="12549" max="12549" width="10.140625" style="356" bestFit="1" customWidth="1"/>
    <col min="12550" max="12551" width="9.28515625" style="356" bestFit="1" customWidth="1"/>
    <col min="12552" max="12552" width="10.7109375" style="356" bestFit="1" customWidth="1"/>
    <col min="12553" max="12553" width="9.42578125" style="356" bestFit="1" customWidth="1"/>
    <col min="12554" max="12800" width="9.140625" style="356"/>
    <col min="12801" max="12801" width="6.28515625" style="356" customWidth="1"/>
    <col min="12802" max="12802" width="9.28515625" style="356" bestFit="1" customWidth="1"/>
    <col min="12803" max="12803" width="25.140625" style="356" customWidth="1"/>
    <col min="12804" max="12804" width="8.5703125" style="356" customWidth="1"/>
    <col min="12805" max="12805" width="10.140625" style="356" bestFit="1" customWidth="1"/>
    <col min="12806" max="12807" width="9.28515625" style="356" bestFit="1" customWidth="1"/>
    <col min="12808" max="12808" width="10.7109375" style="356" bestFit="1" customWidth="1"/>
    <col min="12809" max="12809" width="9.42578125" style="356" bestFit="1" customWidth="1"/>
    <col min="12810" max="13056" width="9.140625" style="356"/>
    <col min="13057" max="13057" width="6.28515625" style="356" customWidth="1"/>
    <col min="13058" max="13058" width="9.28515625" style="356" bestFit="1" customWidth="1"/>
    <col min="13059" max="13059" width="25.140625" style="356" customWidth="1"/>
    <col min="13060" max="13060" width="8.5703125" style="356" customWidth="1"/>
    <col min="13061" max="13061" width="10.140625" style="356" bestFit="1" customWidth="1"/>
    <col min="13062" max="13063" width="9.28515625" style="356" bestFit="1" customWidth="1"/>
    <col min="13064" max="13064" width="10.7109375" style="356" bestFit="1" customWidth="1"/>
    <col min="13065" max="13065" width="9.42578125" style="356" bestFit="1" customWidth="1"/>
    <col min="13066" max="13312" width="9.140625" style="356"/>
    <col min="13313" max="13313" width="6.28515625" style="356" customWidth="1"/>
    <col min="13314" max="13314" width="9.28515625" style="356" bestFit="1" customWidth="1"/>
    <col min="13315" max="13315" width="25.140625" style="356" customWidth="1"/>
    <col min="13316" max="13316" width="8.5703125" style="356" customWidth="1"/>
    <col min="13317" max="13317" width="10.140625" style="356" bestFit="1" customWidth="1"/>
    <col min="13318" max="13319" width="9.28515625" style="356" bestFit="1" customWidth="1"/>
    <col min="13320" max="13320" width="10.7109375" style="356" bestFit="1" customWidth="1"/>
    <col min="13321" max="13321" width="9.42578125" style="356" bestFit="1" customWidth="1"/>
    <col min="13322" max="13568" width="9.140625" style="356"/>
    <col min="13569" max="13569" width="6.28515625" style="356" customWidth="1"/>
    <col min="13570" max="13570" width="9.28515625" style="356" bestFit="1" customWidth="1"/>
    <col min="13571" max="13571" width="25.140625" style="356" customWidth="1"/>
    <col min="13572" max="13572" width="8.5703125" style="356" customWidth="1"/>
    <col min="13573" max="13573" width="10.140625" style="356" bestFit="1" customWidth="1"/>
    <col min="13574" max="13575" width="9.28515625" style="356" bestFit="1" customWidth="1"/>
    <col min="13576" max="13576" width="10.7109375" style="356" bestFit="1" customWidth="1"/>
    <col min="13577" max="13577" width="9.42578125" style="356" bestFit="1" customWidth="1"/>
    <col min="13578" max="13824" width="9.140625" style="356"/>
    <col min="13825" max="13825" width="6.28515625" style="356" customWidth="1"/>
    <col min="13826" max="13826" width="9.28515625" style="356" bestFit="1" customWidth="1"/>
    <col min="13827" max="13827" width="25.140625" style="356" customWidth="1"/>
    <col min="13828" max="13828" width="8.5703125" style="356" customWidth="1"/>
    <col min="13829" max="13829" width="10.140625" style="356" bestFit="1" customWidth="1"/>
    <col min="13830" max="13831" width="9.28515625" style="356" bestFit="1" customWidth="1"/>
    <col min="13832" max="13832" width="10.7109375" style="356" bestFit="1" customWidth="1"/>
    <col min="13833" max="13833" width="9.42578125" style="356" bestFit="1" customWidth="1"/>
    <col min="13834" max="14080" width="9.140625" style="356"/>
    <col min="14081" max="14081" width="6.28515625" style="356" customWidth="1"/>
    <col min="14082" max="14082" width="9.28515625" style="356" bestFit="1" customWidth="1"/>
    <col min="14083" max="14083" width="25.140625" style="356" customWidth="1"/>
    <col min="14084" max="14084" width="8.5703125" style="356" customWidth="1"/>
    <col min="14085" max="14085" width="10.140625" style="356" bestFit="1" customWidth="1"/>
    <col min="14086" max="14087" width="9.28515625" style="356" bestFit="1" customWidth="1"/>
    <col min="14088" max="14088" width="10.7109375" style="356" bestFit="1" customWidth="1"/>
    <col min="14089" max="14089" width="9.42578125" style="356" bestFit="1" customWidth="1"/>
    <col min="14090" max="14336" width="9.140625" style="356"/>
    <col min="14337" max="14337" width="6.28515625" style="356" customWidth="1"/>
    <col min="14338" max="14338" width="9.28515625" style="356" bestFit="1" customWidth="1"/>
    <col min="14339" max="14339" width="25.140625" style="356" customWidth="1"/>
    <col min="14340" max="14340" width="8.5703125" style="356" customWidth="1"/>
    <col min="14341" max="14341" width="10.140625" style="356" bestFit="1" customWidth="1"/>
    <col min="14342" max="14343" width="9.28515625" style="356" bestFit="1" customWidth="1"/>
    <col min="14344" max="14344" width="10.7109375" style="356" bestFit="1" customWidth="1"/>
    <col min="14345" max="14345" width="9.42578125" style="356" bestFit="1" customWidth="1"/>
    <col min="14346" max="14592" width="9.140625" style="356"/>
    <col min="14593" max="14593" width="6.28515625" style="356" customWidth="1"/>
    <col min="14594" max="14594" width="9.28515625" style="356" bestFit="1" customWidth="1"/>
    <col min="14595" max="14595" width="25.140625" style="356" customWidth="1"/>
    <col min="14596" max="14596" width="8.5703125" style="356" customWidth="1"/>
    <col min="14597" max="14597" width="10.140625" style="356" bestFit="1" customWidth="1"/>
    <col min="14598" max="14599" width="9.28515625" style="356" bestFit="1" customWidth="1"/>
    <col min="14600" max="14600" width="10.7109375" style="356" bestFit="1" customWidth="1"/>
    <col min="14601" max="14601" width="9.42578125" style="356" bestFit="1" customWidth="1"/>
    <col min="14602" max="14848" width="9.140625" style="356"/>
    <col min="14849" max="14849" width="6.28515625" style="356" customWidth="1"/>
    <col min="14850" max="14850" width="9.28515625" style="356" bestFit="1" customWidth="1"/>
    <col min="14851" max="14851" width="25.140625" style="356" customWidth="1"/>
    <col min="14852" max="14852" width="8.5703125" style="356" customWidth="1"/>
    <col min="14853" max="14853" width="10.140625" style="356" bestFit="1" customWidth="1"/>
    <col min="14854" max="14855" width="9.28515625" style="356" bestFit="1" customWidth="1"/>
    <col min="14856" max="14856" width="10.7109375" style="356" bestFit="1" customWidth="1"/>
    <col min="14857" max="14857" width="9.42578125" style="356" bestFit="1" customWidth="1"/>
    <col min="14858" max="15104" width="9.140625" style="356"/>
    <col min="15105" max="15105" width="6.28515625" style="356" customWidth="1"/>
    <col min="15106" max="15106" width="9.28515625" style="356" bestFit="1" customWidth="1"/>
    <col min="15107" max="15107" width="25.140625" style="356" customWidth="1"/>
    <col min="15108" max="15108" width="8.5703125" style="356" customWidth="1"/>
    <col min="15109" max="15109" width="10.140625" style="356" bestFit="1" customWidth="1"/>
    <col min="15110" max="15111" width="9.28515625" style="356" bestFit="1" customWidth="1"/>
    <col min="15112" max="15112" width="10.7109375" style="356" bestFit="1" customWidth="1"/>
    <col min="15113" max="15113" width="9.42578125" style="356" bestFit="1" customWidth="1"/>
    <col min="15114" max="15360" width="9.140625" style="356"/>
    <col min="15361" max="15361" width="6.28515625" style="356" customWidth="1"/>
    <col min="15362" max="15362" width="9.28515625" style="356" bestFit="1" customWidth="1"/>
    <col min="15363" max="15363" width="25.140625" style="356" customWidth="1"/>
    <col min="15364" max="15364" width="8.5703125" style="356" customWidth="1"/>
    <col min="15365" max="15365" width="10.140625" style="356" bestFit="1" customWidth="1"/>
    <col min="15366" max="15367" width="9.28515625" style="356" bestFit="1" customWidth="1"/>
    <col min="15368" max="15368" width="10.7109375" style="356" bestFit="1" customWidth="1"/>
    <col min="15369" max="15369" width="9.42578125" style="356" bestFit="1" customWidth="1"/>
    <col min="15370" max="15616" width="9.140625" style="356"/>
    <col min="15617" max="15617" width="6.28515625" style="356" customWidth="1"/>
    <col min="15618" max="15618" width="9.28515625" style="356" bestFit="1" customWidth="1"/>
    <col min="15619" max="15619" width="25.140625" style="356" customWidth="1"/>
    <col min="15620" max="15620" width="8.5703125" style="356" customWidth="1"/>
    <col min="15621" max="15621" width="10.140625" style="356" bestFit="1" customWidth="1"/>
    <col min="15622" max="15623" width="9.28515625" style="356" bestFit="1" customWidth="1"/>
    <col min="15624" max="15624" width="10.7109375" style="356" bestFit="1" customWidth="1"/>
    <col min="15625" max="15625" width="9.42578125" style="356" bestFit="1" customWidth="1"/>
    <col min="15626" max="15872" width="9.140625" style="356"/>
    <col min="15873" max="15873" width="6.28515625" style="356" customWidth="1"/>
    <col min="15874" max="15874" width="9.28515625" style="356" bestFit="1" customWidth="1"/>
    <col min="15875" max="15875" width="25.140625" style="356" customWidth="1"/>
    <col min="15876" max="15876" width="8.5703125" style="356" customWidth="1"/>
    <col min="15877" max="15877" width="10.140625" style="356" bestFit="1" customWidth="1"/>
    <col min="15878" max="15879" width="9.28515625" style="356" bestFit="1" customWidth="1"/>
    <col min="15880" max="15880" width="10.7109375" style="356" bestFit="1" customWidth="1"/>
    <col min="15881" max="15881" width="9.42578125" style="356" bestFit="1" customWidth="1"/>
    <col min="15882" max="16128" width="9.140625" style="356"/>
    <col min="16129" max="16129" width="6.28515625" style="356" customWidth="1"/>
    <col min="16130" max="16130" width="9.28515625" style="356" bestFit="1" customWidth="1"/>
    <col min="16131" max="16131" width="25.140625" style="356" customWidth="1"/>
    <col min="16132" max="16132" width="8.5703125" style="356" customWidth="1"/>
    <col min="16133" max="16133" width="10.140625" style="356" bestFit="1" customWidth="1"/>
    <col min="16134" max="16135" width="9.28515625" style="356" bestFit="1" customWidth="1"/>
    <col min="16136" max="16136" width="10.7109375" style="356" bestFit="1" customWidth="1"/>
    <col min="16137" max="16137" width="9.42578125" style="356" bestFit="1" customWidth="1"/>
    <col min="16138" max="16384" width="9.140625" style="356"/>
  </cols>
  <sheetData>
    <row r="1" spans="1:11" s="300" customFormat="1" ht="21" customHeight="1" x14ac:dyDescent="0.2">
      <c r="A1" s="752" t="s">
        <v>622</v>
      </c>
      <c r="B1" s="752"/>
      <c r="C1" s="752"/>
      <c r="D1" s="752"/>
      <c r="E1" s="752"/>
      <c r="F1" s="752"/>
      <c r="G1" s="752"/>
      <c r="H1" s="752"/>
      <c r="I1" s="296"/>
      <c r="J1" s="296"/>
    </row>
    <row r="2" spans="1:11" s="300" customFormat="1" ht="21" customHeight="1" x14ac:dyDescent="0.2">
      <c r="A2" s="752" t="s">
        <v>583</v>
      </c>
      <c r="B2" s="752"/>
      <c r="C2" s="752"/>
      <c r="D2" s="752"/>
      <c r="E2" s="752"/>
      <c r="F2" s="752"/>
      <c r="G2" s="752"/>
      <c r="H2" s="752"/>
      <c r="I2" s="296"/>
      <c r="J2" s="296"/>
    </row>
    <row r="3" spans="1:11" s="280" customFormat="1" ht="24" customHeight="1" x14ac:dyDescent="0.2">
      <c r="B3" s="752" t="s">
        <v>50</v>
      </c>
      <c r="C3" s="752"/>
      <c r="D3" s="752"/>
      <c r="E3" s="301">
        <f>H52/1000</f>
        <v>0</v>
      </c>
      <c r="F3" s="752" t="s">
        <v>51</v>
      </c>
      <c r="G3" s="752"/>
      <c r="H3" s="752"/>
    </row>
    <row r="4" spans="1:11" s="280" customFormat="1" ht="24.75" customHeight="1" x14ac:dyDescent="0.2">
      <c r="B4" s="752" t="s">
        <v>424</v>
      </c>
      <c r="C4" s="752"/>
      <c r="D4" s="752"/>
      <c r="E4" s="301">
        <f>H45*0.001</f>
        <v>0</v>
      </c>
      <c r="F4" s="752" t="s">
        <v>51</v>
      </c>
      <c r="G4" s="752"/>
      <c r="H4" s="752"/>
    </row>
    <row r="5" spans="1:11" s="280" customFormat="1" ht="23.25" customHeight="1" x14ac:dyDescent="0.2">
      <c r="B5" s="752" t="s">
        <v>425</v>
      </c>
      <c r="C5" s="752"/>
      <c r="D5" s="752"/>
      <c r="E5" s="302">
        <f>E4*1000/6</f>
        <v>0</v>
      </c>
      <c r="F5" s="752" t="s">
        <v>0</v>
      </c>
      <c r="G5" s="752"/>
      <c r="H5" s="752"/>
    </row>
    <row r="6" spans="1:11" s="300" customFormat="1" ht="21.75" customHeight="1" thickBot="1" x14ac:dyDescent="0.25">
      <c r="A6" s="753"/>
      <c r="B6" s="753"/>
      <c r="C6" s="753"/>
      <c r="D6" s="753"/>
      <c r="E6" s="753"/>
      <c r="F6" s="753"/>
      <c r="G6" s="753"/>
      <c r="H6" s="753"/>
      <c r="I6" s="296"/>
      <c r="J6" s="296"/>
    </row>
    <row r="7" spans="1:11" s="300" customFormat="1" ht="28.5" customHeight="1" x14ac:dyDescent="0.2">
      <c r="A7" s="754" t="s">
        <v>39</v>
      </c>
      <c r="B7" s="756" t="s">
        <v>40</v>
      </c>
      <c r="C7" s="758" t="s">
        <v>426</v>
      </c>
      <c r="D7" s="760" t="s">
        <v>53</v>
      </c>
      <c r="E7" s="762" t="s">
        <v>54</v>
      </c>
      <c r="F7" s="763"/>
      <c r="G7" s="762" t="s">
        <v>427</v>
      </c>
      <c r="H7" s="764"/>
      <c r="I7" s="91"/>
      <c r="J7" s="91"/>
    </row>
    <row r="8" spans="1:11" s="300" customFormat="1" ht="81" customHeight="1" x14ac:dyDescent="0.2">
      <c r="A8" s="755"/>
      <c r="B8" s="757"/>
      <c r="C8" s="759"/>
      <c r="D8" s="761"/>
      <c r="E8" s="10" t="s">
        <v>428</v>
      </c>
      <c r="F8" s="10" t="s">
        <v>429</v>
      </c>
      <c r="G8" s="10" t="s">
        <v>428</v>
      </c>
      <c r="H8" s="303" t="s">
        <v>429</v>
      </c>
      <c r="I8" s="304"/>
      <c r="J8" s="99"/>
    </row>
    <row r="9" spans="1:11" s="300" customFormat="1" ht="20.25" customHeight="1" thickBot="1" x14ac:dyDescent="0.25">
      <c r="A9" s="305" t="s">
        <v>430</v>
      </c>
      <c r="B9" s="306">
        <v>2</v>
      </c>
      <c r="C9" s="307">
        <v>3</v>
      </c>
      <c r="D9" s="307">
        <v>4</v>
      </c>
      <c r="E9" s="307">
        <v>5</v>
      </c>
      <c r="F9" s="307">
        <v>6</v>
      </c>
      <c r="G9" s="307">
        <v>7</v>
      </c>
      <c r="H9" s="308">
        <v>8</v>
      </c>
      <c r="I9" s="99"/>
      <c r="J9" s="99"/>
    </row>
    <row r="10" spans="1:11" s="300" customFormat="1" ht="35.25" customHeight="1" thickTop="1" thickBot="1" x14ac:dyDescent="0.25">
      <c r="A10" s="309"/>
      <c r="B10" s="310"/>
      <c r="C10" s="311" t="s">
        <v>431</v>
      </c>
      <c r="D10" s="13"/>
      <c r="E10" s="13"/>
      <c r="F10" s="13"/>
      <c r="G10" s="13"/>
      <c r="H10" s="312"/>
      <c r="I10" s="99"/>
      <c r="J10" s="99"/>
    </row>
    <row r="11" spans="1:11" s="300" customFormat="1" ht="74.25" customHeight="1" x14ac:dyDescent="0.2">
      <c r="A11" s="313" t="s">
        <v>430</v>
      </c>
      <c r="B11" s="14" t="s">
        <v>432</v>
      </c>
      <c r="C11" s="5" t="s">
        <v>550</v>
      </c>
      <c r="D11" s="14" t="s">
        <v>433</v>
      </c>
      <c r="E11" s="14"/>
      <c r="F11" s="314">
        <f>(977*3*0.1)</f>
        <v>293</v>
      </c>
      <c r="G11" s="315"/>
      <c r="H11" s="316">
        <f>SUM(H12)</f>
        <v>0</v>
      </c>
      <c r="I11" s="114"/>
      <c r="J11" s="99"/>
    </row>
    <row r="12" spans="1:11" s="300" customFormat="1" ht="26.25" customHeight="1" thickBot="1" x14ac:dyDescent="0.25">
      <c r="A12" s="413"/>
      <c r="B12" s="414"/>
      <c r="C12" s="190" t="s">
        <v>434</v>
      </c>
      <c r="D12" s="190" t="s">
        <v>33</v>
      </c>
      <c r="E12" s="382">
        <f>(22.4)*0.001</f>
        <v>2.24E-2</v>
      </c>
      <c r="F12" s="43">
        <f>E12*F11</f>
        <v>6.56</v>
      </c>
      <c r="G12" s="414"/>
      <c r="H12" s="415">
        <f>G12*F12</f>
        <v>0</v>
      </c>
      <c r="I12" s="286"/>
      <c r="J12" s="99"/>
      <c r="K12" s="317"/>
    </row>
    <row r="13" spans="1:11" s="296" customFormat="1" ht="37.5" customHeight="1" x14ac:dyDescent="0.2">
      <c r="A13" s="318">
        <f>A11+1</f>
        <v>2</v>
      </c>
      <c r="B13" s="14" t="s">
        <v>435</v>
      </c>
      <c r="C13" s="277" t="s">
        <v>436</v>
      </c>
      <c r="D13" s="14" t="s">
        <v>437</v>
      </c>
      <c r="E13" s="14"/>
      <c r="F13" s="314">
        <f>450*3.8</f>
        <v>1710</v>
      </c>
      <c r="G13" s="14"/>
      <c r="H13" s="316">
        <f>SUM(H14:H15)</f>
        <v>0</v>
      </c>
      <c r="I13" s="286"/>
      <c r="J13" s="99"/>
    </row>
    <row r="14" spans="1:11" s="296" customFormat="1" ht="22.5" customHeight="1" x14ac:dyDescent="0.2">
      <c r="A14" s="413"/>
      <c r="B14" s="416"/>
      <c r="C14" s="190" t="s">
        <v>438</v>
      </c>
      <c r="D14" s="190" t="s">
        <v>35</v>
      </c>
      <c r="E14" s="382">
        <f>0.35*0.001</f>
        <v>4.0000000000000002E-4</v>
      </c>
      <c r="F14" s="43">
        <f>F13*E14</f>
        <v>0.68</v>
      </c>
      <c r="G14" s="190"/>
      <c r="H14" s="417">
        <f>G14*F14</f>
        <v>0</v>
      </c>
      <c r="I14" s="286"/>
      <c r="J14" s="99"/>
      <c r="K14" s="319"/>
    </row>
    <row r="15" spans="1:11" s="296" customFormat="1" ht="22.5" customHeight="1" x14ac:dyDescent="0.2">
      <c r="A15" s="413"/>
      <c r="B15" s="416"/>
      <c r="C15" s="190" t="s">
        <v>434</v>
      </c>
      <c r="D15" s="190" t="s">
        <v>35</v>
      </c>
      <c r="E15" s="382">
        <f>0.55*0.001</f>
        <v>5.9999999999999995E-4</v>
      </c>
      <c r="F15" s="43">
        <f>F13*E15</f>
        <v>1.03</v>
      </c>
      <c r="G15" s="190"/>
      <c r="H15" s="417">
        <f>G15*F15</f>
        <v>0</v>
      </c>
      <c r="I15" s="286"/>
      <c r="J15" s="99"/>
      <c r="K15" s="319"/>
    </row>
    <row r="16" spans="1:11" s="300" customFormat="1" ht="46.5" customHeight="1" x14ac:dyDescent="0.2">
      <c r="A16" s="320"/>
      <c r="B16" s="321"/>
      <c r="C16" s="311" t="s">
        <v>439</v>
      </c>
      <c r="D16" s="277"/>
      <c r="E16" s="2"/>
      <c r="F16" s="2"/>
      <c r="G16" s="277"/>
      <c r="H16" s="11"/>
      <c r="I16" s="286"/>
    </row>
    <row r="17" spans="1:11" s="296" customFormat="1" ht="84.75" customHeight="1" x14ac:dyDescent="0.2">
      <c r="A17" s="322">
        <v>3</v>
      </c>
      <c r="B17" s="22" t="s">
        <v>443</v>
      </c>
      <c r="C17" s="16" t="s">
        <v>444</v>
      </c>
      <c r="D17" s="323" t="s">
        <v>437</v>
      </c>
      <c r="E17" s="22"/>
      <c r="F17" s="324">
        <v>198</v>
      </c>
      <c r="G17" s="22"/>
      <c r="H17" s="325">
        <f>SUM(H18:H23)</f>
        <v>0</v>
      </c>
      <c r="I17" s="286"/>
      <c r="J17" s="99"/>
    </row>
    <row r="18" spans="1:11" s="296" customFormat="1" ht="20.25" customHeight="1" x14ac:dyDescent="0.2">
      <c r="A18" s="413"/>
      <c r="B18" s="418"/>
      <c r="C18" s="383" t="s">
        <v>34</v>
      </c>
      <c r="D18" s="383" t="s">
        <v>35</v>
      </c>
      <c r="E18" s="442">
        <f>37.3*0.001</f>
        <v>3.73E-2</v>
      </c>
      <c r="F18" s="443">
        <f>F17*E18</f>
        <v>7.39</v>
      </c>
      <c r="G18" s="383"/>
      <c r="H18" s="444">
        <f>G18*F18</f>
        <v>0</v>
      </c>
      <c r="I18" s="286"/>
      <c r="J18" s="99"/>
    </row>
    <row r="19" spans="1:11" s="296" customFormat="1" ht="27.75" customHeight="1" x14ac:dyDescent="0.2">
      <c r="A19" s="413"/>
      <c r="B19" s="418"/>
      <c r="C19" s="190" t="s">
        <v>440</v>
      </c>
      <c r="D19" s="96" t="s">
        <v>33</v>
      </c>
      <c r="E19" s="382">
        <f>2.37*0.001</f>
        <v>2.3999999999999998E-3</v>
      </c>
      <c r="F19" s="43">
        <f>F17*E19</f>
        <v>0.48</v>
      </c>
      <c r="G19" s="190"/>
      <c r="H19" s="415">
        <f>G19*F19</f>
        <v>0</v>
      </c>
      <c r="I19" s="286"/>
      <c r="J19" s="99"/>
    </row>
    <row r="20" spans="1:11" s="296" customFormat="1" ht="56.25" customHeight="1" x14ac:dyDescent="0.2">
      <c r="A20" s="413"/>
      <c r="B20" s="418"/>
      <c r="C20" s="190" t="s">
        <v>441</v>
      </c>
      <c r="D20" s="96" t="s">
        <v>33</v>
      </c>
      <c r="E20" s="419">
        <f>4.09*0.001</f>
        <v>4.0899999999999999E-3</v>
      </c>
      <c r="F20" s="77">
        <f>F17*E20</f>
        <v>0.81</v>
      </c>
      <c r="G20" s="190"/>
      <c r="H20" s="415">
        <f>G20*F20</f>
        <v>0</v>
      </c>
      <c r="I20" s="286"/>
      <c r="J20" s="99"/>
    </row>
    <row r="21" spans="1:11" s="296" customFormat="1" ht="28.5" customHeight="1" x14ac:dyDescent="0.2">
      <c r="A21" s="413"/>
      <c r="B21" s="416"/>
      <c r="C21" s="190" t="s">
        <v>442</v>
      </c>
      <c r="D21" s="96" t="s">
        <v>36</v>
      </c>
      <c r="E21" s="419">
        <f>1.12*0.001</f>
        <v>1.1199999999999999E-3</v>
      </c>
      <c r="F21" s="43">
        <f>F17*E21</f>
        <v>0.22</v>
      </c>
      <c r="G21" s="43"/>
      <c r="H21" s="38">
        <f>G21*F21</f>
        <v>0</v>
      </c>
      <c r="I21" s="286"/>
      <c r="J21" s="99"/>
    </row>
    <row r="22" spans="1:11" s="296" customFormat="1" ht="36.75" customHeight="1" thickBot="1" x14ac:dyDescent="0.25">
      <c r="A22" s="420"/>
      <c r="B22" s="421"/>
      <c r="C22" s="405" t="s">
        <v>585</v>
      </c>
      <c r="D22" s="96" t="s">
        <v>3</v>
      </c>
      <c r="E22" s="404">
        <f>124*0.001+12.4*5*0.001</f>
        <v>0.186</v>
      </c>
      <c r="F22" s="43">
        <f>F17*E22</f>
        <v>36.83</v>
      </c>
      <c r="G22" s="422"/>
      <c r="H22" s="38">
        <f>F22*G22</f>
        <v>0</v>
      </c>
      <c r="I22" s="286"/>
      <c r="J22" s="99"/>
      <c r="K22" s="319"/>
    </row>
    <row r="23" spans="1:11" s="296" customFormat="1" ht="36.75" customHeight="1" x14ac:dyDescent="0.2">
      <c r="A23" s="423"/>
      <c r="B23" s="424"/>
      <c r="C23" s="405" t="s">
        <v>7</v>
      </c>
      <c r="D23" s="96" t="s">
        <v>36</v>
      </c>
      <c r="E23" s="382">
        <f>11*0.001</f>
        <v>1.0999999999999999E-2</v>
      </c>
      <c r="F23" s="43">
        <f>F17*E23</f>
        <v>2.1800000000000002</v>
      </c>
      <c r="G23" s="190"/>
      <c r="H23" s="38">
        <f>F23*G23</f>
        <v>0</v>
      </c>
      <c r="I23" s="286"/>
      <c r="J23" s="99"/>
    </row>
    <row r="24" spans="1:11" s="300" customFormat="1" ht="63.75" customHeight="1" x14ac:dyDescent="0.2">
      <c r="A24" s="1">
        <f>A17+1</f>
        <v>4</v>
      </c>
      <c r="B24" s="326" t="s">
        <v>445</v>
      </c>
      <c r="C24" s="327" t="s">
        <v>446</v>
      </c>
      <c r="D24" s="277" t="s">
        <v>4</v>
      </c>
      <c r="E24" s="277"/>
      <c r="F24" s="1">
        <v>198</v>
      </c>
      <c r="G24" s="277"/>
      <c r="H24" s="328">
        <f>SUM(H25:H31)</f>
        <v>0</v>
      </c>
      <c r="I24" s="286"/>
    </row>
    <row r="25" spans="1:11" s="300" customFormat="1" ht="37.5" customHeight="1" x14ac:dyDescent="0.2">
      <c r="A25" s="129">
        <f t="shared" ref="A25:A43" si="0">A24+0.1</f>
        <v>4.0999999999999996</v>
      </c>
      <c r="B25" s="275" t="s">
        <v>91</v>
      </c>
      <c r="C25" s="276" t="s">
        <v>447</v>
      </c>
      <c r="D25" s="276" t="s">
        <v>0</v>
      </c>
      <c r="E25" s="276">
        <v>0.38179999999999997</v>
      </c>
      <c r="F25" s="436">
        <f t="shared" ref="F25:F31" si="1">ტტტგტჰყყუჰჯ478568*E25</f>
        <v>75.599999999999994</v>
      </c>
      <c r="G25" s="276"/>
      <c r="H25" s="437">
        <f t="shared" ref="H25:H31" si="2">F25*G25</f>
        <v>0</v>
      </c>
      <c r="I25" s="286"/>
    </row>
    <row r="26" spans="1:11" s="300" customFormat="1" ht="25.5" customHeight="1" x14ac:dyDescent="0.2">
      <c r="A26" s="129">
        <f t="shared" si="0"/>
        <v>4.2</v>
      </c>
      <c r="B26" s="275" t="s">
        <v>448</v>
      </c>
      <c r="C26" s="275" t="s">
        <v>449</v>
      </c>
      <c r="D26" s="275" t="s">
        <v>48</v>
      </c>
      <c r="E26" s="275">
        <v>2.2599999999999999E-3</v>
      </c>
      <c r="F26" s="129">
        <f t="shared" si="1"/>
        <v>0.4</v>
      </c>
      <c r="G26" s="43"/>
      <c r="H26" s="123">
        <f t="shared" si="2"/>
        <v>0</v>
      </c>
      <c r="I26" s="286"/>
    </row>
    <row r="27" spans="1:11" s="300" customFormat="1" ht="27.75" customHeight="1" x14ac:dyDescent="0.2">
      <c r="A27" s="129">
        <f t="shared" si="0"/>
        <v>4.3</v>
      </c>
      <c r="B27" s="275" t="s">
        <v>91</v>
      </c>
      <c r="C27" s="275" t="s">
        <v>450</v>
      </c>
      <c r="D27" s="275" t="s">
        <v>6</v>
      </c>
      <c r="E27" s="425">
        <f>0.0135-5*0.0001</f>
        <v>1.2999999999999999E-2</v>
      </c>
      <c r="F27" s="129">
        <f t="shared" si="1"/>
        <v>2.6</v>
      </c>
      <c r="G27" s="275"/>
      <c r="H27" s="123">
        <f t="shared" si="2"/>
        <v>0</v>
      </c>
      <c r="I27" s="286"/>
    </row>
    <row r="28" spans="1:11" s="300" customFormat="1" ht="29.25" customHeight="1" x14ac:dyDescent="0.2">
      <c r="A28" s="129">
        <f t="shared" si="0"/>
        <v>4.4000000000000004</v>
      </c>
      <c r="B28" s="275" t="s">
        <v>451</v>
      </c>
      <c r="C28" s="275" t="s">
        <v>452</v>
      </c>
      <c r="D28" s="275" t="s">
        <v>3</v>
      </c>
      <c r="E28" s="426">
        <f>0.204-(6*0.0102)</f>
        <v>0.14299999999999999</v>
      </c>
      <c r="F28" s="129">
        <f t="shared" si="1"/>
        <v>28.3</v>
      </c>
      <c r="G28" s="427"/>
      <c r="H28" s="123">
        <f t="shared" si="2"/>
        <v>0</v>
      </c>
      <c r="I28" s="286"/>
    </row>
    <row r="29" spans="1:11" s="300" customFormat="1" ht="30" customHeight="1" x14ac:dyDescent="0.2">
      <c r="A29" s="129">
        <f t="shared" si="0"/>
        <v>4.5</v>
      </c>
      <c r="B29" s="275" t="s">
        <v>453</v>
      </c>
      <c r="C29" s="275" t="s">
        <v>454</v>
      </c>
      <c r="D29" s="275" t="s">
        <v>4</v>
      </c>
      <c r="E29" s="428">
        <f>0.0117-(5*0.00059)</f>
        <v>8.7500000000000008E-3</v>
      </c>
      <c r="F29" s="129">
        <f t="shared" si="1"/>
        <v>1.7</v>
      </c>
      <c r="G29" s="275"/>
      <c r="H29" s="123">
        <f t="shared" si="2"/>
        <v>0</v>
      </c>
      <c r="I29" s="286"/>
    </row>
    <row r="30" spans="1:11" s="300" customFormat="1" ht="26.25" customHeight="1" x14ac:dyDescent="0.2">
      <c r="A30" s="129">
        <f t="shared" si="0"/>
        <v>4.5999999999999996</v>
      </c>
      <c r="B30" s="429" t="s">
        <v>37</v>
      </c>
      <c r="C30" s="275" t="s">
        <v>7</v>
      </c>
      <c r="D30" s="275" t="s">
        <v>3</v>
      </c>
      <c r="E30" s="425">
        <v>0.17799999999999999</v>
      </c>
      <c r="F30" s="129">
        <f t="shared" si="1"/>
        <v>35.200000000000003</v>
      </c>
      <c r="G30" s="275"/>
      <c r="H30" s="123">
        <f t="shared" si="2"/>
        <v>0</v>
      </c>
      <c r="I30" s="286"/>
    </row>
    <row r="31" spans="1:11" s="300" customFormat="1" ht="26.25" customHeight="1" x14ac:dyDescent="0.2">
      <c r="A31" s="129">
        <f t="shared" si="0"/>
        <v>4.7</v>
      </c>
      <c r="B31" s="275" t="s">
        <v>91</v>
      </c>
      <c r="C31" s="275" t="s">
        <v>455</v>
      </c>
      <c r="D31" s="275" t="s">
        <v>6</v>
      </c>
      <c r="E31" s="425">
        <f>0.0064-0.00019*5</f>
        <v>5.4999999999999997E-3</v>
      </c>
      <c r="F31" s="129">
        <f t="shared" si="1"/>
        <v>1.1000000000000001</v>
      </c>
      <c r="G31" s="275"/>
      <c r="H31" s="123">
        <f t="shared" si="2"/>
        <v>0</v>
      </c>
      <c r="I31" s="286"/>
    </row>
    <row r="32" spans="1:11" s="300" customFormat="1" ht="49.5" customHeight="1" x14ac:dyDescent="0.2">
      <c r="A32" s="1">
        <v>6</v>
      </c>
      <c r="B32" s="326" t="s">
        <v>456</v>
      </c>
      <c r="C32" s="277" t="s">
        <v>457</v>
      </c>
      <c r="D32" s="277" t="s">
        <v>586</v>
      </c>
      <c r="E32" s="277"/>
      <c r="F32" s="6">
        <v>198</v>
      </c>
      <c r="G32" s="277"/>
      <c r="H32" s="331">
        <f>SUM(H33:H34)</f>
        <v>0</v>
      </c>
      <c r="I32" s="286"/>
    </row>
    <row r="33" spans="1:9" s="300" customFormat="1" ht="27.75" customHeight="1" x14ac:dyDescent="0.2">
      <c r="A33" s="129">
        <f t="shared" si="0"/>
        <v>6.1</v>
      </c>
      <c r="B33" s="275" t="s">
        <v>91</v>
      </c>
      <c r="C33" s="276" t="s">
        <v>458</v>
      </c>
      <c r="D33" s="276" t="s">
        <v>0</v>
      </c>
      <c r="E33" s="276">
        <v>1.17E-2</v>
      </c>
      <c r="F33" s="441">
        <f>F32*E33</f>
        <v>2.3170000000000002</v>
      </c>
      <c r="G33" s="276"/>
      <c r="H33" s="437">
        <f>F33*G33</f>
        <v>0</v>
      </c>
      <c r="I33" s="286"/>
    </row>
    <row r="34" spans="1:9" s="300" customFormat="1" ht="34.5" customHeight="1" x14ac:dyDescent="0.2">
      <c r="A34" s="129">
        <f t="shared" si="0"/>
        <v>6.2</v>
      </c>
      <c r="B34" s="429" t="s">
        <v>37</v>
      </c>
      <c r="C34" s="275" t="s">
        <v>587</v>
      </c>
      <c r="D34" s="275" t="s">
        <v>459</v>
      </c>
      <c r="E34" s="275">
        <v>2E-3</v>
      </c>
      <c r="F34" s="426">
        <f>F32*E34</f>
        <v>0.39600000000000002</v>
      </c>
      <c r="G34" s="275"/>
      <c r="H34" s="123">
        <f>F34*G34</f>
        <v>0</v>
      </c>
      <c r="I34" s="286"/>
    </row>
    <row r="35" spans="1:9" s="300" customFormat="1" ht="63" customHeight="1" x14ac:dyDescent="0.2">
      <c r="A35" s="1">
        <f>A32+1</f>
        <v>7</v>
      </c>
      <c r="B35" s="326" t="s">
        <v>461</v>
      </c>
      <c r="C35" s="327" t="s">
        <v>462</v>
      </c>
      <c r="D35" s="277" t="s">
        <v>463</v>
      </c>
      <c r="E35" s="277"/>
      <c r="F35" s="1">
        <v>18</v>
      </c>
      <c r="G35" s="277"/>
      <c r="H35" s="328">
        <f>SUM(H36:H43)</f>
        <v>0</v>
      </c>
      <c r="I35" s="286"/>
    </row>
    <row r="36" spans="1:9" s="300" customFormat="1" ht="33" customHeight="1" x14ac:dyDescent="0.2">
      <c r="A36" s="129">
        <f t="shared" si="0"/>
        <v>7.1</v>
      </c>
      <c r="B36" s="275" t="s">
        <v>91</v>
      </c>
      <c r="C36" s="276" t="s">
        <v>458</v>
      </c>
      <c r="D36" s="276" t="s">
        <v>0</v>
      </c>
      <c r="E36" s="276">
        <v>7.6999999999999999E-2</v>
      </c>
      <c r="F36" s="436">
        <f>E36*F35</f>
        <v>1.4</v>
      </c>
      <c r="G36" s="276"/>
      <c r="H36" s="437">
        <f t="shared" ref="H36:H43" si="3">F36*G36</f>
        <v>0</v>
      </c>
      <c r="I36" s="286"/>
    </row>
    <row r="37" spans="1:9" s="300" customFormat="1" ht="30" customHeight="1" x14ac:dyDescent="0.2">
      <c r="A37" s="129">
        <f t="shared" si="0"/>
        <v>7.2</v>
      </c>
      <c r="B37" s="275" t="s">
        <v>91</v>
      </c>
      <c r="C37" s="448" t="s">
        <v>464</v>
      </c>
      <c r="D37" s="448" t="s">
        <v>6</v>
      </c>
      <c r="E37" s="449">
        <v>6.3700000000000007E-2</v>
      </c>
      <c r="F37" s="450">
        <f>E37*F35</f>
        <v>1.1000000000000001</v>
      </c>
      <c r="G37" s="448"/>
      <c r="H37" s="451">
        <f t="shared" si="3"/>
        <v>0</v>
      </c>
      <c r="I37" s="286"/>
    </row>
    <row r="38" spans="1:9" s="300" customFormat="1" ht="27" customHeight="1" x14ac:dyDescent="0.2">
      <c r="A38" s="129">
        <f t="shared" si="0"/>
        <v>7.3</v>
      </c>
      <c r="B38" s="275" t="s">
        <v>37</v>
      </c>
      <c r="C38" s="430" t="s">
        <v>465</v>
      </c>
      <c r="D38" s="275" t="s">
        <v>48</v>
      </c>
      <c r="E38" s="275">
        <v>0.19400000000000001</v>
      </c>
      <c r="F38" s="129">
        <f>E38*F35</f>
        <v>3.5</v>
      </c>
      <c r="G38" s="275"/>
      <c r="H38" s="123">
        <f t="shared" si="3"/>
        <v>0</v>
      </c>
      <c r="I38" s="286"/>
    </row>
    <row r="39" spans="1:9" s="300" customFormat="1" ht="27" customHeight="1" x14ac:dyDescent="0.2">
      <c r="A39" s="129">
        <f t="shared" si="0"/>
        <v>7.4</v>
      </c>
      <c r="B39" s="275" t="s">
        <v>448</v>
      </c>
      <c r="C39" s="275" t="s">
        <v>449</v>
      </c>
      <c r="D39" s="275" t="s">
        <v>48</v>
      </c>
      <c r="E39" s="275">
        <v>8.8000000000000005E-3</v>
      </c>
      <c r="F39" s="129">
        <f>E39*F35</f>
        <v>0.2</v>
      </c>
      <c r="G39" s="275"/>
      <c r="H39" s="123">
        <f t="shared" si="3"/>
        <v>0</v>
      </c>
      <c r="I39" s="286"/>
    </row>
    <row r="40" spans="1:9" s="300" customFormat="1" ht="27" customHeight="1" x14ac:dyDescent="0.2">
      <c r="A40" s="129">
        <f t="shared" si="0"/>
        <v>7.5</v>
      </c>
      <c r="B40" s="275" t="s">
        <v>466</v>
      </c>
      <c r="C40" s="275" t="s">
        <v>7</v>
      </c>
      <c r="D40" s="275" t="s">
        <v>3</v>
      </c>
      <c r="E40" s="425">
        <v>1.78E-2</v>
      </c>
      <c r="F40" s="129">
        <f>E40*F35</f>
        <v>0.3</v>
      </c>
      <c r="G40" s="275"/>
      <c r="H40" s="123">
        <f t="shared" si="3"/>
        <v>0</v>
      </c>
      <c r="I40" s="286"/>
    </row>
    <row r="41" spans="1:9" s="300" customFormat="1" ht="27" customHeight="1" x14ac:dyDescent="0.2">
      <c r="A41" s="129">
        <f t="shared" si="0"/>
        <v>7.6</v>
      </c>
      <c r="B41" s="275" t="s">
        <v>37</v>
      </c>
      <c r="C41" s="275" t="s">
        <v>460</v>
      </c>
      <c r="D41" s="275" t="s">
        <v>3</v>
      </c>
      <c r="E41" s="275">
        <v>0.01</v>
      </c>
      <c r="F41" s="129">
        <f>E41*F35</f>
        <v>0.2</v>
      </c>
      <c r="G41" s="275"/>
      <c r="H41" s="123">
        <f t="shared" si="3"/>
        <v>0</v>
      </c>
      <c r="I41" s="286"/>
    </row>
    <row r="42" spans="1:9" s="300" customFormat="1" ht="30" customHeight="1" x14ac:dyDescent="0.2">
      <c r="A42" s="129">
        <f t="shared" si="0"/>
        <v>7.7</v>
      </c>
      <c r="B42" s="275" t="s">
        <v>37</v>
      </c>
      <c r="C42" s="430" t="s">
        <v>584</v>
      </c>
      <c r="D42" s="275" t="s">
        <v>61</v>
      </c>
      <c r="E42" s="275">
        <v>0.7</v>
      </c>
      <c r="F42" s="129">
        <f>E42*F35</f>
        <v>12.6</v>
      </c>
      <c r="G42" s="275"/>
      <c r="H42" s="123">
        <f t="shared" si="3"/>
        <v>0</v>
      </c>
      <c r="I42" s="286"/>
    </row>
    <row r="43" spans="1:9" s="300" customFormat="1" ht="27.75" customHeight="1" x14ac:dyDescent="0.2">
      <c r="A43" s="129">
        <f t="shared" si="0"/>
        <v>7.8</v>
      </c>
      <c r="B43" s="275" t="s">
        <v>91</v>
      </c>
      <c r="C43" s="275" t="s">
        <v>455</v>
      </c>
      <c r="D43" s="275" t="s">
        <v>6</v>
      </c>
      <c r="E43" s="425">
        <v>0.17799999999999999</v>
      </c>
      <c r="F43" s="129">
        <f>E43*F35</f>
        <v>3.2</v>
      </c>
      <c r="G43" s="275"/>
      <c r="H43" s="123">
        <f t="shared" si="3"/>
        <v>0</v>
      </c>
      <c r="I43" s="286"/>
    </row>
    <row r="44" spans="1:9" s="357" customFormat="1" ht="75.75" customHeight="1" x14ac:dyDescent="0.2">
      <c r="B44" s="332"/>
      <c r="C44" s="332" t="s">
        <v>22</v>
      </c>
      <c r="D44" s="332" t="s">
        <v>10</v>
      </c>
      <c r="E44" s="333"/>
      <c r="F44" s="333"/>
      <c r="G44" s="332"/>
      <c r="H44" s="338">
        <f>H35+H32+H24+H17+H13+H11</f>
        <v>0</v>
      </c>
      <c r="I44" s="338"/>
    </row>
    <row r="45" spans="1:9" s="299" customFormat="1" ht="38.25" customHeight="1" x14ac:dyDescent="0.2">
      <c r="A45" s="339"/>
      <c r="B45" s="361"/>
      <c r="C45" s="438" t="s">
        <v>19</v>
      </c>
      <c r="D45" s="438" t="s">
        <v>10</v>
      </c>
      <c r="E45" s="439"/>
      <c r="F45" s="439"/>
      <c r="G45" s="438"/>
      <c r="H45" s="440">
        <f>H36+H33+H25+H18</f>
        <v>0</v>
      </c>
    </row>
    <row r="46" spans="1:9" s="299" customFormat="1" ht="24" customHeight="1" x14ac:dyDescent="0.2">
      <c r="A46" s="361"/>
      <c r="B46" s="361"/>
      <c r="C46" s="445" t="s">
        <v>20</v>
      </c>
      <c r="D46" s="445" t="s">
        <v>10</v>
      </c>
      <c r="E46" s="446"/>
      <c r="F46" s="446"/>
      <c r="G46" s="445"/>
      <c r="H46" s="447"/>
    </row>
    <row r="47" spans="1:9" s="299" customFormat="1" ht="34.5" customHeight="1" x14ac:dyDescent="0.2">
      <c r="A47" s="361"/>
      <c r="B47" s="361"/>
      <c r="C47" s="362" t="s">
        <v>21</v>
      </c>
      <c r="D47" s="362" t="s">
        <v>10</v>
      </c>
      <c r="E47" s="431"/>
      <c r="F47" s="431"/>
      <c r="G47" s="362"/>
      <c r="H47" s="432">
        <f>H44-H45-H46</f>
        <v>0</v>
      </c>
    </row>
    <row r="48" spans="1:9" s="299" customFormat="1" ht="58.5" customHeight="1" x14ac:dyDescent="0.2">
      <c r="A48" s="332"/>
      <c r="B48" s="339"/>
      <c r="C48" s="332" t="s">
        <v>22</v>
      </c>
      <c r="D48" s="332" t="s">
        <v>10</v>
      </c>
      <c r="E48" s="332"/>
      <c r="F48" s="332"/>
      <c r="G48" s="340"/>
      <c r="H48" s="341">
        <f>H47+H46+H45</f>
        <v>0</v>
      </c>
      <c r="I48" s="342"/>
    </row>
    <row r="49" spans="1:11" s="299" customFormat="1" ht="24.75" customHeight="1" x14ac:dyDescent="0.2">
      <c r="A49" s="332"/>
      <c r="B49" s="361"/>
      <c r="C49" s="362" t="s">
        <v>25</v>
      </c>
      <c r="D49" s="433">
        <v>0.08</v>
      </c>
      <c r="E49" s="362"/>
      <c r="F49" s="362"/>
      <c r="G49" s="434"/>
      <c r="H49" s="435">
        <f>H48*0.1</f>
        <v>0</v>
      </c>
      <c r="I49" s="342"/>
    </row>
    <row r="50" spans="1:11" s="299" customFormat="1" ht="19.5" customHeight="1" x14ac:dyDescent="0.2">
      <c r="A50" s="332"/>
      <c r="B50" s="361"/>
      <c r="C50" s="332" t="s">
        <v>11</v>
      </c>
      <c r="D50" s="332" t="s">
        <v>10</v>
      </c>
      <c r="E50" s="332"/>
      <c r="F50" s="332"/>
      <c r="G50" s="340"/>
      <c r="H50" s="341">
        <f>H48+H49</f>
        <v>0</v>
      </c>
      <c r="I50" s="342"/>
    </row>
    <row r="51" spans="1:11" s="299" customFormat="1" ht="25.5" customHeight="1" thickBot="1" x14ac:dyDescent="0.25">
      <c r="A51" s="360"/>
      <c r="B51" s="343"/>
      <c r="C51" s="362" t="s">
        <v>26</v>
      </c>
      <c r="D51" s="433">
        <v>0.06</v>
      </c>
      <c r="E51" s="362"/>
      <c r="F51" s="362"/>
      <c r="G51" s="434"/>
      <c r="H51" s="435">
        <f>H50*0.08</f>
        <v>0</v>
      </c>
      <c r="I51" s="342"/>
    </row>
    <row r="52" spans="1:11" s="299" customFormat="1" ht="21" customHeight="1" thickBot="1" x14ac:dyDescent="0.25">
      <c r="A52" s="344"/>
      <c r="B52" s="345"/>
      <c r="C52" s="332" t="s">
        <v>18</v>
      </c>
      <c r="D52" s="332" t="s">
        <v>10</v>
      </c>
      <c r="E52" s="333"/>
      <c r="F52" s="333"/>
      <c r="G52" s="332"/>
      <c r="H52" s="333">
        <f>H51+H50</f>
        <v>0</v>
      </c>
      <c r="I52" s="342"/>
    </row>
    <row r="53" spans="1:11" s="350" customFormat="1" ht="20.100000000000001" customHeight="1" x14ac:dyDescent="0.2">
      <c r="A53" s="346"/>
      <c r="B53" s="346"/>
      <c r="C53" s="347"/>
      <c r="D53" s="347"/>
      <c r="E53" s="347"/>
      <c r="F53" s="347" t="s">
        <v>484</v>
      </c>
      <c r="G53" s="347"/>
      <c r="H53" s="348"/>
      <c r="I53" s="349"/>
      <c r="J53" s="349"/>
    </row>
    <row r="54" spans="1:11" s="300" customFormat="1" ht="20.25" customHeight="1" x14ac:dyDescent="0.2">
      <c r="A54" s="351"/>
      <c r="B54" s="352"/>
      <c r="C54" s="296"/>
      <c r="D54" s="629"/>
      <c r="E54" s="629"/>
      <c r="F54" s="629"/>
      <c r="G54" s="629"/>
      <c r="H54" s="353"/>
      <c r="I54" s="296"/>
      <c r="J54" s="296"/>
      <c r="K54" s="354"/>
    </row>
    <row r="55" spans="1:11" s="355" customFormat="1" ht="13.5" x14ac:dyDescent="0.2">
      <c r="I55" s="300"/>
      <c r="J55" s="354"/>
      <c r="K55" s="300"/>
    </row>
  </sheetData>
  <mergeCells count="16">
    <mergeCell ref="D54:G54"/>
    <mergeCell ref="B5:D5"/>
    <mergeCell ref="F5:H5"/>
    <mergeCell ref="A6:H6"/>
    <mergeCell ref="A7:A8"/>
    <mergeCell ref="B7:B8"/>
    <mergeCell ref="C7:C8"/>
    <mergeCell ref="D7:D8"/>
    <mergeCell ref="E7:F7"/>
    <mergeCell ref="G7:H7"/>
    <mergeCell ref="A1:H1"/>
    <mergeCell ref="A2:H2"/>
    <mergeCell ref="B3:D3"/>
    <mergeCell ref="F3:H3"/>
    <mergeCell ref="B4:D4"/>
    <mergeCell ref="F4:H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workbookViewId="0">
      <selection activeCell="A22" sqref="A22:C22"/>
    </sheetView>
  </sheetViews>
  <sheetFormatPr defaultRowHeight="12.75" x14ac:dyDescent="0.2"/>
  <cols>
    <col min="1" max="1" width="6.7109375" customWidth="1"/>
    <col min="2" max="2" width="6.85546875" customWidth="1"/>
    <col min="3" max="3" width="32.140625" customWidth="1"/>
    <col min="257" max="257" width="6.7109375" customWidth="1"/>
    <col min="258" max="258" width="6.85546875" customWidth="1"/>
    <col min="259" max="259" width="25.7109375" customWidth="1"/>
    <col min="513" max="513" width="6.7109375" customWidth="1"/>
    <col min="514" max="514" width="6.85546875" customWidth="1"/>
    <col min="515" max="515" width="25.7109375" customWidth="1"/>
    <col min="769" max="769" width="6.7109375" customWidth="1"/>
    <col min="770" max="770" width="6.85546875" customWidth="1"/>
    <col min="771" max="771" width="25.7109375" customWidth="1"/>
    <col min="1025" max="1025" width="6.7109375" customWidth="1"/>
    <col min="1026" max="1026" width="6.85546875" customWidth="1"/>
    <col min="1027" max="1027" width="25.7109375" customWidth="1"/>
    <col min="1281" max="1281" width="6.7109375" customWidth="1"/>
    <col min="1282" max="1282" width="6.85546875" customWidth="1"/>
    <col min="1283" max="1283" width="25.7109375" customWidth="1"/>
    <col min="1537" max="1537" width="6.7109375" customWidth="1"/>
    <col min="1538" max="1538" width="6.85546875" customWidth="1"/>
    <col min="1539" max="1539" width="25.7109375" customWidth="1"/>
    <col min="1793" max="1793" width="6.7109375" customWidth="1"/>
    <col min="1794" max="1794" width="6.85546875" customWidth="1"/>
    <col min="1795" max="1795" width="25.7109375" customWidth="1"/>
    <col min="2049" max="2049" width="6.7109375" customWidth="1"/>
    <col min="2050" max="2050" width="6.85546875" customWidth="1"/>
    <col min="2051" max="2051" width="25.7109375" customWidth="1"/>
    <col min="2305" max="2305" width="6.7109375" customWidth="1"/>
    <col min="2306" max="2306" width="6.85546875" customWidth="1"/>
    <col min="2307" max="2307" width="25.7109375" customWidth="1"/>
    <col min="2561" max="2561" width="6.7109375" customWidth="1"/>
    <col min="2562" max="2562" width="6.85546875" customWidth="1"/>
    <col min="2563" max="2563" width="25.7109375" customWidth="1"/>
    <col min="2817" max="2817" width="6.7109375" customWidth="1"/>
    <col min="2818" max="2818" width="6.85546875" customWidth="1"/>
    <col min="2819" max="2819" width="25.7109375" customWidth="1"/>
    <col min="3073" max="3073" width="6.7109375" customWidth="1"/>
    <col min="3074" max="3074" width="6.85546875" customWidth="1"/>
    <col min="3075" max="3075" width="25.7109375" customWidth="1"/>
    <col min="3329" max="3329" width="6.7109375" customWidth="1"/>
    <col min="3330" max="3330" width="6.85546875" customWidth="1"/>
    <col min="3331" max="3331" width="25.7109375" customWidth="1"/>
    <col min="3585" max="3585" width="6.7109375" customWidth="1"/>
    <col min="3586" max="3586" width="6.85546875" customWidth="1"/>
    <col min="3587" max="3587" width="25.7109375" customWidth="1"/>
    <col min="3841" max="3841" width="6.7109375" customWidth="1"/>
    <col min="3842" max="3842" width="6.85546875" customWidth="1"/>
    <col min="3843" max="3843" width="25.7109375" customWidth="1"/>
    <col min="4097" max="4097" width="6.7109375" customWidth="1"/>
    <col min="4098" max="4098" width="6.85546875" customWidth="1"/>
    <col min="4099" max="4099" width="25.7109375" customWidth="1"/>
    <col min="4353" max="4353" width="6.7109375" customWidth="1"/>
    <col min="4354" max="4354" width="6.85546875" customWidth="1"/>
    <col min="4355" max="4355" width="25.7109375" customWidth="1"/>
    <col min="4609" max="4609" width="6.7109375" customWidth="1"/>
    <col min="4610" max="4610" width="6.85546875" customWidth="1"/>
    <col min="4611" max="4611" width="25.7109375" customWidth="1"/>
    <col min="4865" max="4865" width="6.7109375" customWidth="1"/>
    <col min="4866" max="4866" width="6.85546875" customWidth="1"/>
    <col min="4867" max="4867" width="25.7109375" customWidth="1"/>
    <col min="5121" max="5121" width="6.7109375" customWidth="1"/>
    <col min="5122" max="5122" width="6.85546875" customWidth="1"/>
    <col min="5123" max="5123" width="25.7109375" customWidth="1"/>
    <col min="5377" max="5377" width="6.7109375" customWidth="1"/>
    <col min="5378" max="5378" width="6.85546875" customWidth="1"/>
    <col min="5379" max="5379" width="25.7109375" customWidth="1"/>
    <col min="5633" max="5633" width="6.7109375" customWidth="1"/>
    <col min="5634" max="5634" width="6.85546875" customWidth="1"/>
    <col min="5635" max="5635" width="25.7109375" customWidth="1"/>
    <col min="5889" max="5889" width="6.7109375" customWidth="1"/>
    <col min="5890" max="5890" width="6.85546875" customWidth="1"/>
    <col min="5891" max="5891" width="25.7109375" customWidth="1"/>
    <col min="6145" max="6145" width="6.7109375" customWidth="1"/>
    <col min="6146" max="6146" width="6.85546875" customWidth="1"/>
    <col min="6147" max="6147" width="25.7109375" customWidth="1"/>
    <col min="6401" max="6401" width="6.7109375" customWidth="1"/>
    <col min="6402" max="6402" width="6.85546875" customWidth="1"/>
    <col min="6403" max="6403" width="25.7109375" customWidth="1"/>
    <col min="6657" max="6657" width="6.7109375" customWidth="1"/>
    <col min="6658" max="6658" width="6.85546875" customWidth="1"/>
    <col min="6659" max="6659" width="25.7109375" customWidth="1"/>
    <col min="6913" max="6913" width="6.7109375" customWidth="1"/>
    <col min="6914" max="6914" width="6.85546875" customWidth="1"/>
    <col min="6915" max="6915" width="25.7109375" customWidth="1"/>
    <col min="7169" max="7169" width="6.7109375" customWidth="1"/>
    <col min="7170" max="7170" width="6.85546875" customWidth="1"/>
    <col min="7171" max="7171" width="25.7109375" customWidth="1"/>
    <col min="7425" max="7425" width="6.7109375" customWidth="1"/>
    <col min="7426" max="7426" width="6.85546875" customWidth="1"/>
    <col min="7427" max="7427" width="25.7109375" customWidth="1"/>
    <col min="7681" max="7681" width="6.7109375" customWidth="1"/>
    <col min="7682" max="7682" width="6.85546875" customWidth="1"/>
    <col min="7683" max="7683" width="25.7109375" customWidth="1"/>
    <col min="7937" max="7937" width="6.7109375" customWidth="1"/>
    <col min="7938" max="7938" width="6.85546875" customWidth="1"/>
    <col min="7939" max="7939" width="25.7109375" customWidth="1"/>
    <col min="8193" max="8193" width="6.7109375" customWidth="1"/>
    <col min="8194" max="8194" width="6.85546875" customWidth="1"/>
    <col min="8195" max="8195" width="25.7109375" customWidth="1"/>
    <col min="8449" max="8449" width="6.7109375" customWidth="1"/>
    <col min="8450" max="8450" width="6.85546875" customWidth="1"/>
    <col min="8451" max="8451" width="25.7109375" customWidth="1"/>
    <col min="8705" max="8705" width="6.7109375" customWidth="1"/>
    <col min="8706" max="8706" width="6.85546875" customWidth="1"/>
    <col min="8707" max="8707" width="25.7109375" customWidth="1"/>
    <col min="8961" max="8961" width="6.7109375" customWidth="1"/>
    <col min="8962" max="8962" width="6.85546875" customWidth="1"/>
    <col min="8963" max="8963" width="25.7109375" customWidth="1"/>
    <col min="9217" max="9217" width="6.7109375" customWidth="1"/>
    <col min="9218" max="9218" width="6.85546875" customWidth="1"/>
    <col min="9219" max="9219" width="25.7109375" customWidth="1"/>
    <col min="9473" max="9473" width="6.7109375" customWidth="1"/>
    <col min="9474" max="9474" width="6.85546875" customWidth="1"/>
    <col min="9475" max="9475" width="25.7109375" customWidth="1"/>
    <col min="9729" max="9729" width="6.7109375" customWidth="1"/>
    <col min="9730" max="9730" width="6.85546875" customWidth="1"/>
    <col min="9731" max="9731" width="25.7109375" customWidth="1"/>
    <col min="9985" max="9985" width="6.7109375" customWidth="1"/>
    <col min="9986" max="9986" width="6.85546875" customWidth="1"/>
    <col min="9987" max="9987" width="25.7109375" customWidth="1"/>
    <col min="10241" max="10241" width="6.7109375" customWidth="1"/>
    <col min="10242" max="10242" width="6.85546875" customWidth="1"/>
    <col min="10243" max="10243" width="25.7109375" customWidth="1"/>
    <col min="10497" max="10497" width="6.7109375" customWidth="1"/>
    <col min="10498" max="10498" width="6.85546875" customWidth="1"/>
    <col min="10499" max="10499" width="25.7109375" customWidth="1"/>
    <col min="10753" max="10753" width="6.7109375" customWidth="1"/>
    <col min="10754" max="10754" width="6.85546875" customWidth="1"/>
    <col min="10755" max="10755" width="25.7109375" customWidth="1"/>
    <col min="11009" max="11009" width="6.7109375" customWidth="1"/>
    <col min="11010" max="11010" width="6.85546875" customWidth="1"/>
    <col min="11011" max="11011" width="25.7109375" customWidth="1"/>
    <col min="11265" max="11265" width="6.7109375" customWidth="1"/>
    <col min="11266" max="11266" width="6.85546875" customWidth="1"/>
    <col min="11267" max="11267" width="25.7109375" customWidth="1"/>
    <col min="11521" max="11521" width="6.7109375" customWidth="1"/>
    <col min="11522" max="11522" width="6.85546875" customWidth="1"/>
    <col min="11523" max="11523" width="25.7109375" customWidth="1"/>
    <col min="11777" max="11777" width="6.7109375" customWidth="1"/>
    <col min="11778" max="11778" width="6.85546875" customWidth="1"/>
    <col min="11779" max="11779" width="25.7109375" customWidth="1"/>
    <col min="12033" max="12033" width="6.7109375" customWidth="1"/>
    <col min="12034" max="12034" width="6.85546875" customWidth="1"/>
    <col min="12035" max="12035" width="25.7109375" customWidth="1"/>
    <col min="12289" max="12289" width="6.7109375" customWidth="1"/>
    <col min="12290" max="12290" width="6.85546875" customWidth="1"/>
    <col min="12291" max="12291" width="25.7109375" customWidth="1"/>
    <col min="12545" max="12545" width="6.7109375" customWidth="1"/>
    <col min="12546" max="12546" width="6.85546875" customWidth="1"/>
    <col min="12547" max="12547" width="25.7109375" customWidth="1"/>
    <col min="12801" max="12801" width="6.7109375" customWidth="1"/>
    <col min="12802" max="12802" width="6.85546875" customWidth="1"/>
    <col min="12803" max="12803" width="25.7109375" customWidth="1"/>
    <col min="13057" max="13057" width="6.7109375" customWidth="1"/>
    <col min="13058" max="13058" width="6.85546875" customWidth="1"/>
    <col min="13059" max="13059" width="25.7109375" customWidth="1"/>
    <col min="13313" max="13313" width="6.7109375" customWidth="1"/>
    <col min="13314" max="13314" width="6.85546875" customWidth="1"/>
    <col min="13315" max="13315" width="25.7109375" customWidth="1"/>
    <col min="13569" max="13569" width="6.7109375" customWidth="1"/>
    <col min="13570" max="13570" width="6.85546875" customWidth="1"/>
    <col min="13571" max="13571" width="25.7109375" customWidth="1"/>
    <col min="13825" max="13825" width="6.7109375" customWidth="1"/>
    <col min="13826" max="13826" width="6.85546875" customWidth="1"/>
    <col min="13827" max="13827" width="25.7109375" customWidth="1"/>
    <col min="14081" max="14081" width="6.7109375" customWidth="1"/>
    <col min="14082" max="14082" width="6.85546875" customWidth="1"/>
    <col min="14083" max="14083" width="25.7109375" customWidth="1"/>
    <col min="14337" max="14337" width="6.7109375" customWidth="1"/>
    <col min="14338" max="14338" width="6.85546875" customWidth="1"/>
    <col min="14339" max="14339" width="25.7109375" customWidth="1"/>
    <col min="14593" max="14593" width="6.7109375" customWidth="1"/>
    <col min="14594" max="14594" width="6.85546875" customWidth="1"/>
    <col min="14595" max="14595" width="25.7109375" customWidth="1"/>
    <col min="14849" max="14849" width="6.7109375" customWidth="1"/>
    <col min="14850" max="14850" width="6.85546875" customWidth="1"/>
    <col min="14851" max="14851" width="25.7109375" customWidth="1"/>
    <col min="15105" max="15105" width="6.7109375" customWidth="1"/>
    <col min="15106" max="15106" width="6.85546875" customWidth="1"/>
    <col min="15107" max="15107" width="25.7109375" customWidth="1"/>
    <col min="15361" max="15361" width="6.7109375" customWidth="1"/>
    <col min="15362" max="15362" width="6.85546875" customWidth="1"/>
    <col min="15363" max="15363" width="25.7109375" customWidth="1"/>
    <col min="15617" max="15617" width="6.7109375" customWidth="1"/>
    <col min="15618" max="15618" width="6.85546875" customWidth="1"/>
    <col min="15619" max="15619" width="25.7109375" customWidth="1"/>
    <col min="15873" max="15873" width="6.7109375" customWidth="1"/>
    <col min="15874" max="15874" width="6.85546875" customWidth="1"/>
    <col min="15875" max="15875" width="25.7109375" customWidth="1"/>
    <col min="16129" max="16129" width="6.7109375" customWidth="1"/>
    <col min="16130" max="16130" width="6.85546875" customWidth="1"/>
    <col min="16131" max="16131" width="25.7109375" customWidth="1"/>
  </cols>
  <sheetData>
    <row r="1" spans="1:8" s="269" customFormat="1" ht="22.5" customHeight="1" x14ac:dyDescent="0.2">
      <c r="A1" s="752" t="s">
        <v>611</v>
      </c>
      <c r="B1" s="752"/>
      <c r="C1" s="752"/>
      <c r="D1" s="752"/>
      <c r="E1" s="752"/>
      <c r="F1" s="752"/>
      <c r="G1" s="752"/>
      <c r="H1" s="752"/>
    </row>
    <row r="2" spans="1:8" s="358" customFormat="1" ht="55.5" customHeight="1" x14ac:dyDescent="0.25">
      <c r="A2" s="752" t="s">
        <v>612</v>
      </c>
      <c r="B2" s="752"/>
      <c r="C2" s="752"/>
      <c r="D2" s="752"/>
      <c r="E2" s="752"/>
      <c r="F2" s="752"/>
      <c r="G2" s="752"/>
      <c r="H2" s="752"/>
    </row>
    <row r="3" spans="1:8" s="269" customFormat="1" ht="19.5" customHeight="1" x14ac:dyDescent="0.2">
      <c r="A3" s="509"/>
      <c r="B3" s="752" t="s">
        <v>50</v>
      </c>
      <c r="C3" s="752"/>
      <c r="D3" s="752"/>
      <c r="E3" s="286">
        <f>H20*0.001</f>
        <v>0</v>
      </c>
      <c r="F3" s="770" t="s">
        <v>596</v>
      </c>
      <c r="G3" s="770"/>
      <c r="H3" s="770"/>
    </row>
    <row r="4" spans="1:8" s="269" customFormat="1" ht="18" customHeight="1" x14ac:dyDescent="0.2">
      <c r="A4" s="509"/>
      <c r="B4" s="752" t="s">
        <v>424</v>
      </c>
      <c r="C4" s="752"/>
      <c r="D4" s="752"/>
      <c r="E4" s="286">
        <v>0</v>
      </c>
      <c r="F4" s="770" t="s">
        <v>597</v>
      </c>
      <c r="G4" s="770"/>
      <c r="H4" s="770"/>
    </row>
    <row r="5" spans="1:8" s="269" customFormat="1" ht="21" customHeight="1" x14ac:dyDescent="0.2">
      <c r="A5" s="766" t="s">
        <v>52</v>
      </c>
      <c r="B5" s="766"/>
      <c r="C5" s="768" t="s">
        <v>598</v>
      </c>
      <c r="D5" s="768"/>
      <c r="E5" s="768"/>
      <c r="F5" s="768"/>
      <c r="G5" s="768"/>
      <c r="H5" s="768"/>
    </row>
    <row r="6" spans="1:8" s="269" customFormat="1" ht="21" customHeight="1" x14ac:dyDescent="0.2">
      <c r="A6" s="769"/>
      <c r="B6" s="769"/>
      <c r="C6" s="769"/>
      <c r="D6" s="769"/>
      <c r="E6" s="769"/>
      <c r="F6" s="769"/>
      <c r="G6" s="769"/>
      <c r="H6" s="769"/>
    </row>
    <row r="7" spans="1:8" s="269" customFormat="1" ht="30" customHeight="1" x14ac:dyDescent="0.2">
      <c r="A7" s="765" t="s">
        <v>39</v>
      </c>
      <c r="B7" s="765" t="s">
        <v>40</v>
      </c>
      <c r="C7" s="765" t="s">
        <v>43</v>
      </c>
      <c r="D7" s="765" t="s">
        <v>599</v>
      </c>
      <c r="E7" s="765" t="s">
        <v>600</v>
      </c>
      <c r="F7" s="765"/>
      <c r="G7" s="765" t="s">
        <v>50</v>
      </c>
      <c r="H7" s="765"/>
    </row>
    <row r="8" spans="1:8" s="269" customFormat="1" ht="47.25" customHeight="1" x14ac:dyDescent="0.2">
      <c r="A8" s="765"/>
      <c r="B8" s="765"/>
      <c r="C8" s="765"/>
      <c r="D8" s="765"/>
      <c r="E8" s="10" t="s">
        <v>599</v>
      </c>
      <c r="F8" s="10" t="s">
        <v>601</v>
      </c>
      <c r="G8" s="277" t="s">
        <v>602</v>
      </c>
      <c r="H8" s="277" t="s">
        <v>58</v>
      </c>
    </row>
    <row r="9" spans="1:8" s="269" customFormat="1" ht="21.75" customHeight="1" x14ac:dyDescent="0.2">
      <c r="A9" s="277">
        <v>1</v>
      </c>
      <c r="B9" s="277">
        <v>2</v>
      </c>
      <c r="C9" s="277">
        <v>3</v>
      </c>
      <c r="D9" s="277">
        <v>4</v>
      </c>
      <c r="E9" s="277">
        <v>5</v>
      </c>
      <c r="F9" s="277">
        <v>6</v>
      </c>
      <c r="G9" s="277">
        <v>7</v>
      </c>
      <c r="H9" s="277">
        <v>8</v>
      </c>
    </row>
    <row r="10" spans="1:8" s="269" customFormat="1" ht="27" x14ac:dyDescent="0.2">
      <c r="A10" s="1">
        <v>1</v>
      </c>
      <c r="B10" s="330" t="s">
        <v>603</v>
      </c>
      <c r="C10" s="510" t="s">
        <v>604</v>
      </c>
      <c r="D10" s="277" t="s">
        <v>4</v>
      </c>
      <c r="E10" s="277"/>
      <c r="F10" s="1">
        <v>650</v>
      </c>
      <c r="G10" s="277"/>
      <c r="H10" s="511">
        <f>SUM(H11:H12)</f>
        <v>0</v>
      </c>
    </row>
    <row r="11" spans="1:8" s="269" customFormat="1" ht="32.25" customHeight="1" x14ac:dyDescent="0.2">
      <c r="A11" s="6">
        <f>A10+0.1</f>
        <v>1.1000000000000001</v>
      </c>
      <c r="B11" s="277" t="s">
        <v>91</v>
      </c>
      <c r="C11" s="277" t="s">
        <v>458</v>
      </c>
      <c r="D11" s="277" t="s">
        <v>0</v>
      </c>
      <c r="E11" s="329">
        <v>1.17E-2</v>
      </c>
      <c r="F11" s="2">
        <f>F10*E11</f>
        <v>7.61</v>
      </c>
      <c r="G11" s="277"/>
      <c r="H11" s="1">
        <f>F11*G11</f>
        <v>0</v>
      </c>
    </row>
    <row r="12" spans="1:8" s="269" customFormat="1" ht="25.5" customHeight="1" x14ac:dyDescent="0.2">
      <c r="A12" s="6">
        <f>A11+0.1</f>
        <v>1.2</v>
      </c>
      <c r="B12" s="277" t="s">
        <v>605</v>
      </c>
      <c r="C12" s="277" t="s">
        <v>606</v>
      </c>
      <c r="D12" s="277" t="s">
        <v>4</v>
      </c>
      <c r="E12" s="6">
        <v>1</v>
      </c>
      <c r="F12" s="1">
        <f>F10*E12</f>
        <v>650</v>
      </c>
      <c r="G12" s="277"/>
      <c r="H12" s="1">
        <f>F12*G12</f>
        <v>0</v>
      </c>
    </row>
    <row r="13" spans="1:8" s="269" customFormat="1" ht="20.25" customHeight="1" x14ac:dyDescent="0.2">
      <c r="A13" s="6"/>
      <c r="B13" s="277"/>
      <c r="C13" s="277" t="s">
        <v>46</v>
      </c>
      <c r="D13" s="277" t="s">
        <v>6</v>
      </c>
      <c r="E13" s="2"/>
      <c r="F13" s="2"/>
      <c r="G13" s="277"/>
      <c r="H13" s="511">
        <f>H10</f>
        <v>0</v>
      </c>
    </row>
    <row r="14" spans="1:8" s="269" customFormat="1" ht="33.75" customHeight="1" x14ac:dyDescent="0.2">
      <c r="A14" s="277"/>
      <c r="B14" s="277"/>
      <c r="C14" s="277" t="s">
        <v>607</v>
      </c>
      <c r="D14" s="277" t="s">
        <v>6</v>
      </c>
      <c r="E14" s="2"/>
      <c r="F14" s="2"/>
      <c r="G14" s="277"/>
      <c r="H14" s="511">
        <f>H11</f>
        <v>0</v>
      </c>
    </row>
    <row r="15" spans="1:8" s="269" customFormat="1" ht="30.75" customHeight="1" x14ac:dyDescent="0.2">
      <c r="A15" s="277"/>
      <c r="B15" s="277"/>
      <c r="C15" s="277" t="s">
        <v>608</v>
      </c>
      <c r="D15" s="277" t="s">
        <v>6</v>
      </c>
      <c r="E15" s="2"/>
      <c r="F15" s="2"/>
      <c r="G15" s="277"/>
      <c r="H15" s="1">
        <f>H13-H14</f>
        <v>0</v>
      </c>
    </row>
    <row r="16" spans="1:8" s="269" customFormat="1" ht="24.75" customHeight="1" x14ac:dyDescent="0.2">
      <c r="A16" s="277"/>
      <c r="B16" s="277"/>
      <c r="C16" s="277" t="s">
        <v>64</v>
      </c>
      <c r="D16" s="277" t="s">
        <v>6</v>
      </c>
      <c r="E16" s="277"/>
      <c r="F16" s="277"/>
      <c r="G16" s="2"/>
      <c r="H16" s="1">
        <f>H13</f>
        <v>0</v>
      </c>
    </row>
    <row r="17" spans="1:8" s="21" customFormat="1" ht="33" customHeight="1" x14ac:dyDescent="0.2">
      <c r="A17" s="277"/>
      <c r="B17" s="277"/>
      <c r="C17" s="277" t="s">
        <v>609</v>
      </c>
      <c r="D17" s="512">
        <v>0.08</v>
      </c>
      <c r="E17" s="277"/>
      <c r="F17" s="512">
        <v>0.08</v>
      </c>
      <c r="G17" s="2"/>
      <c r="H17" s="1">
        <f>H16*F17</f>
        <v>0</v>
      </c>
    </row>
    <row r="18" spans="1:8" s="21" customFormat="1" ht="31.5" customHeight="1" x14ac:dyDescent="0.2">
      <c r="A18" s="277"/>
      <c r="B18" s="277"/>
      <c r="C18" s="277" t="s">
        <v>46</v>
      </c>
      <c r="D18" s="277" t="s">
        <v>6</v>
      </c>
      <c r="E18" s="277"/>
      <c r="F18" s="277"/>
      <c r="G18" s="2"/>
      <c r="H18" s="1">
        <f>SUM(H16:H17)</f>
        <v>0</v>
      </c>
    </row>
    <row r="19" spans="1:8" s="21" customFormat="1" ht="26.25" customHeight="1" x14ac:dyDescent="0.2">
      <c r="A19" s="277"/>
      <c r="B19" s="277"/>
      <c r="C19" s="277" t="s">
        <v>610</v>
      </c>
      <c r="D19" s="512">
        <v>0.06</v>
      </c>
      <c r="E19" s="277"/>
      <c r="F19" s="512">
        <v>0.06</v>
      </c>
      <c r="G19" s="2"/>
      <c r="H19" s="1">
        <f>F19*H18</f>
        <v>0</v>
      </c>
    </row>
    <row r="20" spans="1:8" s="270" customFormat="1" ht="17.25" customHeight="1" x14ac:dyDescent="0.2">
      <c r="A20" s="277"/>
      <c r="B20" s="277"/>
      <c r="C20" s="277" t="s">
        <v>46</v>
      </c>
      <c r="D20" s="277" t="s">
        <v>6</v>
      </c>
      <c r="E20" s="2"/>
      <c r="F20" s="2"/>
      <c r="G20" s="277"/>
      <c r="H20" s="1">
        <f>H18+H19</f>
        <v>0</v>
      </c>
    </row>
    <row r="21" spans="1:8" s="270" customFormat="1" ht="18" customHeight="1" x14ac:dyDescent="0.2">
      <c r="A21" s="513"/>
      <c r="B21" s="513"/>
      <c r="C21" s="513"/>
      <c r="D21" s="513"/>
      <c r="E21" s="514"/>
      <c r="F21" s="514"/>
      <c r="G21" s="513"/>
      <c r="H21" s="515"/>
    </row>
    <row r="22" spans="1:8" s="270" customFormat="1" ht="22.5" customHeight="1" x14ac:dyDescent="0.2">
      <c r="A22" s="766"/>
      <c r="B22" s="766"/>
      <c r="C22" s="766"/>
      <c r="D22" s="767"/>
      <c r="E22" s="767"/>
      <c r="F22" s="767"/>
      <c r="G22" s="767"/>
      <c r="H22" s="767"/>
    </row>
    <row r="23" spans="1:8" s="270" customFormat="1" ht="24.75" customHeight="1" x14ac:dyDescent="0.2"/>
    <row r="24" spans="1:8" s="270" customFormat="1" ht="24.75" customHeight="1" x14ac:dyDescent="0.2"/>
    <row r="25" spans="1:8" s="270" customFormat="1" ht="18.75" customHeight="1" x14ac:dyDescent="0.2">
      <c r="A25" s="336"/>
      <c r="B25" s="336"/>
    </row>
    <row r="26" spans="1:8" s="270" customFormat="1" ht="18.75" customHeight="1" x14ac:dyDescent="0.2">
      <c r="A26" s="363"/>
      <c r="B26" s="20"/>
      <c r="C26" s="20"/>
    </row>
    <row r="27" spans="1:8" s="270" customFormat="1" ht="91.5" customHeight="1" x14ac:dyDescent="0.2">
      <c r="A27" s="363"/>
      <c r="B27" s="20"/>
      <c r="C27" s="20"/>
    </row>
    <row r="28" spans="1:8" s="270" customFormat="1" ht="33" customHeight="1" x14ac:dyDescent="0.2">
      <c r="A28" s="364"/>
      <c r="B28" s="266"/>
      <c r="C28" s="266"/>
    </row>
    <row r="29" spans="1:8" s="270" customFormat="1" ht="19.5" customHeight="1" x14ac:dyDescent="0.2">
      <c r="A29" s="255"/>
      <c r="B29" s="255"/>
      <c r="C29" s="255"/>
    </row>
    <row r="30" spans="1:8" s="270" customFormat="1" ht="19.5" customHeight="1" x14ac:dyDescent="0.2">
      <c r="A30" s="269"/>
      <c r="B30" s="269"/>
      <c r="C30" s="269"/>
    </row>
    <row r="31" spans="1:8" s="270" customFormat="1" ht="19.5" customHeight="1" x14ac:dyDescent="0.2">
      <c r="A31" s="269"/>
      <c r="B31" s="269"/>
      <c r="C31" s="269"/>
    </row>
    <row r="32" spans="1:8" s="270" customFormat="1" ht="19.5" customHeight="1" x14ac:dyDescent="0.2">
      <c r="A32" s="269"/>
      <c r="B32" s="269"/>
      <c r="C32" s="269"/>
    </row>
    <row r="33" spans="1:3" s="270" customFormat="1" ht="30" customHeight="1" x14ac:dyDescent="0.2">
      <c r="A33" s="342"/>
      <c r="B33" s="269"/>
      <c r="C33" s="269"/>
    </row>
    <row r="34" spans="1:3" s="270" customFormat="1" ht="19.5" customHeight="1" x14ac:dyDescent="0.2">
      <c r="A34" s="342"/>
      <c r="B34" s="269"/>
      <c r="C34" s="269"/>
    </row>
    <row r="35" spans="1:3" s="270" customFormat="1" ht="19.5" customHeight="1" x14ac:dyDescent="0.2">
      <c r="A35" s="342"/>
      <c r="B35" s="269"/>
      <c r="C35" s="269"/>
    </row>
    <row r="36" spans="1:3" s="270" customFormat="1" ht="54" customHeight="1" x14ac:dyDescent="0.2">
      <c r="A36" s="342"/>
      <c r="B36" s="269"/>
      <c r="C36" s="269"/>
    </row>
    <row r="37" spans="1:3" s="270" customFormat="1" ht="33" customHeight="1" x14ac:dyDescent="0.2">
      <c r="A37" s="342"/>
      <c r="B37" s="269"/>
      <c r="C37" s="269"/>
    </row>
    <row r="38" spans="1:3" s="270" customFormat="1" ht="18.75" customHeight="1" x14ac:dyDescent="0.2">
      <c r="A38" s="342"/>
      <c r="B38" s="269"/>
      <c r="C38" s="269"/>
    </row>
    <row r="39" spans="1:3" s="270" customFormat="1" ht="39" customHeight="1" x14ac:dyDescent="0.2">
      <c r="A39" s="342"/>
      <c r="B39" s="269"/>
      <c r="C39" s="269"/>
    </row>
    <row r="40" spans="1:3" s="270" customFormat="1" ht="54" customHeight="1" x14ac:dyDescent="0.2">
      <c r="A40" s="269"/>
      <c r="B40" s="269"/>
      <c r="C40" s="269"/>
    </row>
    <row r="41" spans="1:3" s="270" customFormat="1" ht="33" customHeight="1" x14ac:dyDescent="0.2">
      <c r="A41" s="269"/>
      <c r="B41" s="269"/>
      <c r="C41" s="269"/>
    </row>
    <row r="42" spans="1:3" s="270" customFormat="1" ht="37.5" customHeight="1" x14ac:dyDescent="0.2">
      <c r="A42" s="269"/>
      <c r="B42" s="269"/>
      <c r="C42" s="269"/>
    </row>
    <row r="43" spans="1:3" s="270" customFormat="1" ht="18.75" customHeight="1" x14ac:dyDescent="0.2">
      <c r="A43" s="269"/>
      <c r="B43" s="269"/>
      <c r="C43" s="269"/>
    </row>
    <row r="44" spans="1:3" s="270" customFormat="1" ht="18.75" customHeight="1" x14ac:dyDescent="0.2">
      <c r="A44" s="269"/>
      <c r="B44" s="269"/>
      <c r="C44" s="269"/>
    </row>
    <row r="45" spans="1:3" s="336" customFormat="1" ht="80.25" customHeight="1" x14ac:dyDescent="0.2">
      <c r="A45" s="269"/>
      <c r="B45" s="269"/>
      <c r="C45" s="269"/>
    </row>
    <row r="46" spans="1:3" s="20" customFormat="1" ht="26.25" customHeight="1" x14ac:dyDescent="0.2">
      <c r="A46" s="269"/>
      <c r="B46" s="269"/>
      <c r="C46" s="269"/>
    </row>
    <row r="47" spans="1:3" s="20" customFormat="1" ht="24.75" customHeight="1" x14ac:dyDescent="0.2">
      <c r="A47" s="269"/>
      <c r="B47" s="269"/>
      <c r="C47" s="269"/>
    </row>
    <row r="48" spans="1:3" s="266" customFormat="1" ht="25.5" customHeight="1" x14ac:dyDescent="0.2">
      <c r="A48" s="269"/>
      <c r="B48" s="269"/>
      <c r="C48" s="269"/>
    </row>
    <row r="49" spans="1:9" s="255" customFormat="1" ht="54" customHeight="1" x14ac:dyDescent="0.2">
      <c r="A49" s="269"/>
      <c r="B49" s="269"/>
      <c r="C49" s="269"/>
    </row>
    <row r="50" spans="1:9" s="269" customFormat="1" ht="23.25" customHeight="1" x14ac:dyDescent="0.2"/>
    <row r="51" spans="1:9" s="269" customFormat="1" ht="24" customHeight="1" x14ac:dyDescent="0.2"/>
    <row r="52" spans="1:9" s="269" customFormat="1" ht="24.75" customHeight="1" x14ac:dyDescent="0.2"/>
    <row r="53" spans="1:9" s="269" customFormat="1" ht="63" customHeight="1" x14ac:dyDescent="0.2">
      <c r="A53"/>
      <c r="B53"/>
      <c r="C53"/>
    </row>
    <row r="54" spans="1:9" s="269" customFormat="1" ht="24.75" customHeight="1" x14ac:dyDescent="0.2">
      <c r="A54"/>
      <c r="B54"/>
      <c r="C54"/>
    </row>
    <row r="55" spans="1:9" s="269" customFormat="1" ht="19.5" customHeight="1" x14ac:dyDescent="0.2">
      <c r="A55"/>
      <c r="B55"/>
      <c r="C55"/>
    </row>
    <row r="56" spans="1:9" s="269" customFormat="1" ht="25.5" customHeight="1" x14ac:dyDescent="0.2">
      <c r="A56"/>
      <c r="B56"/>
      <c r="C56"/>
    </row>
    <row r="57" spans="1:9" s="269" customFormat="1" ht="21" customHeight="1" x14ac:dyDescent="0.2">
      <c r="A57"/>
      <c r="B57"/>
      <c r="C57"/>
    </row>
    <row r="58" spans="1:9" s="269" customFormat="1" ht="23.25" customHeight="1" x14ac:dyDescent="0.2">
      <c r="A58"/>
      <c r="B58"/>
      <c r="C58"/>
    </row>
    <row r="59" spans="1:9" s="269" customFormat="1" ht="29.25" customHeight="1" x14ac:dyDescent="0.2">
      <c r="A59"/>
      <c r="B59"/>
      <c r="C59"/>
    </row>
    <row r="60" spans="1:9" s="269" customFormat="1" ht="13.5" x14ac:dyDescent="0.2">
      <c r="A60"/>
      <c r="B60"/>
      <c r="C60"/>
      <c r="H60" s="359"/>
      <c r="I60" s="342"/>
    </row>
    <row r="61" spans="1:9" s="269" customFormat="1" ht="13.5" x14ac:dyDescent="0.2">
      <c r="A61"/>
      <c r="B61"/>
      <c r="C61"/>
      <c r="H61" s="359"/>
      <c r="I61" s="342"/>
    </row>
    <row r="62" spans="1:9" s="269" customFormat="1" ht="13.5" x14ac:dyDescent="0.2">
      <c r="A62"/>
      <c r="B62"/>
      <c r="C62"/>
      <c r="H62" s="359"/>
      <c r="I62" s="342"/>
    </row>
    <row r="63" spans="1:9" s="269" customFormat="1" ht="13.5" x14ac:dyDescent="0.2">
      <c r="A63"/>
      <c r="B63"/>
      <c r="C63"/>
      <c r="H63" s="359"/>
      <c r="I63" s="342"/>
    </row>
    <row r="64" spans="1:9" s="269" customFormat="1" ht="13.5" x14ac:dyDescent="0.2">
      <c r="A64"/>
      <c r="B64"/>
      <c r="C64"/>
      <c r="H64" s="359"/>
      <c r="I64" s="342"/>
    </row>
    <row r="65" spans="1:9" s="269" customFormat="1" ht="13.5" x14ac:dyDescent="0.2">
      <c r="A65"/>
      <c r="B65"/>
      <c r="C65"/>
      <c r="H65" s="359"/>
      <c r="I65" s="342"/>
    </row>
    <row r="66" spans="1:9" s="269" customFormat="1" ht="13.5" x14ac:dyDescent="0.2">
      <c r="A66"/>
      <c r="B66"/>
      <c r="C66"/>
      <c r="H66" s="359"/>
      <c r="I66" s="342"/>
    </row>
    <row r="67" spans="1:9" s="269" customFormat="1" ht="13.5" x14ac:dyDescent="0.2">
      <c r="A67"/>
      <c r="B67"/>
      <c r="C67"/>
      <c r="H67" s="359"/>
      <c r="I67" s="342"/>
    </row>
    <row r="68" spans="1:9" s="269" customFormat="1" ht="13.5" x14ac:dyDescent="0.2">
      <c r="A68"/>
      <c r="B68"/>
      <c r="C68"/>
      <c r="H68" s="359"/>
      <c r="I68" s="342"/>
    </row>
    <row r="69" spans="1:9" s="269" customFormat="1" ht="13.5" x14ac:dyDescent="0.2">
      <c r="A69"/>
      <c r="B69"/>
      <c r="C69"/>
      <c r="H69" s="359"/>
      <c r="I69" s="342"/>
    </row>
    <row r="70" spans="1:9" s="269" customFormat="1" ht="13.5" x14ac:dyDescent="0.2">
      <c r="A70"/>
      <c r="B70"/>
      <c r="C70"/>
      <c r="H70" s="359"/>
      <c r="I70" s="342"/>
    </row>
    <row r="71" spans="1:9" s="269" customFormat="1" ht="13.5" x14ac:dyDescent="0.2">
      <c r="A71"/>
      <c r="B71"/>
      <c r="C71"/>
      <c r="H71" s="359"/>
      <c r="I71" s="342"/>
    </row>
    <row r="72" spans="1:9" s="269" customFormat="1" ht="13.5" x14ac:dyDescent="0.2">
      <c r="A72"/>
      <c r="B72"/>
      <c r="C72"/>
      <c r="H72" s="359"/>
      <c r="I72" s="342"/>
    </row>
  </sheetData>
  <mergeCells count="17">
    <mergeCell ref="A5:B5"/>
    <mergeCell ref="C5:H5"/>
    <mergeCell ref="A6:H6"/>
    <mergeCell ref="A1:H1"/>
    <mergeCell ref="A2:H2"/>
    <mergeCell ref="B3:D3"/>
    <mergeCell ref="F3:H3"/>
    <mergeCell ref="B4:D4"/>
    <mergeCell ref="F4:H4"/>
    <mergeCell ref="G7:H7"/>
    <mergeCell ref="A22:C22"/>
    <mergeCell ref="D22:H22"/>
    <mergeCell ref="A7:A8"/>
    <mergeCell ref="B7:B8"/>
    <mergeCell ref="C7:C8"/>
    <mergeCell ref="D7:D8"/>
    <mergeCell ref="E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17"/>
  <sheetViews>
    <sheetView topLeftCell="A4" workbookViewId="0">
      <selection activeCell="A15" sqref="A15:I17"/>
    </sheetView>
  </sheetViews>
  <sheetFormatPr defaultRowHeight="12.75" x14ac:dyDescent="0.2"/>
  <cols>
    <col min="1" max="1" width="4.5703125" style="25" customWidth="1"/>
    <col min="2" max="2" width="6.85546875" style="25" customWidth="1"/>
    <col min="3" max="3" width="24.7109375" style="25" customWidth="1"/>
    <col min="4" max="4" width="6.7109375" style="25" customWidth="1"/>
    <col min="5" max="5" width="6.28515625" style="25" customWidth="1"/>
    <col min="6" max="6" width="7" style="25" customWidth="1"/>
    <col min="7" max="7" width="6" style="25" customWidth="1"/>
    <col min="8" max="8" width="8.85546875" style="25" customWidth="1"/>
    <col min="9" max="9" width="8.28515625" style="25" customWidth="1"/>
    <col min="10" max="16384" width="9.140625" style="26"/>
  </cols>
  <sheetData>
    <row r="1" spans="1:10" x14ac:dyDescent="0.2">
      <c r="A1" s="639" t="s">
        <v>71</v>
      </c>
      <c r="B1" s="639"/>
      <c r="C1" s="639"/>
      <c r="H1" s="639" t="s">
        <v>72</v>
      </c>
      <c r="I1" s="639"/>
    </row>
    <row r="2" spans="1:10" ht="13.5" x14ac:dyDescent="0.2">
      <c r="C2" s="640" t="s">
        <v>620</v>
      </c>
      <c r="D2" s="640"/>
      <c r="E2" s="640"/>
      <c r="F2" s="640"/>
      <c r="G2" s="640"/>
      <c r="H2" s="640"/>
    </row>
    <row r="3" spans="1:10" ht="60" customHeight="1" x14ac:dyDescent="0.2">
      <c r="A3" s="641" t="s">
        <v>616</v>
      </c>
      <c r="B3" s="641"/>
      <c r="C3" s="641"/>
      <c r="D3" s="641"/>
      <c r="E3" s="641"/>
      <c r="F3" s="641"/>
      <c r="G3" s="641"/>
      <c r="H3" s="641"/>
      <c r="I3" s="641"/>
    </row>
    <row r="4" spans="1:10" ht="13.5" x14ac:dyDescent="0.2">
      <c r="A4" s="27"/>
      <c r="B4" s="642" t="s">
        <v>50</v>
      </c>
      <c r="C4" s="642"/>
      <c r="D4" s="27"/>
      <c r="E4" s="28">
        <f>H13</f>
        <v>0</v>
      </c>
      <c r="F4" s="27"/>
      <c r="G4" s="642" t="s">
        <v>51</v>
      </c>
      <c r="H4" s="642"/>
    </row>
    <row r="5" spans="1:10" ht="13.5" x14ac:dyDescent="0.2">
      <c r="A5" s="631"/>
      <c r="B5" s="631"/>
      <c r="C5" s="631"/>
      <c r="D5" s="631"/>
      <c r="E5" s="631"/>
      <c r="F5" s="631"/>
      <c r="G5" s="631"/>
      <c r="H5" s="631"/>
    </row>
    <row r="6" spans="1:10" ht="47.25" customHeight="1" x14ac:dyDescent="0.2">
      <c r="A6" s="643" t="s">
        <v>14</v>
      </c>
      <c r="B6" s="645" t="s">
        <v>73</v>
      </c>
      <c r="C6" s="643" t="s">
        <v>74</v>
      </c>
      <c r="D6" s="647" t="s">
        <v>75</v>
      </c>
      <c r="E6" s="648"/>
      <c r="F6" s="648"/>
      <c r="G6" s="648"/>
      <c r="H6" s="649"/>
      <c r="I6" s="645" t="s">
        <v>76</v>
      </c>
      <c r="J6" s="650" t="s">
        <v>77</v>
      </c>
    </row>
    <row r="7" spans="1:10" ht="121.5" x14ac:dyDescent="0.2">
      <c r="A7" s="644"/>
      <c r="B7" s="646"/>
      <c r="C7" s="644"/>
      <c r="D7" s="29" t="s">
        <v>78</v>
      </c>
      <c r="E7" s="29" t="s">
        <v>79</v>
      </c>
      <c r="F7" s="29" t="s">
        <v>80</v>
      </c>
      <c r="G7" s="29" t="s">
        <v>81</v>
      </c>
      <c r="H7" s="30" t="s">
        <v>18</v>
      </c>
      <c r="I7" s="646"/>
      <c r="J7" s="651"/>
    </row>
    <row r="8" spans="1:10" ht="15" x14ac:dyDescent="0.2">
      <c r="A8" s="31">
        <v>1</v>
      </c>
      <c r="B8" s="31">
        <v>2</v>
      </c>
      <c r="C8" s="31">
        <v>3</v>
      </c>
      <c r="D8" s="32">
        <v>4</v>
      </c>
      <c r="E8" s="32">
        <v>5</v>
      </c>
      <c r="F8" s="32">
        <v>6</v>
      </c>
      <c r="G8" s="32">
        <v>7</v>
      </c>
      <c r="H8" s="31">
        <v>8</v>
      </c>
      <c r="I8" s="31">
        <v>9</v>
      </c>
      <c r="J8" s="33">
        <v>10</v>
      </c>
    </row>
    <row r="9" spans="1:10" ht="24.75" customHeight="1" x14ac:dyDescent="0.2">
      <c r="A9" s="34">
        <v>2</v>
      </c>
      <c r="B9" s="19" t="s">
        <v>420</v>
      </c>
      <c r="C9" s="35" t="s">
        <v>44</v>
      </c>
      <c r="D9" s="38">
        <f>'1-1'!D3</f>
        <v>0</v>
      </c>
      <c r="E9" s="38"/>
      <c r="F9" s="38"/>
      <c r="G9" s="38"/>
      <c r="H9" s="38">
        <f>D9+E9</f>
        <v>0</v>
      </c>
      <c r="I9" s="191"/>
      <c r="J9" s="40"/>
    </row>
    <row r="10" spans="1:10" ht="24.75" customHeight="1" x14ac:dyDescent="0.2">
      <c r="A10" s="34">
        <v>3</v>
      </c>
      <c r="B10" s="19" t="s">
        <v>421</v>
      </c>
      <c r="C10" s="35" t="s">
        <v>82</v>
      </c>
      <c r="D10" s="38">
        <f>'1-2'!G2</f>
        <v>0</v>
      </c>
      <c r="E10" s="38"/>
      <c r="F10" s="38"/>
      <c r="G10" s="38"/>
      <c r="H10" s="38">
        <f t="shared" ref="H10:H11" si="0">D10+E10</f>
        <v>0</v>
      </c>
      <c r="I10" s="191"/>
      <c r="J10" s="40"/>
    </row>
    <row r="11" spans="1:10" ht="24.75" customHeight="1" x14ac:dyDescent="0.2">
      <c r="A11" s="34">
        <v>5</v>
      </c>
      <c r="B11" s="19" t="s">
        <v>422</v>
      </c>
      <c r="C11" s="35" t="s">
        <v>234</v>
      </c>
      <c r="D11" s="38"/>
      <c r="E11" s="38">
        <f>'1-3'!E4</f>
        <v>0</v>
      </c>
      <c r="F11" s="38"/>
      <c r="G11" s="38"/>
      <c r="H11" s="38">
        <f t="shared" si="0"/>
        <v>0</v>
      </c>
      <c r="I11" s="191"/>
      <c r="J11" s="40"/>
    </row>
    <row r="12" spans="1:10" ht="24.75" customHeight="1" x14ac:dyDescent="0.2">
      <c r="A12" s="159">
        <v>7</v>
      </c>
      <c r="B12" s="19" t="s">
        <v>423</v>
      </c>
      <c r="C12" s="160" t="s">
        <v>83</v>
      </c>
      <c r="D12" s="202"/>
      <c r="E12" s="202">
        <f>'1-4'!D6</f>
        <v>0</v>
      </c>
      <c r="F12" s="202"/>
      <c r="G12" s="202"/>
      <c r="H12" s="202">
        <f>D12+E12</f>
        <v>0</v>
      </c>
      <c r="I12" s="203"/>
      <c r="J12" s="161"/>
    </row>
    <row r="13" spans="1:10" ht="23.25" customHeight="1" x14ac:dyDescent="0.2">
      <c r="A13" s="34"/>
      <c r="B13" s="42"/>
      <c r="C13" s="35" t="s">
        <v>46</v>
      </c>
      <c r="D13" s="43">
        <f>SUM(D9:D12)</f>
        <v>0</v>
      </c>
      <c r="E13" s="43">
        <f>SUM(E9:E12)</f>
        <v>0</v>
      </c>
      <c r="F13" s="38"/>
      <c r="G13" s="38"/>
      <c r="H13" s="43">
        <f>SUM(H9:H12)</f>
        <v>0</v>
      </c>
      <c r="I13" s="43"/>
      <c r="J13" s="40"/>
    </row>
    <row r="15" spans="1:10" ht="15.75" x14ac:dyDescent="0.2">
      <c r="A15" s="652"/>
      <c r="B15" s="652"/>
      <c r="C15" s="652"/>
      <c r="D15" s="652"/>
      <c r="E15" s="653"/>
      <c r="F15" s="653"/>
      <c r="G15" s="653"/>
      <c r="H15" s="653"/>
      <c r="I15" s="653"/>
    </row>
    <row r="16" spans="1:10" ht="15.75" x14ac:dyDescent="0.2">
      <c r="B16" s="44"/>
      <c r="C16" s="44"/>
      <c r="D16" s="44"/>
      <c r="E16" s="44"/>
      <c r="F16" s="44"/>
      <c r="G16" s="44"/>
      <c r="H16" s="44"/>
      <c r="I16" s="44"/>
    </row>
    <row r="17" spans="2:9" ht="15.75" x14ac:dyDescent="0.2">
      <c r="B17" s="653"/>
      <c r="C17" s="653"/>
      <c r="D17" s="653"/>
      <c r="E17" s="653"/>
      <c r="F17" s="653"/>
      <c r="G17" s="653"/>
      <c r="H17" s="653"/>
      <c r="I17" s="653"/>
    </row>
  </sheetData>
  <mergeCells count="17">
    <mergeCell ref="J6:J7"/>
    <mergeCell ref="A15:D15"/>
    <mergeCell ref="E15:I15"/>
    <mergeCell ref="B17:D17"/>
    <mergeCell ref="E17:I17"/>
    <mergeCell ref="I6:I7"/>
    <mergeCell ref="A5:H5"/>
    <mergeCell ref="A6:A7"/>
    <mergeCell ref="B6:B7"/>
    <mergeCell ref="C6:C7"/>
    <mergeCell ref="D6:H6"/>
    <mergeCell ref="A1:C1"/>
    <mergeCell ref="H1:I1"/>
    <mergeCell ref="C2:H2"/>
    <mergeCell ref="A3:I3"/>
    <mergeCell ref="B4:C4"/>
    <mergeCell ref="G4:H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5"/>
  <sheetViews>
    <sheetView topLeftCell="A214" zoomScale="91" zoomScaleNormal="91" workbookViewId="0">
      <selection activeCell="L239" sqref="L239"/>
    </sheetView>
  </sheetViews>
  <sheetFormatPr defaultRowHeight="12.75" x14ac:dyDescent="0.2"/>
  <cols>
    <col min="1" max="1" width="5" style="101" customWidth="1"/>
    <col min="2" max="2" width="11" style="101" customWidth="1"/>
    <col min="3" max="3" width="34.140625" style="101" customWidth="1"/>
    <col min="4" max="4" width="10" style="101" customWidth="1"/>
    <col min="5" max="5" width="8.42578125" style="101" customWidth="1"/>
    <col min="6" max="6" width="9.7109375" style="101" customWidth="1"/>
    <col min="7" max="7" width="9" style="101" customWidth="1"/>
    <col min="8" max="8" width="10.7109375" style="101" customWidth="1"/>
    <col min="9" max="9" width="9.42578125" style="101" bestFit="1" customWidth="1"/>
    <col min="10" max="10" width="9.28515625" style="222" customWidth="1"/>
    <col min="11" max="12" width="11.28515625" style="101" bestFit="1" customWidth="1"/>
    <col min="13" max="13" width="12.28515625" style="101" bestFit="1" customWidth="1"/>
    <col min="14" max="14" width="11.140625" style="101" bestFit="1" customWidth="1"/>
    <col min="15" max="15" width="11.140625" style="101" customWidth="1"/>
    <col min="16" max="256" width="9.140625" style="101"/>
    <col min="257" max="257" width="5" style="101" customWidth="1"/>
    <col min="258" max="258" width="11" style="101" customWidth="1"/>
    <col min="259" max="259" width="48.85546875" style="101" customWidth="1"/>
    <col min="260" max="260" width="10" style="101" customWidth="1"/>
    <col min="261" max="261" width="8.42578125" style="101" customWidth="1"/>
    <col min="262" max="262" width="9.7109375" style="101" customWidth="1"/>
    <col min="263" max="263" width="9" style="101" customWidth="1"/>
    <col min="264" max="264" width="10.7109375" style="101" customWidth="1"/>
    <col min="265" max="265" width="9.42578125" style="101" bestFit="1" customWidth="1"/>
    <col min="266" max="266" width="9.28515625" style="101" customWidth="1"/>
    <col min="267" max="268" width="11.28515625" style="101" bestFit="1" customWidth="1"/>
    <col min="269" max="269" width="12.28515625" style="101" bestFit="1" customWidth="1"/>
    <col min="270" max="270" width="11.140625" style="101" bestFit="1" customWidth="1"/>
    <col min="271" max="271" width="11.140625" style="101" customWidth="1"/>
    <col min="272" max="512" width="9.140625" style="101"/>
    <col min="513" max="513" width="5" style="101" customWidth="1"/>
    <col min="514" max="514" width="11" style="101" customWidth="1"/>
    <col min="515" max="515" width="48.85546875" style="101" customWidth="1"/>
    <col min="516" max="516" width="10" style="101" customWidth="1"/>
    <col min="517" max="517" width="8.42578125" style="101" customWidth="1"/>
    <col min="518" max="518" width="9.7109375" style="101" customWidth="1"/>
    <col min="519" max="519" width="9" style="101" customWidth="1"/>
    <col min="520" max="520" width="10.7109375" style="101" customWidth="1"/>
    <col min="521" max="521" width="9.42578125" style="101" bestFit="1" customWidth="1"/>
    <col min="522" max="522" width="9.28515625" style="101" customWidth="1"/>
    <col min="523" max="524" width="11.28515625" style="101" bestFit="1" customWidth="1"/>
    <col min="525" max="525" width="12.28515625" style="101" bestFit="1" customWidth="1"/>
    <col min="526" max="526" width="11.140625" style="101" bestFit="1" customWidth="1"/>
    <col min="527" max="527" width="11.140625" style="101" customWidth="1"/>
    <col min="528" max="768" width="9.140625" style="101"/>
    <col min="769" max="769" width="5" style="101" customWidth="1"/>
    <col min="770" max="770" width="11" style="101" customWidth="1"/>
    <col min="771" max="771" width="48.85546875" style="101" customWidth="1"/>
    <col min="772" max="772" width="10" style="101" customWidth="1"/>
    <col min="773" max="773" width="8.42578125" style="101" customWidth="1"/>
    <col min="774" max="774" width="9.7109375" style="101" customWidth="1"/>
    <col min="775" max="775" width="9" style="101" customWidth="1"/>
    <col min="776" max="776" width="10.7109375" style="101" customWidth="1"/>
    <col min="777" max="777" width="9.42578125" style="101" bestFit="1" customWidth="1"/>
    <col min="778" max="778" width="9.28515625" style="101" customWidth="1"/>
    <col min="779" max="780" width="11.28515625" style="101" bestFit="1" customWidth="1"/>
    <col min="781" max="781" width="12.28515625" style="101" bestFit="1" customWidth="1"/>
    <col min="782" max="782" width="11.140625" style="101" bestFit="1" customWidth="1"/>
    <col min="783" max="783" width="11.140625" style="101" customWidth="1"/>
    <col min="784" max="1024" width="9.140625" style="101"/>
    <col min="1025" max="1025" width="5" style="101" customWidth="1"/>
    <col min="1026" max="1026" width="11" style="101" customWidth="1"/>
    <col min="1027" max="1027" width="48.85546875" style="101" customWidth="1"/>
    <col min="1028" max="1028" width="10" style="101" customWidth="1"/>
    <col min="1029" max="1029" width="8.42578125" style="101" customWidth="1"/>
    <col min="1030" max="1030" width="9.7109375" style="101" customWidth="1"/>
    <col min="1031" max="1031" width="9" style="101" customWidth="1"/>
    <col min="1032" max="1032" width="10.7109375" style="101" customWidth="1"/>
    <col min="1033" max="1033" width="9.42578125" style="101" bestFit="1" customWidth="1"/>
    <col min="1034" max="1034" width="9.28515625" style="101" customWidth="1"/>
    <col min="1035" max="1036" width="11.28515625" style="101" bestFit="1" customWidth="1"/>
    <col min="1037" max="1037" width="12.28515625" style="101" bestFit="1" customWidth="1"/>
    <col min="1038" max="1038" width="11.140625" style="101" bestFit="1" customWidth="1"/>
    <col min="1039" max="1039" width="11.140625" style="101" customWidth="1"/>
    <col min="1040" max="1280" width="9.140625" style="101"/>
    <col min="1281" max="1281" width="5" style="101" customWidth="1"/>
    <col min="1282" max="1282" width="11" style="101" customWidth="1"/>
    <col min="1283" max="1283" width="48.85546875" style="101" customWidth="1"/>
    <col min="1284" max="1284" width="10" style="101" customWidth="1"/>
    <col min="1285" max="1285" width="8.42578125" style="101" customWidth="1"/>
    <col min="1286" max="1286" width="9.7109375" style="101" customWidth="1"/>
    <col min="1287" max="1287" width="9" style="101" customWidth="1"/>
    <col min="1288" max="1288" width="10.7109375" style="101" customWidth="1"/>
    <col min="1289" max="1289" width="9.42578125" style="101" bestFit="1" customWidth="1"/>
    <col min="1290" max="1290" width="9.28515625" style="101" customWidth="1"/>
    <col min="1291" max="1292" width="11.28515625" style="101" bestFit="1" customWidth="1"/>
    <col min="1293" max="1293" width="12.28515625" style="101" bestFit="1" customWidth="1"/>
    <col min="1294" max="1294" width="11.140625" style="101" bestFit="1" customWidth="1"/>
    <col min="1295" max="1295" width="11.140625" style="101" customWidth="1"/>
    <col min="1296" max="1536" width="9.140625" style="101"/>
    <col min="1537" max="1537" width="5" style="101" customWidth="1"/>
    <col min="1538" max="1538" width="11" style="101" customWidth="1"/>
    <col min="1539" max="1539" width="48.85546875" style="101" customWidth="1"/>
    <col min="1540" max="1540" width="10" style="101" customWidth="1"/>
    <col min="1541" max="1541" width="8.42578125" style="101" customWidth="1"/>
    <col min="1542" max="1542" width="9.7109375" style="101" customWidth="1"/>
    <col min="1543" max="1543" width="9" style="101" customWidth="1"/>
    <col min="1544" max="1544" width="10.7109375" style="101" customWidth="1"/>
    <col min="1545" max="1545" width="9.42578125" style="101" bestFit="1" customWidth="1"/>
    <col min="1546" max="1546" width="9.28515625" style="101" customWidth="1"/>
    <col min="1547" max="1548" width="11.28515625" style="101" bestFit="1" customWidth="1"/>
    <col min="1549" max="1549" width="12.28515625" style="101" bestFit="1" customWidth="1"/>
    <col min="1550" max="1550" width="11.140625" style="101" bestFit="1" customWidth="1"/>
    <col min="1551" max="1551" width="11.140625" style="101" customWidth="1"/>
    <col min="1552" max="1792" width="9.140625" style="101"/>
    <col min="1793" max="1793" width="5" style="101" customWidth="1"/>
    <col min="1794" max="1794" width="11" style="101" customWidth="1"/>
    <col min="1795" max="1795" width="48.85546875" style="101" customWidth="1"/>
    <col min="1796" max="1796" width="10" style="101" customWidth="1"/>
    <col min="1797" max="1797" width="8.42578125" style="101" customWidth="1"/>
    <col min="1798" max="1798" width="9.7109375" style="101" customWidth="1"/>
    <col min="1799" max="1799" width="9" style="101" customWidth="1"/>
    <col min="1800" max="1800" width="10.7109375" style="101" customWidth="1"/>
    <col min="1801" max="1801" width="9.42578125" style="101" bestFit="1" customWidth="1"/>
    <col min="1802" max="1802" width="9.28515625" style="101" customWidth="1"/>
    <col min="1803" max="1804" width="11.28515625" style="101" bestFit="1" customWidth="1"/>
    <col min="1805" max="1805" width="12.28515625" style="101" bestFit="1" customWidth="1"/>
    <col min="1806" max="1806" width="11.140625" style="101" bestFit="1" customWidth="1"/>
    <col min="1807" max="1807" width="11.140625" style="101" customWidth="1"/>
    <col min="1808" max="2048" width="9.140625" style="101"/>
    <col min="2049" max="2049" width="5" style="101" customWidth="1"/>
    <col min="2050" max="2050" width="11" style="101" customWidth="1"/>
    <col min="2051" max="2051" width="48.85546875" style="101" customWidth="1"/>
    <col min="2052" max="2052" width="10" style="101" customWidth="1"/>
    <col min="2053" max="2053" width="8.42578125" style="101" customWidth="1"/>
    <col min="2054" max="2054" width="9.7109375" style="101" customWidth="1"/>
    <col min="2055" max="2055" width="9" style="101" customWidth="1"/>
    <col min="2056" max="2056" width="10.7109375" style="101" customWidth="1"/>
    <col min="2057" max="2057" width="9.42578125" style="101" bestFit="1" customWidth="1"/>
    <col min="2058" max="2058" width="9.28515625" style="101" customWidth="1"/>
    <col min="2059" max="2060" width="11.28515625" style="101" bestFit="1" customWidth="1"/>
    <col min="2061" max="2061" width="12.28515625" style="101" bestFit="1" customWidth="1"/>
    <col min="2062" max="2062" width="11.140625" style="101" bestFit="1" customWidth="1"/>
    <col min="2063" max="2063" width="11.140625" style="101" customWidth="1"/>
    <col min="2064" max="2304" width="9.140625" style="101"/>
    <col min="2305" max="2305" width="5" style="101" customWidth="1"/>
    <col min="2306" max="2306" width="11" style="101" customWidth="1"/>
    <col min="2307" max="2307" width="48.85546875" style="101" customWidth="1"/>
    <col min="2308" max="2308" width="10" style="101" customWidth="1"/>
    <col min="2309" max="2309" width="8.42578125" style="101" customWidth="1"/>
    <col min="2310" max="2310" width="9.7109375" style="101" customWidth="1"/>
    <col min="2311" max="2311" width="9" style="101" customWidth="1"/>
    <col min="2312" max="2312" width="10.7109375" style="101" customWidth="1"/>
    <col min="2313" max="2313" width="9.42578125" style="101" bestFit="1" customWidth="1"/>
    <col min="2314" max="2314" width="9.28515625" style="101" customWidth="1"/>
    <col min="2315" max="2316" width="11.28515625" style="101" bestFit="1" customWidth="1"/>
    <col min="2317" max="2317" width="12.28515625" style="101" bestFit="1" customWidth="1"/>
    <col min="2318" max="2318" width="11.140625" style="101" bestFit="1" customWidth="1"/>
    <col min="2319" max="2319" width="11.140625" style="101" customWidth="1"/>
    <col min="2320" max="2560" width="9.140625" style="101"/>
    <col min="2561" max="2561" width="5" style="101" customWidth="1"/>
    <col min="2562" max="2562" width="11" style="101" customWidth="1"/>
    <col min="2563" max="2563" width="48.85546875" style="101" customWidth="1"/>
    <col min="2564" max="2564" width="10" style="101" customWidth="1"/>
    <col min="2565" max="2565" width="8.42578125" style="101" customWidth="1"/>
    <col min="2566" max="2566" width="9.7109375" style="101" customWidth="1"/>
    <col min="2567" max="2567" width="9" style="101" customWidth="1"/>
    <col min="2568" max="2568" width="10.7109375" style="101" customWidth="1"/>
    <col min="2569" max="2569" width="9.42578125" style="101" bestFit="1" customWidth="1"/>
    <col min="2570" max="2570" width="9.28515625" style="101" customWidth="1"/>
    <col min="2571" max="2572" width="11.28515625" style="101" bestFit="1" customWidth="1"/>
    <col min="2573" max="2573" width="12.28515625" style="101" bestFit="1" customWidth="1"/>
    <col min="2574" max="2574" width="11.140625" style="101" bestFit="1" customWidth="1"/>
    <col min="2575" max="2575" width="11.140625" style="101" customWidth="1"/>
    <col min="2576" max="2816" width="9.140625" style="101"/>
    <col min="2817" max="2817" width="5" style="101" customWidth="1"/>
    <col min="2818" max="2818" width="11" style="101" customWidth="1"/>
    <col min="2819" max="2819" width="48.85546875" style="101" customWidth="1"/>
    <col min="2820" max="2820" width="10" style="101" customWidth="1"/>
    <col min="2821" max="2821" width="8.42578125" style="101" customWidth="1"/>
    <col min="2822" max="2822" width="9.7109375" style="101" customWidth="1"/>
    <col min="2823" max="2823" width="9" style="101" customWidth="1"/>
    <col min="2824" max="2824" width="10.7109375" style="101" customWidth="1"/>
    <col min="2825" max="2825" width="9.42578125" style="101" bestFit="1" customWidth="1"/>
    <col min="2826" max="2826" width="9.28515625" style="101" customWidth="1"/>
    <col min="2827" max="2828" width="11.28515625" style="101" bestFit="1" customWidth="1"/>
    <col min="2829" max="2829" width="12.28515625" style="101" bestFit="1" customWidth="1"/>
    <col min="2830" max="2830" width="11.140625" style="101" bestFit="1" customWidth="1"/>
    <col min="2831" max="2831" width="11.140625" style="101" customWidth="1"/>
    <col min="2832" max="3072" width="9.140625" style="101"/>
    <col min="3073" max="3073" width="5" style="101" customWidth="1"/>
    <col min="3074" max="3074" width="11" style="101" customWidth="1"/>
    <col min="3075" max="3075" width="48.85546875" style="101" customWidth="1"/>
    <col min="3076" max="3076" width="10" style="101" customWidth="1"/>
    <col min="3077" max="3077" width="8.42578125" style="101" customWidth="1"/>
    <col min="3078" max="3078" width="9.7109375" style="101" customWidth="1"/>
    <col min="3079" max="3079" width="9" style="101" customWidth="1"/>
    <col min="3080" max="3080" width="10.7109375" style="101" customWidth="1"/>
    <col min="3081" max="3081" width="9.42578125" style="101" bestFit="1" customWidth="1"/>
    <col min="3082" max="3082" width="9.28515625" style="101" customWidth="1"/>
    <col min="3083" max="3084" width="11.28515625" style="101" bestFit="1" customWidth="1"/>
    <col min="3085" max="3085" width="12.28515625" style="101" bestFit="1" customWidth="1"/>
    <col min="3086" max="3086" width="11.140625" style="101" bestFit="1" customWidth="1"/>
    <col min="3087" max="3087" width="11.140625" style="101" customWidth="1"/>
    <col min="3088" max="3328" width="9.140625" style="101"/>
    <col min="3329" max="3329" width="5" style="101" customWidth="1"/>
    <col min="3330" max="3330" width="11" style="101" customWidth="1"/>
    <col min="3331" max="3331" width="48.85546875" style="101" customWidth="1"/>
    <col min="3332" max="3332" width="10" style="101" customWidth="1"/>
    <col min="3333" max="3333" width="8.42578125" style="101" customWidth="1"/>
    <col min="3334" max="3334" width="9.7109375" style="101" customWidth="1"/>
    <col min="3335" max="3335" width="9" style="101" customWidth="1"/>
    <col min="3336" max="3336" width="10.7109375" style="101" customWidth="1"/>
    <col min="3337" max="3337" width="9.42578125" style="101" bestFit="1" customWidth="1"/>
    <col min="3338" max="3338" width="9.28515625" style="101" customWidth="1"/>
    <col min="3339" max="3340" width="11.28515625" style="101" bestFit="1" customWidth="1"/>
    <col min="3341" max="3341" width="12.28515625" style="101" bestFit="1" customWidth="1"/>
    <col min="3342" max="3342" width="11.140625" style="101" bestFit="1" customWidth="1"/>
    <col min="3343" max="3343" width="11.140625" style="101" customWidth="1"/>
    <col min="3344" max="3584" width="9.140625" style="101"/>
    <col min="3585" max="3585" width="5" style="101" customWidth="1"/>
    <col min="3586" max="3586" width="11" style="101" customWidth="1"/>
    <col min="3587" max="3587" width="48.85546875" style="101" customWidth="1"/>
    <col min="3588" max="3588" width="10" style="101" customWidth="1"/>
    <col min="3589" max="3589" width="8.42578125" style="101" customWidth="1"/>
    <col min="3590" max="3590" width="9.7109375" style="101" customWidth="1"/>
    <col min="3591" max="3591" width="9" style="101" customWidth="1"/>
    <col min="3592" max="3592" width="10.7109375" style="101" customWidth="1"/>
    <col min="3593" max="3593" width="9.42578125" style="101" bestFit="1" customWidth="1"/>
    <col min="3594" max="3594" width="9.28515625" style="101" customWidth="1"/>
    <col min="3595" max="3596" width="11.28515625" style="101" bestFit="1" customWidth="1"/>
    <col min="3597" max="3597" width="12.28515625" style="101" bestFit="1" customWidth="1"/>
    <col min="3598" max="3598" width="11.140625" style="101" bestFit="1" customWidth="1"/>
    <col min="3599" max="3599" width="11.140625" style="101" customWidth="1"/>
    <col min="3600" max="3840" width="9.140625" style="101"/>
    <col min="3841" max="3841" width="5" style="101" customWidth="1"/>
    <col min="3842" max="3842" width="11" style="101" customWidth="1"/>
    <col min="3843" max="3843" width="48.85546875" style="101" customWidth="1"/>
    <col min="3844" max="3844" width="10" style="101" customWidth="1"/>
    <col min="3845" max="3845" width="8.42578125" style="101" customWidth="1"/>
    <col min="3846" max="3846" width="9.7109375" style="101" customWidth="1"/>
    <col min="3847" max="3847" width="9" style="101" customWidth="1"/>
    <col min="3848" max="3848" width="10.7109375" style="101" customWidth="1"/>
    <col min="3849" max="3849" width="9.42578125" style="101" bestFit="1" customWidth="1"/>
    <col min="3850" max="3850" width="9.28515625" style="101" customWidth="1"/>
    <col min="3851" max="3852" width="11.28515625" style="101" bestFit="1" customWidth="1"/>
    <col min="3853" max="3853" width="12.28515625" style="101" bestFit="1" customWidth="1"/>
    <col min="3854" max="3854" width="11.140625" style="101" bestFit="1" customWidth="1"/>
    <col min="3855" max="3855" width="11.140625" style="101" customWidth="1"/>
    <col min="3856" max="4096" width="9.140625" style="101"/>
    <col min="4097" max="4097" width="5" style="101" customWidth="1"/>
    <col min="4098" max="4098" width="11" style="101" customWidth="1"/>
    <col min="4099" max="4099" width="48.85546875" style="101" customWidth="1"/>
    <col min="4100" max="4100" width="10" style="101" customWidth="1"/>
    <col min="4101" max="4101" width="8.42578125" style="101" customWidth="1"/>
    <col min="4102" max="4102" width="9.7109375" style="101" customWidth="1"/>
    <col min="4103" max="4103" width="9" style="101" customWidth="1"/>
    <col min="4104" max="4104" width="10.7109375" style="101" customWidth="1"/>
    <col min="4105" max="4105" width="9.42578125" style="101" bestFit="1" customWidth="1"/>
    <col min="4106" max="4106" width="9.28515625" style="101" customWidth="1"/>
    <col min="4107" max="4108" width="11.28515625" style="101" bestFit="1" customWidth="1"/>
    <col min="4109" max="4109" width="12.28515625" style="101" bestFit="1" customWidth="1"/>
    <col min="4110" max="4110" width="11.140625" style="101" bestFit="1" customWidth="1"/>
    <col min="4111" max="4111" width="11.140625" style="101" customWidth="1"/>
    <col min="4112" max="4352" width="9.140625" style="101"/>
    <col min="4353" max="4353" width="5" style="101" customWidth="1"/>
    <col min="4354" max="4354" width="11" style="101" customWidth="1"/>
    <col min="4355" max="4355" width="48.85546875" style="101" customWidth="1"/>
    <col min="4356" max="4356" width="10" style="101" customWidth="1"/>
    <col min="4357" max="4357" width="8.42578125" style="101" customWidth="1"/>
    <col min="4358" max="4358" width="9.7109375" style="101" customWidth="1"/>
    <col min="4359" max="4359" width="9" style="101" customWidth="1"/>
    <col min="4360" max="4360" width="10.7109375" style="101" customWidth="1"/>
    <col min="4361" max="4361" width="9.42578125" style="101" bestFit="1" customWidth="1"/>
    <col min="4362" max="4362" width="9.28515625" style="101" customWidth="1"/>
    <col min="4363" max="4364" width="11.28515625" style="101" bestFit="1" customWidth="1"/>
    <col min="4365" max="4365" width="12.28515625" style="101" bestFit="1" customWidth="1"/>
    <col min="4366" max="4366" width="11.140625" style="101" bestFit="1" customWidth="1"/>
    <col min="4367" max="4367" width="11.140625" style="101" customWidth="1"/>
    <col min="4368" max="4608" width="9.140625" style="101"/>
    <col min="4609" max="4609" width="5" style="101" customWidth="1"/>
    <col min="4610" max="4610" width="11" style="101" customWidth="1"/>
    <col min="4611" max="4611" width="48.85546875" style="101" customWidth="1"/>
    <col min="4612" max="4612" width="10" style="101" customWidth="1"/>
    <col min="4613" max="4613" width="8.42578125" style="101" customWidth="1"/>
    <col min="4614" max="4614" width="9.7109375" style="101" customWidth="1"/>
    <col min="4615" max="4615" width="9" style="101" customWidth="1"/>
    <col min="4616" max="4616" width="10.7109375" style="101" customWidth="1"/>
    <col min="4617" max="4617" width="9.42578125" style="101" bestFit="1" customWidth="1"/>
    <col min="4618" max="4618" width="9.28515625" style="101" customWidth="1"/>
    <col min="4619" max="4620" width="11.28515625" style="101" bestFit="1" customWidth="1"/>
    <col min="4621" max="4621" width="12.28515625" style="101" bestFit="1" customWidth="1"/>
    <col min="4622" max="4622" width="11.140625" style="101" bestFit="1" customWidth="1"/>
    <col min="4623" max="4623" width="11.140625" style="101" customWidth="1"/>
    <col min="4624" max="4864" width="9.140625" style="101"/>
    <col min="4865" max="4865" width="5" style="101" customWidth="1"/>
    <col min="4866" max="4866" width="11" style="101" customWidth="1"/>
    <col min="4867" max="4867" width="48.85546875" style="101" customWidth="1"/>
    <col min="4868" max="4868" width="10" style="101" customWidth="1"/>
    <col min="4869" max="4869" width="8.42578125" style="101" customWidth="1"/>
    <col min="4870" max="4870" width="9.7109375" style="101" customWidth="1"/>
    <col min="4871" max="4871" width="9" style="101" customWidth="1"/>
    <col min="4872" max="4872" width="10.7109375" style="101" customWidth="1"/>
    <col min="4873" max="4873" width="9.42578125" style="101" bestFit="1" customWidth="1"/>
    <col min="4874" max="4874" width="9.28515625" style="101" customWidth="1"/>
    <col min="4875" max="4876" width="11.28515625" style="101" bestFit="1" customWidth="1"/>
    <col min="4877" max="4877" width="12.28515625" style="101" bestFit="1" customWidth="1"/>
    <col min="4878" max="4878" width="11.140625" style="101" bestFit="1" customWidth="1"/>
    <col min="4879" max="4879" width="11.140625" style="101" customWidth="1"/>
    <col min="4880" max="5120" width="9.140625" style="101"/>
    <col min="5121" max="5121" width="5" style="101" customWidth="1"/>
    <col min="5122" max="5122" width="11" style="101" customWidth="1"/>
    <col min="5123" max="5123" width="48.85546875" style="101" customWidth="1"/>
    <col min="5124" max="5124" width="10" style="101" customWidth="1"/>
    <col min="5125" max="5125" width="8.42578125" style="101" customWidth="1"/>
    <col min="5126" max="5126" width="9.7109375" style="101" customWidth="1"/>
    <col min="5127" max="5127" width="9" style="101" customWidth="1"/>
    <col min="5128" max="5128" width="10.7109375" style="101" customWidth="1"/>
    <col min="5129" max="5129" width="9.42578125" style="101" bestFit="1" customWidth="1"/>
    <col min="5130" max="5130" width="9.28515625" style="101" customWidth="1"/>
    <col min="5131" max="5132" width="11.28515625" style="101" bestFit="1" customWidth="1"/>
    <col min="5133" max="5133" width="12.28515625" style="101" bestFit="1" customWidth="1"/>
    <col min="5134" max="5134" width="11.140625" style="101" bestFit="1" customWidth="1"/>
    <col min="5135" max="5135" width="11.140625" style="101" customWidth="1"/>
    <col min="5136" max="5376" width="9.140625" style="101"/>
    <col min="5377" max="5377" width="5" style="101" customWidth="1"/>
    <col min="5378" max="5378" width="11" style="101" customWidth="1"/>
    <col min="5379" max="5379" width="48.85546875" style="101" customWidth="1"/>
    <col min="5380" max="5380" width="10" style="101" customWidth="1"/>
    <col min="5381" max="5381" width="8.42578125" style="101" customWidth="1"/>
    <col min="5382" max="5382" width="9.7109375" style="101" customWidth="1"/>
    <col min="5383" max="5383" width="9" style="101" customWidth="1"/>
    <col min="5384" max="5384" width="10.7109375" style="101" customWidth="1"/>
    <col min="5385" max="5385" width="9.42578125" style="101" bestFit="1" customWidth="1"/>
    <col min="5386" max="5386" width="9.28515625" style="101" customWidth="1"/>
    <col min="5387" max="5388" width="11.28515625" style="101" bestFit="1" customWidth="1"/>
    <col min="5389" max="5389" width="12.28515625" style="101" bestFit="1" customWidth="1"/>
    <col min="5390" max="5390" width="11.140625" style="101" bestFit="1" customWidth="1"/>
    <col min="5391" max="5391" width="11.140625" style="101" customWidth="1"/>
    <col min="5392" max="5632" width="9.140625" style="101"/>
    <col min="5633" max="5633" width="5" style="101" customWidth="1"/>
    <col min="5634" max="5634" width="11" style="101" customWidth="1"/>
    <col min="5635" max="5635" width="48.85546875" style="101" customWidth="1"/>
    <col min="5636" max="5636" width="10" style="101" customWidth="1"/>
    <col min="5637" max="5637" width="8.42578125" style="101" customWidth="1"/>
    <col min="5638" max="5638" width="9.7109375" style="101" customWidth="1"/>
    <col min="5639" max="5639" width="9" style="101" customWidth="1"/>
    <col min="5640" max="5640" width="10.7109375" style="101" customWidth="1"/>
    <col min="5641" max="5641" width="9.42578125" style="101" bestFit="1" customWidth="1"/>
    <col min="5642" max="5642" width="9.28515625" style="101" customWidth="1"/>
    <col min="5643" max="5644" width="11.28515625" style="101" bestFit="1" customWidth="1"/>
    <col min="5645" max="5645" width="12.28515625" style="101" bestFit="1" customWidth="1"/>
    <col min="5646" max="5646" width="11.140625" style="101" bestFit="1" customWidth="1"/>
    <col min="5647" max="5647" width="11.140625" style="101" customWidth="1"/>
    <col min="5648" max="5888" width="9.140625" style="101"/>
    <col min="5889" max="5889" width="5" style="101" customWidth="1"/>
    <col min="5890" max="5890" width="11" style="101" customWidth="1"/>
    <col min="5891" max="5891" width="48.85546875" style="101" customWidth="1"/>
    <col min="5892" max="5892" width="10" style="101" customWidth="1"/>
    <col min="5893" max="5893" width="8.42578125" style="101" customWidth="1"/>
    <col min="5894" max="5894" width="9.7109375" style="101" customWidth="1"/>
    <col min="5895" max="5895" width="9" style="101" customWidth="1"/>
    <col min="5896" max="5896" width="10.7109375" style="101" customWidth="1"/>
    <col min="5897" max="5897" width="9.42578125" style="101" bestFit="1" customWidth="1"/>
    <col min="5898" max="5898" width="9.28515625" style="101" customWidth="1"/>
    <col min="5899" max="5900" width="11.28515625" style="101" bestFit="1" customWidth="1"/>
    <col min="5901" max="5901" width="12.28515625" style="101" bestFit="1" customWidth="1"/>
    <col min="5902" max="5902" width="11.140625" style="101" bestFit="1" customWidth="1"/>
    <col min="5903" max="5903" width="11.140625" style="101" customWidth="1"/>
    <col min="5904" max="6144" width="9.140625" style="101"/>
    <col min="6145" max="6145" width="5" style="101" customWidth="1"/>
    <col min="6146" max="6146" width="11" style="101" customWidth="1"/>
    <col min="6147" max="6147" width="48.85546875" style="101" customWidth="1"/>
    <col min="6148" max="6148" width="10" style="101" customWidth="1"/>
    <col min="6149" max="6149" width="8.42578125" style="101" customWidth="1"/>
    <col min="6150" max="6150" width="9.7109375" style="101" customWidth="1"/>
    <col min="6151" max="6151" width="9" style="101" customWidth="1"/>
    <col min="6152" max="6152" width="10.7109375" style="101" customWidth="1"/>
    <col min="6153" max="6153" width="9.42578125" style="101" bestFit="1" customWidth="1"/>
    <col min="6154" max="6154" width="9.28515625" style="101" customWidth="1"/>
    <col min="6155" max="6156" width="11.28515625" style="101" bestFit="1" customWidth="1"/>
    <col min="6157" max="6157" width="12.28515625" style="101" bestFit="1" customWidth="1"/>
    <col min="6158" max="6158" width="11.140625" style="101" bestFit="1" customWidth="1"/>
    <col min="6159" max="6159" width="11.140625" style="101" customWidth="1"/>
    <col min="6160" max="6400" width="9.140625" style="101"/>
    <col min="6401" max="6401" width="5" style="101" customWidth="1"/>
    <col min="6402" max="6402" width="11" style="101" customWidth="1"/>
    <col min="6403" max="6403" width="48.85546875" style="101" customWidth="1"/>
    <col min="6404" max="6404" width="10" style="101" customWidth="1"/>
    <col min="6405" max="6405" width="8.42578125" style="101" customWidth="1"/>
    <col min="6406" max="6406" width="9.7109375" style="101" customWidth="1"/>
    <col min="6407" max="6407" width="9" style="101" customWidth="1"/>
    <col min="6408" max="6408" width="10.7109375" style="101" customWidth="1"/>
    <col min="6409" max="6409" width="9.42578125" style="101" bestFit="1" customWidth="1"/>
    <col min="6410" max="6410" width="9.28515625" style="101" customWidth="1"/>
    <col min="6411" max="6412" width="11.28515625" style="101" bestFit="1" customWidth="1"/>
    <col min="6413" max="6413" width="12.28515625" style="101" bestFit="1" customWidth="1"/>
    <col min="6414" max="6414" width="11.140625" style="101" bestFit="1" customWidth="1"/>
    <col min="6415" max="6415" width="11.140625" style="101" customWidth="1"/>
    <col min="6416" max="6656" width="9.140625" style="101"/>
    <col min="6657" max="6657" width="5" style="101" customWidth="1"/>
    <col min="6658" max="6658" width="11" style="101" customWidth="1"/>
    <col min="6659" max="6659" width="48.85546875" style="101" customWidth="1"/>
    <col min="6660" max="6660" width="10" style="101" customWidth="1"/>
    <col min="6661" max="6661" width="8.42578125" style="101" customWidth="1"/>
    <col min="6662" max="6662" width="9.7109375" style="101" customWidth="1"/>
    <col min="6663" max="6663" width="9" style="101" customWidth="1"/>
    <col min="6664" max="6664" width="10.7109375" style="101" customWidth="1"/>
    <col min="6665" max="6665" width="9.42578125" style="101" bestFit="1" customWidth="1"/>
    <col min="6666" max="6666" width="9.28515625" style="101" customWidth="1"/>
    <col min="6667" max="6668" width="11.28515625" style="101" bestFit="1" customWidth="1"/>
    <col min="6669" max="6669" width="12.28515625" style="101" bestFit="1" customWidth="1"/>
    <col min="6670" max="6670" width="11.140625" style="101" bestFit="1" customWidth="1"/>
    <col min="6671" max="6671" width="11.140625" style="101" customWidth="1"/>
    <col min="6672" max="6912" width="9.140625" style="101"/>
    <col min="6913" max="6913" width="5" style="101" customWidth="1"/>
    <col min="6914" max="6914" width="11" style="101" customWidth="1"/>
    <col min="6915" max="6915" width="48.85546875" style="101" customWidth="1"/>
    <col min="6916" max="6916" width="10" style="101" customWidth="1"/>
    <col min="6917" max="6917" width="8.42578125" style="101" customWidth="1"/>
    <col min="6918" max="6918" width="9.7109375" style="101" customWidth="1"/>
    <col min="6919" max="6919" width="9" style="101" customWidth="1"/>
    <col min="6920" max="6920" width="10.7109375" style="101" customWidth="1"/>
    <col min="6921" max="6921" width="9.42578125" style="101" bestFit="1" customWidth="1"/>
    <col min="6922" max="6922" width="9.28515625" style="101" customWidth="1"/>
    <col min="6923" max="6924" width="11.28515625" style="101" bestFit="1" customWidth="1"/>
    <col min="6925" max="6925" width="12.28515625" style="101" bestFit="1" customWidth="1"/>
    <col min="6926" max="6926" width="11.140625" style="101" bestFit="1" customWidth="1"/>
    <col min="6927" max="6927" width="11.140625" style="101" customWidth="1"/>
    <col min="6928" max="7168" width="9.140625" style="101"/>
    <col min="7169" max="7169" width="5" style="101" customWidth="1"/>
    <col min="7170" max="7170" width="11" style="101" customWidth="1"/>
    <col min="7171" max="7171" width="48.85546875" style="101" customWidth="1"/>
    <col min="7172" max="7172" width="10" style="101" customWidth="1"/>
    <col min="7173" max="7173" width="8.42578125" style="101" customWidth="1"/>
    <col min="7174" max="7174" width="9.7109375" style="101" customWidth="1"/>
    <col min="7175" max="7175" width="9" style="101" customWidth="1"/>
    <col min="7176" max="7176" width="10.7109375" style="101" customWidth="1"/>
    <col min="7177" max="7177" width="9.42578125" style="101" bestFit="1" customWidth="1"/>
    <col min="7178" max="7178" width="9.28515625" style="101" customWidth="1"/>
    <col min="7179" max="7180" width="11.28515625" style="101" bestFit="1" customWidth="1"/>
    <col min="7181" max="7181" width="12.28515625" style="101" bestFit="1" customWidth="1"/>
    <col min="7182" max="7182" width="11.140625" style="101" bestFit="1" customWidth="1"/>
    <col min="7183" max="7183" width="11.140625" style="101" customWidth="1"/>
    <col min="7184" max="7424" width="9.140625" style="101"/>
    <col min="7425" max="7425" width="5" style="101" customWidth="1"/>
    <col min="7426" max="7426" width="11" style="101" customWidth="1"/>
    <col min="7427" max="7427" width="48.85546875" style="101" customWidth="1"/>
    <col min="7428" max="7428" width="10" style="101" customWidth="1"/>
    <col min="7429" max="7429" width="8.42578125" style="101" customWidth="1"/>
    <col min="7430" max="7430" width="9.7109375" style="101" customWidth="1"/>
    <col min="7431" max="7431" width="9" style="101" customWidth="1"/>
    <col min="7432" max="7432" width="10.7109375" style="101" customWidth="1"/>
    <col min="7433" max="7433" width="9.42578125" style="101" bestFit="1" customWidth="1"/>
    <col min="7434" max="7434" width="9.28515625" style="101" customWidth="1"/>
    <col min="7435" max="7436" width="11.28515625" style="101" bestFit="1" customWidth="1"/>
    <col min="7437" max="7437" width="12.28515625" style="101" bestFit="1" customWidth="1"/>
    <col min="7438" max="7438" width="11.140625" style="101" bestFit="1" customWidth="1"/>
    <col min="7439" max="7439" width="11.140625" style="101" customWidth="1"/>
    <col min="7440" max="7680" width="9.140625" style="101"/>
    <col min="7681" max="7681" width="5" style="101" customWidth="1"/>
    <col min="7682" max="7682" width="11" style="101" customWidth="1"/>
    <col min="7683" max="7683" width="48.85546875" style="101" customWidth="1"/>
    <col min="7684" max="7684" width="10" style="101" customWidth="1"/>
    <col min="7685" max="7685" width="8.42578125" style="101" customWidth="1"/>
    <col min="7686" max="7686" width="9.7109375" style="101" customWidth="1"/>
    <col min="7687" max="7687" width="9" style="101" customWidth="1"/>
    <col min="7688" max="7688" width="10.7109375" style="101" customWidth="1"/>
    <col min="7689" max="7689" width="9.42578125" style="101" bestFit="1" customWidth="1"/>
    <col min="7690" max="7690" width="9.28515625" style="101" customWidth="1"/>
    <col min="7691" max="7692" width="11.28515625" style="101" bestFit="1" customWidth="1"/>
    <col min="7693" max="7693" width="12.28515625" style="101" bestFit="1" customWidth="1"/>
    <col min="7694" max="7694" width="11.140625" style="101" bestFit="1" customWidth="1"/>
    <col min="7695" max="7695" width="11.140625" style="101" customWidth="1"/>
    <col min="7696" max="7936" width="9.140625" style="101"/>
    <col min="7937" max="7937" width="5" style="101" customWidth="1"/>
    <col min="7938" max="7938" width="11" style="101" customWidth="1"/>
    <col min="7939" max="7939" width="48.85546875" style="101" customWidth="1"/>
    <col min="7940" max="7940" width="10" style="101" customWidth="1"/>
    <col min="7941" max="7941" width="8.42578125" style="101" customWidth="1"/>
    <col min="7942" max="7942" width="9.7109375" style="101" customWidth="1"/>
    <col min="7943" max="7943" width="9" style="101" customWidth="1"/>
    <col min="7944" max="7944" width="10.7109375" style="101" customWidth="1"/>
    <col min="7945" max="7945" width="9.42578125" style="101" bestFit="1" customWidth="1"/>
    <col min="7946" max="7946" width="9.28515625" style="101" customWidth="1"/>
    <col min="7947" max="7948" width="11.28515625" style="101" bestFit="1" customWidth="1"/>
    <col min="7949" max="7949" width="12.28515625" style="101" bestFit="1" customWidth="1"/>
    <col min="7950" max="7950" width="11.140625" style="101" bestFit="1" customWidth="1"/>
    <col min="7951" max="7951" width="11.140625" style="101" customWidth="1"/>
    <col min="7952" max="8192" width="9.140625" style="101"/>
    <col min="8193" max="8193" width="5" style="101" customWidth="1"/>
    <col min="8194" max="8194" width="11" style="101" customWidth="1"/>
    <col min="8195" max="8195" width="48.85546875" style="101" customWidth="1"/>
    <col min="8196" max="8196" width="10" style="101" customWidth="1"/>
    <col min="8197" max="8197" width="8.42578125" style="101" customWidth="1"/>
    <col min="8198" max="8198" width="9.7109375" style="101" customWidth="1"/>
    <col min="8199" max="8199" width="9" style="101" customWidth="1"/>
    <col min="8200" max="8200" width="10.7109375" style="101" customWidth="1"/>
    <col min="8201" max="8201" width="9.42578125" style="101" bestFit="1" customWidth="1"/>
    <col min="8202" max="8202" width="9.28515625" style="101" customWidth="1"/>
    <col min="8203" max="8204" width="11.28515625" style="101" bestFit="1" customWidth="1"/>
    <col min="8205" max="8205" width="12.28515625" style="101" bestFit="1" customWidth="1"/>
    <col min="8206" max="8206" width="11.140625" style="101" bestFit="1" customWidth="1"/>
    <col min="8207" max="8207" width="11.140625" style="101" customWidth="1"/>
    <col min="8208" max="8448" width="9.140625" style="101"/>
    <col min="8449" max="8449" width="5" style="101" customWidth="1"/>
    <col min="8450" max="8450" width="11" style="101" customWidth="1"/>
    <col min="8451" max="8451" width="48.85546875" style="101" customWidth="1"/>
    <col min="8452" max="8452" width="10" style="101" customWidth="1"/>
    <col min="8453" max="8453" width="8.42578125" style="101" customWidth="1"/>
    <col min="8454" max="8454" width="9.7109375" style="101" customWidth="1"/>
    <col min="8455" max="8455" width="9" style="101" customWidth="1"/>
    <col min="8456" max="8456" width="10.7109375" style="101" customWidth="1"/>
    <col min="8457" max="8457" width="9.42578125" style="101" bestFit="1" customWidth="1"/>
    <col min="8458" max="8458" width="9.28515625" style="101" customWidth="1"/>
    <col min="8459" max="8460" width="11.28515625" style="101" bestFit="1" customWidth="1"/>
    <col min="8461" max="8461" width="12.28515625" style="101" bestFit="1" customWidth="1"/>
    <col min="8462" max="8462" width="11.140625" style="101" bestFit="1" customWidth="1"/>
    <col min="8463" max="8463" width="11.140625" style="101" customWidth="1"/>
    <col min="8464" max="8704" width="9.140625" style="101"/>
    <col min="8705" max="8705" width="5" style="101" customWidth="1"/>
    <col min="8706" max="8706" width="11" style="101" customWidth="1"/>
    <col min="8707" max="8707" width="48.85546875" style="101" customWidth="1"/>
    <col min="8708" max="8708" width="10" style="101" customWidth="1"/>
    <col min="8709" max="8709" width="8.42578125" style="101" customWidth="1"/>
    <col min="8710" max="8710" width="9.7109375" style="101" customWidth="1"/>
    <col min="8711" max="8711" width="9" style="101" customWidth="1"/>
    <col min="8712" max="8712" width="10.7109375" style="101" customWidth="1"/>
    <col min="8713" max="8713" width="9.42578125" style="101" bestFit="1" customWidth="1"/>
    <col min="8714" max="8714" width="9.28515625" style="101" customWidth="1"/>
    <col min="8715" max="8716" width="11.28515625" style="101" bestFit="1" customWidth="1"/>
    <col min="8717" max="8717" width="12.28515625" style="101" bestFit="1" customWidth="1"/>
    <col min="8718" max="8718" width="11.140625" style="101" bestFit="1" customWidth="1"/>
    <col min="8719" max="8719" width="11.140625" style="101" customWidth="1"/>
    <col min="8720" max="8960" width="9.140625" style="101"/>
    <col min="8961" max="8961" width="5" style="101" customWidth="1"/>
    <col min="8962" max="8962" width="11" style="101" customWidth="1"/>
    <col min="8963" max="8963" width="48.85546875" style="101" customWidth="1"/>
    <col min="8964" max="8964" width="10" style="101" customWidth="1"/>
    <col min="8965" max="8965" width="8.42578125" style="101" customWidth="1"/>
    <col min="8966" max="8966" width="9.7109375" style="101" customWidth="1"/>
    <col min="8967" max="8967" width="9" style="101" customWidth="1"/>
    <col min="8968" max="8968" width="10.7109375" style="101" customWidth="1"/>
    <col min="8969" max="8969" width="9.42578125" style="101" bestFit="1" customWidth="1"/>
    <col min="8970" max="8970" width="9.28515625" style="101" customWidth="1"/>
    <col min="8971" max="8972" width="11.28515625" style="101" bestFit="1" customWidth="1"/>
    <col min="8973" max="8973" width="12.28515625" style="101" bestFit="1" customWidth="1"/>
    <col min="8974" max="8974" width="11.140625" style="101" bestFit="1" customWidth="1"/>
    <col min="8975" max="8975" width="11.140625" style="101" customWidth="1"/>
    <col min="8976" max="9216" width="9.140625" style="101"/>
    <col min="9217" max="9217" width="5" style="101" customWidth="1"/>
    <col min="9218" max="9218" width="11" style="101" customWidth="1"/>
    <col min="9219" max="9219" width="48.85546875" style="101" customWidth="1"/>
    <col min="9220" max="9220" width="10" style="101" customWidth="1"/>
    <col min="9221" max="9221" width="8.42578125" style="101" customWidth="1"/>
    <col min="9222" max="9222" width="9.7109375" style="101" customWidth="1"/>
    <col min="9223" max="9223" width="9" style="101" customWidth="1"/>
    <col min="9224" max="9224" width="10.7109375" style="101" customWidth="1"/>
    <col min="9225" max="9225" width="9.42578125" style="101" bestFit="1" customWidth="1"/>
    <col min="9226" max="9226" width="9.28515625" style="101" customWidth="1"/>
    <col min="9227" max="9228" width="11.28515625" style="101" bestFit="1" customWidth="1"/>
    <col min="9229" max="9229" width="12.28515625" style="101" bestFit="1" customWidth="1"/>
    <col min="9230" max="9230" width="11.140625" style="101" bestFit="1" customWidth="1"/>
    <col min="9231" max="9231" width="11.140625" style="101" customWidth="1"/>
    <col min="9232" max="9472" width="9.140625" style="101"/>
    <col min="9473" max="9473" width="5" style="101" customWidth="1"/>
    <col min="9474" max="9474" width="11" style="101" customWidth="1"/>
    <col min="9475" max="9475" width="48.85546875" style="101" customWidth="1"/>
    <col min="9476" max="9476" width="10" style="101" customWidth="1"/>
    <col min="9477" max="9477" width="8.42578125" style="101" customWidth="1"/>
    <col min="9478" max="9478" width="9.7109375" style="101" customWidth="1"/>
    <col min="9479" max="9479" width="9" style="101" customWidth="1"/>
    <col min="9480" max="9480" width="10.7109375" style="101" customWidth="1"/>
    <col min="9481" max="9481" width="9.42578125" style="101" bestFit="1" customWidth="1"/>
    <col min="9482" max="9482" width="9.28515625" style="101" customWidth="1"/>
    <col min="9483" max="9484" width="11.28515625" style="101" bestFit="1" customWidth="1"/>
    <col min="9485" max="9485" width="12.28515625" style="101" bestFit="1" customWidth="1"/>
    <col min="9486" max="9486" width="11.140625" style="101" bestFit="1" customWidth="1"/>
    <col min="9487" max="9487" width="11.140625" style="101" customWidth="1"/>
    <col min="9488" max="9728" width="9.140625" style="101"/>
    <col min="9729" max="9729" width="5" style="101" customWidth="1"/>
    <col min="9730" max="9730" width="11" style="101" customWidth="1"/>
    <col min="9731" max="9731" width="48.85546875" style="101" customWidth="1"/>
    <col min="9732" max="9732" width="10" style="101" customWidth="1"/>
    <col min="9733" max="9733" width="8.42578125" style="101" customWidth="1"/>
    <col min="9734" max="9734" width="9.7109375" style="101" customWidth="1"/>
    <col min="9735" max="9735" width="9" style="101" customWidth="1"/>
    <col min="9736" max="9736" width="10.7109375" style="101" customWidth="1"/>
    <col min="9737" max="9737" width="9.42578125" style="101" bestFit="1" customWidth="1"/>
    <col min="9738" max="9738" width="9.28515625" style="101" customWidth="1"/>
    <col min="9739" max="9740" width="11.28515625" style="101" bestFit="1" customWidth="1"/>
    <col min="9741" max="9741" width="12.28515625" style="101" bestFit="1" customWidth="1"/>
    <col min="9742" max="9742" width="11.140625" style="101" bestFit="1" customWidth="1"/>
    <col min="9743" max="9743" width="11.140625" style="101" customWidth="1"/>
    <col min="9744" max="9984" width="9.140625" style="101"/>
    <col min="9985" max="9985" width="5" style="101" customWidth="1"/>
    <col min="9986" max="9986" width="11" style="101" customWidth="1"/>
    <col min="9987" max="9987" width="48.85546875" style="101" customWidth="1"/>
    <col min="9988" max="9988" width="10" style="101" customWidth="1"/>
    <col min="9989" max="9989" width="8.42578125" style="101" customWidth="1"/>
    <col min="9990" max="9990" width="9.7109375" style="101" customWidth="1"/>
    <col min="9991" max="9991" width="9" style="101" customWidth="1"/>
    <col min="9992" max="9992" width="10.7109375" style="101" customWidth="1"/>
    <col min="9993" max="9993" width="9.42578125" style="101" bestFit="1" customWidth="1"/>
    <col min="9994" max="9994" width="9.28515625" style="101" customWidth="1"/>
    <col min="9995" max="9996" width="11.28515625" style="101" bestFit="1" customWidth="1"/>
    <col min="9997" max="9997" width="12.28515625" style="101" bestFit="1" customWidth="1"/>
    <col min="9998" max="9998" width="11.140625" style="101" bestFit="1" customWidth="1"/>
    <col min="9999" max="9999" width="11.140625" style="101" customWidth="1"/>
    <col min="10000" max="10240" width="9.140625" style="101"/>
    <col min="10241" max="10241" width="5" style="101" customWidth="1"/>
    <col min="10242" max="10242" width="11" style="101" customWidth="1"/>
    <col min="10243" max="10243" width="48.85546875" style="101" customWidth="1"/>
    <col min="10244" max="10244" width="10" style="101" customWidth="1"/>
    <col min="10245" max="10245" width="8.42578125" style="101" customWidth="1"/>
    <col min="10246" max="10246" width="9.7109375" style="101" customWidth="1"/>
    <col min="10247" max="10247" width="9" style="101" customWidth="1"/>
    <col min="10248" max="10248" width="10.7109375" style="101" customWidth="1"/>
    <col min="10249" max="10249" width="9.42578125" style="101" bestFit="1" customWidth="1"/>
    <col min="10250" max="10250" width="9.28515625" style="101" customWidth="1"/>
    <col min="10251" max="10252" width="11.28515625" style="101" bestFit="1" customWidth="1"/>
    <col min="10253" max="10253" width="12.28515625" style="101" bestFit="1" customWidth="1"/>
    <col min="10254" max="10254" width="11.140625" style="101" bestFit="1" customWidth="1"/>
    <col min="10255" max="10255" width="11.140625" style="101" customWidth="1"/>
    <col min="10256" max="10496" width="9.140625" style="101"/>
    <col min="10497" max="10497" width="5" style="101" customWidth="1"/>
    <col min="10498" max="10498" width="11" style="101" customWidth="1"/>
    <col min="10499" max="10499" width="48.85546875" style="101" customWidth="1"/>
    <col min="10500" max="10500" width="10" style="101" customWidth="1"/>
    <col min="10501" max="10501" width="8.42578125" style="101" customWidth="1"/>
    <col min="10502" max="10502" width="9.7109375" style="101" customWidth="1"/>
    <col min="10503" max="10503" width="9" style="101" customWidth="1"/>
    <col min="10504" max="10504" width="10.7109375" style="101" customWidth="1"/>
    <col min="10505" max="10505" width="9.42578125" style="101" bestFit="1" customWidth="1"/>
    <col min="10506" max="10506" width="9.28515625" style="101" customWidth="1"/>
    <col min="10507" max="10508" width="11.28515625" style="101" bestFit="1" customWidth="1"/>
    <col min="10509" max="10509" width="12.28515625" style="101" bestFit="1" customWidth="1"/>
    <col min="10510" max="10510" width="11.140625" style="101" bestFit="1" customWidth="1"/>
    <col min="10511" max="10511" width="11.140625" style="101" customWidth="1"/>
    <col min="10512" max="10752" width="9.140625" style="101"/>
    <col min="10753" max="10753" width="5" style="101" customWidth="1"/>
    <col min="10754" max="10754" width="11" style="101" customWidth="1"/>
    <col min="10755" max="10755" width="48.85546875" style="101" customWidth="1"/>
    <col min="10756" max="10756" width="10" style="101" customWidth="1"/>
    <col min="10757" max="10757" width="8.42578125" style="101" customWidth="1"/>
    <col min="10758" max="10758" width="9.7109375" style="101" customWidth="1"/>
    <col min="10759" max="10759" width="9" style="101" customWidth="1"/>
    <col min="10760" max="10760" width="10.7109375" style="101" customWidth="1"/>
    <col min="10761" max="10761" width="9.42578125" style="101" bestFit="1" customWidth="1"/>
    <col min="10762" max="10762" width="9.28515625" style="101" customWidth="1"/>
    <col min="10763" max="10764" width="11.28515625" style="101" bestFit="1" customWidth="1"/>
    <col min="10765" max="10765" width="12.28515625" style="101" bestFit="1" customWidth="1"/>
    <col min="10766" max="10766" width="11.140625" style="101" bestFit="1" customWidth="1"/>
    <col min="10767" max="10767" width="11.140625" style="101" customWidth="1"/>
    <col min="10768" max="11008" width="9.140625" style="101"/>
    <col min="11009" max="11009" width="5" style="101" customWidth="1"/>
    <col min="11010" max="11010" width="11" style="101" customWidth="1"/>
    <col min="11011" max="11011" width="48.85546875" style="101" customWidth="1"/>
    <col min="11012" max="11012" width="10" style="101" customWidth="1"/>
    <col min="11013" max="11013" width="8.42578125" style="101" customWidth="1"/>
    <col min="11014" max="11014" width="9.7109375" style="101" customWidth="1"/>
    <col min="11015" max="11015" width="9" style="101" customWidth="1"/>
    <col min="11016" max="11016" width="10.7109375" style="101" customWidth="1"/>
    <col min="11017" max="11017" width="9.42578125" style="101" bestFit="1" customWidth="1"/>
    <col min="11018" max="11018" width="9.28515625" style="101" customWidth="1"/>
    <col min="11019" max="11020" width="11.28515625" style="101" bestFit="1" customWidth="1"/>
    <col min="11021" max="11021" width="12.28515625" style="101" bestFit="1" customWidth="1"/>
    <col min="11022" max="11022" width="11.140625" style="101" bestFit="1" customWidth="1"/>
    <col min="11023" max="11023" width="11.140625" style="101" customWidth="1"/>
    <col min="11024" max="11264" width="9.140625" style="101"/>
    <col min="11265" max="11265" width="5" style="101" customWidth="1"/>
    <col min="11266" max="11266" width="11" style="101" customWidth="1"/>
    <col min="11267" max="11267" width="48.85546875" style="101" customWidth="1"/>
    <col min="11268" max="11268" width="10" style="101" customWidth="1"/>
    <col min="11269" max="11269" width="8.42578125" style="101" customWidth="1"/>
    <col min="11270" max="11270" width="9.7109375" style="101" customWidth="1"/>
    <col min="11271" max="11271" width="9" style="101" customWidth="1"/>
    <col min="11272" max="11272" width="10.7109375" style="101" customWidth="1"/>
    <col min="11273" max="11273" width="9.42578125" style="101" bestFit="1" customWidth="1"/>
    <col min="11274" max="11274" width="9.28515625" style="101" customWidth="1"/>
    <col min="11275" max="11276" width="11.28515625" style="101" bestFit="1" customWidth="1"/>
    <col min="11277" max="11277" width="12.28515625" style="101" bestFit="1" customWidth="1"/>
    <col min="11278" max="11278" width="11.140625" style="101" bestFit="1" customWidth="1"/>
    <col min="11279" max="11279" width="11.140625" style="101" customWidth="1"/>
    <col min="11280" max="11520" width="9.140625" style="101"/>
    <col min="11521" max="11521" width="5" style="101" customWidth="1"/>
    <col min="11522" max="11522" width="11" style="101" customWidth="1"/>
    <col min="11523" max="11523" width="48.85546875" style="101" customWidth="1"/>
    <col min="11524" max="11524" width="10" style="101" customWidth="1"/>
    <col min="11525" max="11525" width="8.42578125" style="101" customWidth="1"/>
    <col min="11526" max="11526" width="9.7109375" style="101" customWidth="1"/>
    <col min="11527" max="11527" width="9" style="101" customWidth="1"/>
    <col min="11528" max="11528" width="10.7109375" style="101" customWidth="1"/>
    <col min="11529" max="11529" width="9.42578125" style="101" bestFit="1" customWidth="1"/>
    <col min="11530" max="11530" width="9.28515625" style="101" customWidth="1"/>
    <col min="11531" max="11532" width="11.28515625" style="101" bestFit="1" customWidth="1"/>
    <col min="11533" max="11533" width="12.28515625" style="101" bestFit="1" customWidth="1"/>
    <col min="11534" max="11534" width="11.140625" style="101" bestFit="1" customWidth="1"/>
    <col min="11535" max="11535" width="11.140625" style="101" customWidth="1"/>
    <col min="11536" max="11776" width="9.140625" style="101"/>
    <col min="11777" max="11777" width="5" style="101" customWidth="1"/>
    <col min="11778" max="11778" width="11" style="101" customWidth="1"/>
    <col min="11779" max="11779" width="48.85546875" style="101" customWidth="1"/>
    <col min="11780" max="11780" width="10" style="101" customWidth="1"/>
    <col min="11781" max="11781" width="8.42578125" style="101" customWidth="1"/>
    <col min="11782" max="11782" width="9.7109375" style="101" customWidth="1"/>
    <col min="11783" max="11783" width="9" style="101" customWidth="1"/>
    <col min="11784" max="11784" width="10.7109375" style="101" customWidth="1"/>
    <col min="11785" max="11785" width="9.42578125" style="101" bestFit="1" customWidth="1"/>
    <col min="11786" max="11786" width="9.28515625" style="101" customWidth="1"/>
    <col min="11787" max="11788" width="11.28515625" style="101" bestFit="1" customWidth="1"/>
    <col min="11789" max="11789" width="12.28515625" style="101" bestFit="1" customWidth="1"/>
    <col min="11790" max="11790" width="11.140625" style="101" bestFit="1" customWidth="1"/>
    <col min="11791" max="11791" width="11.140625" style="101" customWidth="1"/>
    <col min="11792" max="12032" width="9.140625" style="101"/>
    <col min="12033" max="12033" width="5" style="101" customWidth="1"/>
    <col min="12034" max="12034" width="11" style="101" customWidth="1"/>
    <col min="12035" max="12035" width="48.85546875" style="101" customWidth="1"/>
    <col min="12036" max="12036" width="10" style="101" customWidth="1"/>
    <col min="12037" max="12037" width="8.42578125" style="101" customWidth="1"/>
    <col min="12038" max="12038" width="9.7109375" style="101" customWidth="1"/>
    <col min="12039" max="12039" width="9" style="101" customWidth="1"/>
    <col min="12040" max="12040" width="10.7109375" style="101" customWidth="1"/>
    <col min="12041" max="12041" width="9.42578125" style="101" bestFit="1" customWidth="1"/>
    <col min="12042" max="12042" width="9.28515625" style="101" customWidth="1"/>
    <col min="12043" max="12044" width="11.28515625" style="101" bestFit="1" customWidth="1"/>
    <col min="12045" max="12045" width="12.28515625" style="101" bestFit="1" customWidth="1"/>
    <col min="12046" max="12046" width="11.140625" style="101" bestFit="1" customWidth="1"/>
    <col min="12047" max="12047" width="11.140625" style="101" customWidth="1"/>
    <col min="12048" max="12288" width="9.140625" style="101"/>
    <col min="12289" max="12289" width="5" style="101" customWidth="1"/>
    <col min="12290" max="12290" width="11" style="101" customWidth="1"/>
    <col min="12291" max="12291" width="48.85546875" style="101" customWidth="1"/>
    <col min="12292" max="12292" width="10" style="101" customWidth="1"/>
    <col min="12293" max="12293" width="8.42578125" style="101" customWidth="1"/>
    <col min="12294" max="12294" width="9.7109375" style="101" customWidth="1"/>
    <col min="12295" max="12295" width="9" style="101" customWidth="1"/>
    <col min="12296" max="12296" width="10.7109375" style="101" customWidth="1"/>
    <col min="12297" max="12297" width="9.42578125" style="101" bestFit="1" customWidth="1"/>
    <col min="12298" max="12298" width="9.28515625" style="101" customWidth="1"/>
    <col min="12299" max="12300" width="11.28515625" style="101" bestFit="1" customWidth="1"/>
    <col min="12301" max="12301" width="12.28515625" style="101" bestFit="1" customWidth="1"/>
    <col min="12302" max="12302" width="11.140625" style="101" bestFit="1" customWidth="1"/>
    <col min="12303" max="12303" width="11.140625" style="101" customWidth="1"/>
    <col min="12304" max="12544" width="9.140625" style="101"/>
    <col min="12545" max="12545" width="5" style="101" customWidth="1"/>
    <col min="12546" max="12546" width="11" style="101" customWidth="1"/>
    <col min="12547" max="12547" width="48.85546875" style="101" customWidth="1"/>
    <col min="12548" max="12548" width="10" style="101" customWidth="1"/>
    <col min="12549" max="12549" width="8.42578125" style="101" customWidth="1"/>
    <col min="12550" max="12550" width="9.7109375" style="101" customWidth="1"/>
    <col min="12551" max="12551" width="9" style="101" customWidth="1"/>
    <col min="12552" max="12552" width="10.7109375" style="101" customWidth="1"/>
    <col min="12553" max="12553" width="9.42578125" style="101" bestFit="1" customWidth="1"/>
    <col min="12554" max="12554" width="9.28515625" style="101" customWidth="1"/>
    <col min="12555" max="12556" width="11.28515625" style="101" bestFit="1" customWidth="1"/>
    <col min="12557" max="12557" width="12.28515625" style="101" bestFit="1" customWidth="1"/>
    <col min="12558" max="12558" width="11.140625" style="101" bestFit="1" customWidth="1"/>
    <col min="12559" max="12559" width="11.140625" style="101" customWidth="1"/>
    <col min="12560" max="12800" width="9.140625" style="101"/>
    <col min="12801" max="12801" width="5" style="101" customWidth="1"/>
    <col min="12802" max="12802" width="11" style="101" customWidth="1"/>
    <col min="12803" max="12803" width="48.85546875" style="101" customWidth="1"/>
    <col min="12804" max="12804" width="10" style="101" customWidth="1"/>
    <col min="12805" max="12805" width="8.42578125" style="101" customWidth="1"/>
    <col min="12806" max="12806" width="9.7109375" style="101" customWidth="1"/>
    <col min="12807" max="12807" width="9" style="101" customWidth="1"/>
    <col min="12808" max="12808" width="10.7109375" style="101" customWidth="1"/>
    <col min="12809" max="12809" width="9.42578125" style="101" bestFit="1" customWidth="1"/>
    <col min="12810" max="12810" width="9.28515625" style="101" customWidth="1"/>
    <col min="12811" max="12812" width="11.28515625" style="101" bestFit="1" customWidth="1"/>
    <col min="12813" max="12813" width="12.28515625" style="101" bestFit="1" customWidth="1"/>
    <col min="12814" max="12814" width="11.140625" style="101" bestFit="1" customWidth="1"/>
    <col min="12815" max="12815" width="11.140625" style="101" customWidth="1"/>
    <col min="12816" max="13056" width="9.140625" style="101"/>
    <col min="13057" max="13057" width="5" style="101" customWidth="1"/>
    <col min="13058" max="13058" width="11" style="101" customWidth="1"/>
    <col min="13059" max="13059" width="48.85546875" style="101" customWidth="1"/>
    <col min="13060" max="13060" width="10" style="101" customWidth="1"/>
    <col min="13061" max="13061" width="8.42578125" style="101" customWidth="1"/>
    <col min="13062" max="13062" width="9.7109375" style="101" customWidth="1"/>
    <col min="13063" max="13063" width="9" style="101" customWidth="1"/>
    <col min="13064" max="13064" width="10.7109375" style="101" customWidth="1"/>
    <col min="13065" max="13065" width="9.42578125" style="101" bestFit="1" customWidth="1"/>
    <col min="13066" max="13066" width="9.28515625" style="101" customWidth="1"/>
    <col min="13067" max="13068" width="11.28515625" style="101" bestFit="1" customWidth="1"/>
    <col min="13069" max="13069" width="12.28515625" style="101" bestFit="1" customWidth="1"/>
    <col min="13070" max="13070" width="11.140625" style="101" bestFit="1" customWidth="1"/>
    <col min="13071" max="13071" width="11.140625" style="101" customWidth="1"/>
    <col min="13072" max="13312" width="9.140625" style="101"/>
    <col min="13313" max="13313" width="5" style="101" customWidth="1"/>
    <col min="13314" max="13314" width="11" style="101" customWidth="1"/>
    <col min="13315" max="13315" width="48.85546875" style="101" customWidth="1"/>
    <col min="13316" max="13316" width="10" style="101" customWidth="1"/>
    <col min="13317" max="13317" width="8.42578125" style="101" customWidth="1"/>
    <col min="13318" max="13318" width="9.7109375" style="101" customWidth="1"/>
    <col min="13319" max="13319" width="9" style="101" customWidth="1"/>
    <col min="13320" max="13320" width="10.7109375" style="101" customWidth="1"/>
    <col min="13321" max="13321" width="9.42578125" style="101" bestFit="1" customWidth="1"/>
    <col min="13322" max="13322" width="9.28515625" style="101" customWidth="1"/>
    <col min="13323" max="13324" width="11.28515625" style="101" bestFit="1" customWidth="1"/>
    <col min="13325" max="13325" width="12.28515625" style="101" bestFit="1" customWidth="1"/>
    <col min="13326" max="13326" width="11.140625" style="101" bestFit="1" customWidth="1"/>
    <col min="13327" max="13327" width="11.140625" style="101" customWidth="1"/>
    <col min="13328" max="13568" width="9.140625" style="101"/>
    <col min="13569" max="13569" width="5" style="101" customWidth="1"/>
    <col min="13570" max="13570" width="11" style="101" customWidth="1"/>
    <col min="13571" max="13571" width="48.85546875" style="101" customWidth="1"/>
    <col min="13572" max="13572" width="10" style="101" customWidth="1"/>
    <col min="13573" max="13573" width="8.42578125" style="101" customWidth="1"/>
    <col min="13574" max="13574" width="9.7109375" style="101" customWidth="1"/>
    <col min="13575" max="13575" width="9" style="101" customWidth="1"/>
    <col min="13576" max="13576" width="10.7109375" style="101" customWidth="1"/>
    <col min="13577" max="13577" width="9.42578125" style="101" bestFit="1" customWidth="1"/>
    <col min="13578" max="13578" width="9.28515625" style="101" customWidth="1"/>
    <col min="13579" max="13580" width="11.28515625" style="101" bestFit="1" customWidth="1"/>
    <col min="13581" max="13581" width="12.28515625" style="101" bestFit="1" customWidth="1"/>
    <col min="13582" max="13582" width="11.140625" style="101" bestFit="1" customWidth="1"/>
    <col min="13583" max="13583" width="11.140625" style="101" customWidth="1"/>
    <col min="13584" max="13824" width="9.140625" style="101"/>
    <col min="13825" max="13825" width="5" style="101" customWidth="1"/>
    <col min="13826" max="13826" width="11" style="101" customWidth="1"/>
    <col min="13827" max="13827" width="48.85546875" style="101" customWidth="1"/>
    <col min="13828" max="13828" width="10" style="101" customWidth="1"/>
    <col min="13829" max="13829" width="8.42578125" style="101" customWidth="1"/>
    <col min="13830" max="13830" width="9.7109375" style="101" customWidth="1"/>
    <col min="13831" max="13831" width="9" style="101" customWidth="1"/>
    <col min="13832" max="13832" width="10.7109375" style="101" customWidth="1"/>
    <col min="13833" max="13833" width="9.42578125" style="101" bestFit="1" customWidth="1"/>
    <col min="13834" max="13834" width="9.28515625" style="101" customWidth="1"/>
    <col min="13835" max="13836" width="11.28515625" style="101" bestFit="1" customWidth="1"/>
    <col min="13837" max="13837" width="12.28515625" style="101" bestFit="1" customWidth="1"/>
    <col min="13838" max="13838" width="11.140625" style="101" bestFit="1" customWidth="1"/>
    <col min="13839" max="13839" width="11.140625" style="101" customWidth="1"/>
    <col min="13840" max="14080" width="9.140625" style="101"/>
    <col min="14081" max="14081" width="5" style="101" customWidth="1"/>
    <col min="14082" max="14082" width="11" style="101" customWidth="1"/>
    <col min="14083" max="14083" width="48.85546875" style="101" customWidth="1"/>
    <col min="14084" max="14084" width="10" style="101" customWidth="1"/>
    <col min="14085" max="14085" width="8.42578125" style="101" customWidth="1"/>
    <col min="14086" max="14086" width="9.7109375" style="101" customWidth="1"/>
    <col min="14087" max="14087" width="9" style="101" customWidth="1"/>
    <col min="14088" max="14088" width="10.7109375" style="101" customWidth="1"/>
    <col min="14089" max="14089" width="9.42578125" style="101" bestFit="1" customWidth="1"/>
    <col min="14090" max="14090" width="9.28515625" style="101" customWidth="1"/>
    <col min="14091" max="14092" width="11.28515625" style="101" bestFit="1" customWidth="1"/>
    <col min="14093" max="14093" width="12.28515625" style="101" bestFit="1" customWidth="1"/>
    <col min="14094" max="14094" width="11.140625" style="101" bestFit="1" customWidth="1"/>
    <col min="14095" max="14095" width="11.140625" style="101" customWidth="1"/>
    <col min="14096" max="14336" width="9.140625" style="101"/>
    <col min="14337" max="14337" width="5" style="101" customWidth="1"/>
    <col min="14338" max="14338" width="11" style="101" customWidth="1"/>
    <col min="14339" max="14339" width="48.85546875" style="101" customWidth="1"/>
    <col min="14340" max="14340" width="10" style="101" customWidth="1"/>
    <col min="14341" max="14341" width="8.42578125" style="101" customWidth="1"/>
    <col min="14342" max="14342" width="9.7109375" style="101" customWidth="1"/>
    <col min="14343" max="14343" width="9" style="101" customWidth="1"/>
    <col min="14344" max="14344" width="10.7109375" style="101" customWidth="1"/>
    <col min="14345" max="14345" width="9.42578125" style="101" bestFit="1" customWidth="1"/>
    <col min="14346" max="14346" width="9.28515625" style="101" customWidth="1"/>
    <col min="14347" max="14348" width="11.28515625" style="101" bestFit="1" customWidth="1"/>
    <col min="14349" max="14349" width="12.28515625" style="101" bestFit="1" customWidth="1"/>
    <col min="14350" max="14350" width="11.140625" style="101" bestFit="1" customWidth="1"/>
    <col min="14351" max="14351" width="11.140625" style="101" customWidth="1"/>
    <col min="14352" max="14592" width="9.140625" style="101"/>
    <col min="14593" max="14593" width="5" style="101" customWidth="1"/>
    <col min="14594" max="14594" width="11" style="101" customWidth="1"/>
    <col min="14595" max="14595" width="48.85546875" style="101" customWidth="1"/>
    <col min="14596" max="14596" width="10" style="101" customWidth="1"/>
    <col min="14597" max="14597" width="8.42578125" style="101" customWidth="1"/>
    <col min="14598" max="14598" width="9.7109375" style="101" customWidth="1"/>
    <col min="14599" max="14599" width="9" style="101" customWidth="1"/>
    <col min="14600" max="14600" width="10.7109375" style="101" customWidth="1"/>
    <col min="14601" max="14601" width="9.42578125" style="101" bestFit="1" customWidth="1"/>
    <col min="14602" max="14602" width="9.28515625" style="101" customWidth="1"/>
    <col min="14603" max="14604" width="11.28515625" style="101" bestFit="1" customWidth="1"/>
    <col min="14605" max="14605" width="12.28515625" style="101" bestFit="1" customWidth="1"/>
    <col min="14606" max="14606" width="11.140625" style="101" bestFit="1" customWidth="1"/>
    <col min="14607" max="14607" width="11.140625" style="101" customWidth="1"/>
    <col min="14608" max="14848" width="9.140625" style="101"/>
    <col min="14849" max="14849" width="5" style="101" customWidth="1"/>
    <col min="14850" max="14850" width="11" style="101" customWidth="1"/>
    <col min="14851" max="14851" width="48.85546875" style="101" customWidth="1"/>
    <col min="14852" max="14852" width="10" style="101" customWidth="1"/>
    <col min="14853" max="14853" width="8.42578125" style="101" customWidth="1"/>
    <col min="14854" max="14854" width="9.7109375" style="101" customWidth="1"/>
    <col min="14855" max="14855" width="9" style="101" customWidth="1"/>
    <col min="14856" max="14856" width="10.7109375" style="101" customWidth="1"/>
    <col min="14857" max="14857" width="9.42578125" style="101" bestFit="1" customWidth="1"/>
    <col min="14858" max="14858" width="9.28515625" style="101" customWidth="1"/>
    <col min="14859" max="14860" width="11.28515625" style="101" bestFit="1" customWidth="1"/>
    <col min="14861" max="14861" width="12.28515625" style="101" bestFit="1" customWidth="1"/>
    <col min="14862" max="14862" width="11.140625" style="101" bestFit="1" customWidth="1"/>
    <col min="14863" max="14863" width="11.140625" style="101" customWidth="1"/>
    <col min="14864" max="15104" width="9.140625" style="101"/>
    <col min="15105" max="15105" width="5" style="101" customWidth="1"/>
    <col min="15106" max="15106" width="11" style="101" customWidth="1"/>
    <col min="15107" max="15107" width="48.85546875" style="101" customWidth="1"/>
    <col min="15108" max="15108" width="10" style="101" customWidth="1"/>
    <col min="15109" max="15109" width="8.42578125" style="101" customWidth="1"/>
    <col min="15110" max="15110" width="9.7109375" style="101" customWidth="1"/>
    <col min="15111" max="15111" width="9" style="101" customWidth="1"/>
    <col min="15112" max="15112" width="10.7109375" style="101" customWidth="1"/>
    <col min="15113" max="15113" width="9.42578125" style="101" bestFit="1" customWidth="1"/>
    <col min="15114" max="15114" width="9.28515625" style="101" customWidth="1"/>
    <col min="15115" max="15116" width="11.28515625" style="101" bestFit="1" customWidth="1"/>
    <col min="15117" max="15117" width="12.28515625" style="101" bestFit="1" customWidth="1"/>
    <col min="15118" max="15118" width="11.140625" style="101" bestFit="1" customWidth="1"/>
    <col min="15119" max="15119" width="11.140625" style="101" customWidth="1"/>
    <col min="15120" max="15360" width="9.140625" style="101"/>
    <col min="15361" max="15361" width="5" style="101" customWidth="1"/>
    <col min="15362" max="15362" width="11" style="101" customWidth="1"/>
    <col min="15363" max="15363" width="48.85546875" style="101" customWidth="1"/>
    <col min="15364" max="15364" width="10" style="101" customWidth="1"/>
    <col min="15365" max="15365" width="8.42578125" style="101" customWidth="1"/>
    <col min="15366" max="15366" width="9.7109375" style="101" customWidth="1"/>
    <col min="15367" max="15367" width="9" style="101" customWidth="1"/>
    <col min="15368" max="15368" width="10.7109375" style="101" customWidth="1"/>
    <col min="15369" max="15369" width="9.42578125" style="101" bestFit="1" customWidth="1"/>
    <col min="15370" max="15370" width="9.28515625" style="101" customWidth="1"/>
    <col min="15371" max="15372" width="11.28515625" style="101" bestFit="1" customWidth="1"/>
    <col min="15373" max="15373" width="12.28515625" style="101" bestFit="1" customWidth="1"/>
    <col min="15374" max="15374" width="11.140625" style="101" bestFit="1" customWidth="1"/>
    <col min="15375" max="15375" width="11.140625" style="101" customWidth="1"/>
    <col min="15376" max="15616" width="9.140625" style="101"/>
    <col min="15617" max="15617" width="5" style="101" customWidth="1"/>
    <col min="15618" max="15618" width="11" style="101" customWidth="1"/>
    <col min="15619" max="15619" width="48.85546875" style="101" customWidth="1"/>
    <col min="15620" max="15620" width="10" style="101" customWidth="1"/>
    <col min="15621" max="15621" width="8.42578125" style="101" customWidth="1"/>
    <col min="15622" max="15622" width="9.7109375" style="101" customWidth="1"/>
    <col min="15623" max="15623" width="9" style="101" customWidth="1"/>
    <col min="15624" max="15624" width="10.7109375" style="101" customWidth="1"/>
    <col min="15625" max="15625" width="9.42578125" style="101" bestFit="1" customWidth="1"/>
    <col min="15626" max="15626" width="9.28515625" style="101" customWidth="1"/>
    <col min="15627" max="15628" width="11.28515625" style="101" bestFit="1" customWidth="1"/>
    <col min="15629" max="15629" width="12.28515625" style="101" bestFit="1" customWidth="1"/>
    <col min="15630" max="15630" width="11.140625" style="101" bestFit="1" customWidth="1"/>
    <col min="15631" max="15631" width="11.140625" style="101" customWidth="1"/>
    <col min="15632" max="15872" width="9.140625" style="101"/>
    <col min="15873" max="15873" width="5" style="101" customWidth="1"/>
    <col min="15874" max="15874" width="11" style="101" customWidth="1"/>
    <col min="15875" max="15875" width="48.85546875" style="101" customWidth="1"/>
    <col min="15876" max="15876" width="10" style="101" customWidth="1"/>
    <col min="15877" max="15877" width="8.42578125" style="101" customWidth="1"/>
    <col min="15878" max="15878" width="9.7109375" style="101" customWidth="1"/>
    <col min="15879" max="15879" width="9" style="101" customWidth="1"/>
    <col min="15880" max="15880" width="10.7109375" style="101" customWidth="1"/>
    <col min="15881" max="15881" width="9.42578125" style="101" bestFit="1" customWidth="1"/>
    <col min="15882" max="15882" width="9.28515625" style="101" customWidth="1"/>
    <col min="15883" max="15884" width="11.28515625" style="101" bestFit="1" customWidth="1"/>
    <col min="15885" max="15885" width="12.28515625" style="101" bestFit="1" customWidth="1"/>
    <col min="15886" max="15886" width="11.140625" style="101" bestFit="1" customWidth="1"/>
    <col min="15887" max="15887" width="11.140625" style="101" customWidth="1"/>
    <col min="15888" max="16128" width="9.140625" style="101"/>
    <col min="16129" max="16129" width="5" style="101" customWidth="1"/>
    <col min="16130" max="16130" width="11" style="101" customWidth="1"/>
    <col min="16131" max="16131" width="48.85546875" style="101" customWidth="1"/>
    <col min="16132" max="16132" width="10" style="101" customWidth="1"/>
    <col min="16133" max="16133" width="8.42578125" style="101" customWidth="1"/>
    <col min="16134" max="16134" width="9.7109375" style="101" customWidth="1"/>
    <col min="16135" max="16135" width="9" style="101" customWidth="1"/>
    <col min="16136" max="16136" width="10.7109375" style="101" customWidth="1"/>
    <col min="16137" max="16137" width="9.42578125" style="101" bestFit="1" customWidth="1"/>
    <col min="16138" max="16138" width="9.28515625" style="101" customWidth="1"/>
    <col min="16139" max="16140" width="11.28515625" style="101" bestFit="1" customWidth="1"/>
    <col min="16141" max="16141" width="12.28515625" style="101" bestFit="1" customWidth="1"/>
    <col min="16142" max="16142" width="11.140625" style="101" bestFit="1" customWidth="1"/>
    <col min="16143" max="16143" width="11.140625" style="101" customWidth="1"/>
    <col min="16144" max="16384" width="9.140625" style="101"/>
  </cols>
  <sheetData>
    <row r="1" spans="1:40" ht="20.25" customHeight="1" x14ac:dyDescent="0.2">
      <c r="A1" s="629" t="s">
        <v>84</v>
      </c>
      <c r="B1" s="629"/>
      <c r="C1" s="629"/>
      <c r="D1" s="629"/>
      <c r="E1" s="629"/>
      <c r="F1" s="629"/>
      <c r="G1" s="629"/>
      <c r="H1" s="629"/>
      <c r="I1" s="569"/>
      <c r="J1" s="570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  <c r="AC1" s="569"/>
      <c r="AD1" s="569"/>
      <c r="AE1" s="569"/>
      <c r="AF1" s="569"/>
      <c r="AG1" s="569"/>
      <c r="AH1" s="569"/>
      <c r="AI1" s="569"/>
      <c r="AJ1" s="569"/>
      <c r="AK1" s="569"/>
      <c r="AL1" s="569"/>
      <c r="AM1" s="569"/>
      <c r="AN1" s="569"/>
    </row>
    <row r="2" spans="1:40" ht="55.5" customHeight="1" x14ac:dyDescent="0.2">
      <c r="A2" s="654" t="s">
        <v>617</v>
      </c>
      <c r="B2" s="654"/>
      <c r="C2" s="654"/>
      <c r="D2" s="654"/>
      <c r="E2" s="654"/>
      <c r="F2" s="654"/>
      <c r="G2" s="654"/>
      <c r="H2" s="654"/>
      <c r="I2" s="569"/>
      <c r="J2" s="570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69"/>
      <c r="Z2" s="569"/>
      <c r="AA2" s="569"/>
      <c r="AB2" s="569"/>
      <c r="AC2" s="569"/>
      <c r="AD2" s="569"/>
      <c r="AE2" s="569"/>
      <c r="AF2" s="569"/>
      <c r="AG2" s="569"/>
      <c r="AH2" s="569"/>
      <c r="AI2" s="569"/>
      <c r="AJ2" s="569"/>
      <c r="AK2" s="569"/>
      <c r="AL2" s="569"/>
      <c r="AM2" s="569"/>
      <c r="AN2" s="569"/>
    </row>
    <row r="3" spans="1:40" ht="23.25" customHeight="1" x14ac:dyDescent="0.2">
      <c r="A3" s="629" t="s">
        <v>85</v>
      </c>
      <c r="B3" s="629"/>
      <c r="C3" s="629"/>
      <c r="D3" s="298">
        <f>H233/1000</f>
        <v>0</v>
      </c>
      <c r="E3" s="628" t="s">
        <v>51</v>
      </c>
      <c r="F3" s="628"/>
      <c r="G3" s="628"/>
      <c r="H3" s="628"/>
      <c r="I3" s="569"/>
      <c r="J3" s="570"/>
      <c r="K3" s="569"/>
      <c r="L3" s="569"/>
      <c r="M3" s="571"/>
      <c r="N3" s="569"/>
      <c r="O3" s="569"/>
      <c r="P3" s="569"/>
      <c r="Q3" s="569"/>
      <c r="R3" s="569"/>
      <c r="S3" s="569"/>
      <c r="T3" s="569"/>
      <c r="U3" s="569"/>
      <c r="V3" s="569"/>
      <c r="W3" s="569"/>
      <c r="X3" s="569"/>
      <c r="Y3" s="569"/>
      <c r="Z3" s="569"/>
      <c r="AA3" s="569"/>
      <c r="AB3" s="569"/>
      <c r="AC3" s="569"/>
      <c r="AD3" s="569"/>
      <c r="AE3" s="569"/>
      <c r="AF3" s="569"/>
      <c r="AG3" s="569"/>
      <c r="AH3" s="569"/>
      <c r="AI3" s="569"/>
      <c r="AJ3" s="569"/>
      <c r="AK3" s="569"/>
      <c r="AL3" s="569"/>
      <c r="AM3" s="569"/>
      <c r="AN3" s="569"/>
    </row>
    <row r="4" spans="1:40" ht="13.5" x14ac:dyDescent="0.2">
      <c r="A4" s="655" t="s">
        <v>52</v>
      </c>
      <c r="B4" s="655"/>
      <c r="C4" s="655" t="s">
        <v>86</v>
      </c>
      <c r="D4" s="655"/>
      <c r="E4" s="655"/>
      <c r="F4" s="655"/>
      <c r="G4" s="655"/>
      <c r="H4" s="655"/>
      <c r="I4" s="569"/>
      <c r="J4" s="570"/>
      <c r="K4" s="569"/>
      <c r="L4" s="569"/>
      <c r="M4" s="569"/>
      <c r="N4" s="569"/>
      <c r="O4" s="569"/>
      <c r="P4" s="569"/>
      <c r="Q4" s="569"/>
      <c r="R4" s="569"/>
      <c r="S4" s="569"/>
      <c r="T4" s="569"/>
      <c r="U4" s="569"/>
      <c r="V4" s="569"/>
      <c r="W4" s="569"/>
      <c r="X4" s="569"/>
      <c r="Y4" s="569"/>
      <c r="Z4" s="569"/>
      <c r="AA4" s="569"/>
      <c r="AB4" s="569"/>
      <c r="AC4" s="569"/>
      <c r="AD4" s="569"/>
      <c r="AE4" s="569"/>
      <c r="AF4" s="569"/>
      <c r="AG4" s="569"/>
      <c r="AH4" s="569"/>
      <c r="AI4" s="569"/>
      <c r="AJ4" s="569"/>
      <c r="AK4" s="569"/>
      <c r="AL4" s="569"/>
      <c r="AM4" s="569"/>
      <c r="AN4" s="569"/>
    </row>
    <row r="5" spans="1:40" ht="13.5" x14ac:dyDescent="0.2">
      <c r="A5" s="631"/>
      <c r="B5" s="631"/>
      <c r="C5" s="631"/>
      <c r="D5" s="631"/>
      <c r="E5" s="631"/>
      <c r="F5" s="631"/>
      <c r="G5" s="631"/>
      <c r="H5" s="631"/>
      <c r="I5" s="569"/>
      <c r="J5" s="570"/>
      <c r="K5" s="569"/>
      <c r="L5" s="569"/>
      <c r="M5" s="569"/>
      <c r="N5" s="569"/>
      <c r="O5" s="569"/>
      <c r="P5" s="569"/>
      <c r="Q5" s="569"/>
      <c r="R5" s="569"/>
      <c r="S5" s="569"/>
      <c r="T5" s="569"/>
      <c r="U5" s="569"/>
      <c r="V5" s="569"/>
      <c r="W5" s="569"/>
      <c r="X5" s="569"/>
      <c r="Y5" s="569"/>
      <c r="Z5" s="569"/>
      <c r="AA5" s="569"/>
      <c r="AB5" s="569"/>
      <c r="AC5" s="569"/>
      <c r="AD5" s="569"/>
      <c r="AE5" s="569"/>
      <c r="AF5" s="569"/>
      <c r="AG5" s="569"/>
      <c r="AH5" s="569"/>
      <c r="AI5" s="569"/>
      <c r="AJ5" s="569"/>
      <c r="AK5" s="569"/>
      <c r="AL5" s="569"/>
      <c r="AM5" s="569"/>
      <c r="AN5" s="569"/>
    </row>
    <row r="6" spans="1:40" ht="56.25" customHeight="1" x14ac:dyDescent="0.2">
      <c r="A6" s="656" t="s">
        <v>39</v>
      </c>
      <c r="B6" s="657" t="s">
        <v>40</v>
      </c>
      <c r="C6" s="656" t="s">
        <v>43</v>
      </c>
      <c r="D6" s="657" t="s">
        <v>53</v>
      </c>
      <c r="E6" s="656" t="s">
        <v>54</v>
      </c>
      <c r="F6" s="656"/>
      <c r="G6" s="656" t="s">
        <v>55</v>
      </c>
      <c r="H6" s="656"/>
      <c r="I6" s="569"/>
      <c r="J6" s="570"/>
      <c r="K6" s="569"/>
      <c r="L6" s="572"/>
      <c r="M6" s="572"/>
      <c r="N6" s="569"/>
      <c r="O6" s="569"/>
      <c r="P6" s="569"/>
      <c r="Q6" s="569"/>
      <c r="R6" s="569"/>
      <c r="S6" s="569"/>
      <c r="T6" s="569"/>
      <c r="U6" s="569"/>
      <c r="V6" s="569"/>
      <c r="W6" s="569"/>
      <c r="X6" s="569"/>
      <c r="Y6" s="569"/>
      <c r="Z6" s="569"/>
      <c r="AA6" s="569"/>
      <c r="AB6" s="569"/>
      <c r="AC6" s="569"/>
      <c r="AD6" s="569"/>
      <c r="AE6" s="569"/>
      <c r="AF6" s="569"/>
      <c r="AG6" s="569"/>
      <c r="AH6" s="569"/>
      <c r="AI6" s="569"/>
      <c r="AJ6" s="569"/>
      <c r="AK6" s="569"/>
      <c r="AL6" s="569"/>
      <c r="AM6" s="569"/>
      <c r="AN6" s="569"/>
    </row>
    <row r="7" spans="1:40" ht="94.5" customHeight="1" x14ac:dyDescent="0.2">
      <c r="A7" s="656"/>
      <c r="B7" s="657"/>
      <c r="C7" s="656"/>
      <c r="D7" s="657"/>
      <c r="E7" s="45" t="s">
        <v>56</v>
      </c>
      <c r="F7" s="45" t="s">
        <v>57</v>
      </c>
      <c r="G7" s="45" t="s">
        <v>56</v>
      </c>
      <c r="H7" s="45" t="s">
        <v>58</v>
      </c>
      <c r="I7" s="569"/>
      <c r="J7" s="570"/>
      <c r="K7" s="569"/>
      <c r="L7" s="573"/>
      <c r="M7" s="574"/>
      <c r="N7" s="569"/>
      <c r="O7" s="569"/>
      <c r="P7" s="569"/>
      <c r="Q7" s="569"/>
      <c r="R7" s="569"/>
      <c r="S7" s="569"/>
      <c r="T7" s="569"/>
      <c r="U7" s="569"/>
      <c r="V7" s="569"/>
      <c r="W7" s="569"/>
      <c r="X7" s="569"/>
      <c r="Y7" s="569"/>
      <c r="Z7" s="569"/>
      <c r="AA7" s="569"/>
      <c r="AB7" s="569"/>
      <c r="AC7" s="569"/>
      <c r="AD7" s="569"/>
      <c r="AE7" s="569"/>
      <c r="AF7" s="569"/>
      <c r="AG7" s="569"/>
      <c r="AH7" s="569"/>
      <c r="AI7" s="569"/>
      <c r="AJ7" s="569"/>
      <c r="AK7" s="569"/>
      <c r="AL7" s="569"/>
      <c r="AM7" s="569"/>
      <c r="AN7" s="569"/>
    </row>
    <row r="8" spans="1:40" ht="14.25" customHeight="1" x14ac:dyDescent="0.2">
      <c r="A8" s="190">
        <v>1</v>
      </c>
      <c r="B8" s="190">
        <v>2</v>
      </c>
      <c r="C8" s="190">
        <v>3</v>
      </c>
      <c r="D8" s="190">
        <v>4</v>
      </c>
      <c r="E8" s="190">
        <v>5</v>
      </c>
      <c r="F8" s="190">
        <v>6</v>
      </c>
      <c r="G8" s="190">
        <v>7</v>
      </c>
      <c r="H8" s="190">
        <v>8</v>
      </c>
      <c r="I8" s="569"/>
      <c r="J8" s="570"/>
      <c r="K8" s="569"/>
      <c r="L8" s="569"/>
      <c r="M8" s="569"/>
      <c r="N8" s="569"/>
      <c r="O8" s="569"/>
      <c r="P8" s="569"/>
      <c r="Q8" s="569"/>
      <c r="R8" s="569"/>
      <c r="S8" s="569"/>
      <c r="T8" s="569"/>
      <c r="U8" s="569"/>
      <c r="V8" s="569"/>
      <c r="W8" s="569"/>
      <c r="X8" s="569"/>
      <c r="Y8" s="569"/>
      <c r="Z8" s="569"/>
      <c r="AA8" s="569"/>
      <c r="AB8" s="569"/>
      <c r="AC8" s="569"/>
      <c r="AD8" s="569"/>
      <c r="AE8" s="569"/>
      <c r="AF8" s="569"/>
      <c r="AG8" s="569"/>
      <c r="AH8" s="569"/>
      <c r="AI8" s="569"/>
      <c r="AJ8" s="569"/>
      <c r="AK8" s="569"/>
      <c r="AL8" s="569"/>
      <c r="AM8" s="569"/>
      <c r="AN8" s="569"/>
    </row>
    <row r="9" spans="1:40" s="336" customFormat="1" ht="60.75" customHeight="1" x14ac:dyDescent="0.2">
      <c r="A9" s="376">
        <v>1</v>
      </c>
      <c r="B9" s="377" t="s">
        <v>467</v>
      </c>
      <c r="C9" s="378" t="s">
        <v>468</v>
      </c>
      <c r="D9" s="334" t="s">
        <v>469</v>
      </c>
      <c r="E9" s="341"/>
      <c r="F9" s="596">
        <v>91</v>
      </c>
      <c r="G9" s="334"/>
      <c r="H9" s="379">
        <f>SUM(H10:H12)</f>
        <v>0</v>
      </c>
      <c r="I9" s="575"/>
      <c r="J9" s="576"/>
      <c r="K9" s="576"/>
      <c r="L9" s="576"/>
      <c r="M9" s="576"/>
      <c r="N9" s="576"/>
      <c r="O9" s="576"/>
      <c r="P9" s="576"/>
      <c r="Q9" s="576"/>
      <c r="R9" s="576"/>
      <c r="S9" s="576"/>
      <c r="T9" s="576"/>
      <c r="U9" s="576"/>
      <c r="V9" s="576"/>
      <c r="W9" s="576"/>
      <c r="X9" s="576"/>
      <c r="Y9" s="576"/>
      <c r="Z9" s="576"/>
      <c r="AA9" s="576"/>
      <c r="AB9" s="576"/>
      <c r="AC9" s="576"/>
      <c r="AD9" s="576"/>
      <c r="AE9" s="576"/>
      <c r="AF9" s="576"/>
      <c r="AG9" s="576"/>
      <c r="AH9" s="576"/>
      <c r="AI9" s="576"/>
      <c r="AJ9" s="576"/>
      <c r="AK9" s="576"/>
      <c r="AL9" s="576"/>
      <c r="AM9" s="576"/>
      <c r="AN9" s="576"/>
    </row>
    <row r="10" spans="1:40" s="336" customFormat="1" ht="25.5" customHeight="1" x14ac:dyDescent="0.2">
      <c r="A10" s="563">
        <f>A9+0.1</f>
        <v>1.1000000000000001</v>
      </c>
      <c r="B10" s="380"/>
      <c r="C10" s="563" t="s">
        <v>23</v>
      </c>
      <c r="D10" s="564" t="s">
        <v>24</v>
      </c>
      <c r="E10" s="565">
        <f>34*0.001</f>
        <v>3.4000000000000002E-2</v>
      </c>
      <c r="F10" s="564">
        <f>F9*E10</f>
        <v>3.09</v>
      </c>
      <c r="G10" s="563"/>
      <c r="H10" s="435">
        <f>F10*G10</f>
        <v>0</v>
      </c>
      <c r="I10" s="577"/>
      <c r="J10" s="576"/>
      <c r="K10" s="576"/>
      <c r="L10" s="576"/>
      <c r="M10" s="576"/>
      <c r="N10" s="576"/>
      <c r="O10" s="576"/>
      <c r="P10" s="576"/>
      <c r="Q10" s="576"/>
      <c r="R10" s="576"/>
      <c r="S10" s="576"/>
      <c r="T10" s="576"/>
      <c r="U10" s="576"/>
      <c r="V10" s="576"/>
      <c r="W10" s="576"/>
      <c r="X10" s="576"/>
      <c r="Y10" s="576"/>
      <c r="Z10" s="576"/>
      <c r="AA10" s="576"/>
      <c r="AB10" s="576"/>
      <c r="AC10" s="576"/>
      <c r="AD10" s="576"/>
      <c r="AE10" s="576"/>
      <c r="AF10" s="576"/>
      <c r="AG10" s="576"/>
      <c r="AH10" s="576"/>
      <c r="AI10" s="576"/>
      <c r="AJ10" s="576"/>
      <c r="AK10" s="576"/>
      <c r="AL10" s="576"/>
      <c r="AM10" s="576"/>
      <c r="AN10" s="576"/>
    </row>
    <row r="11" spans="1:40" s="336" customFormat="1" ht="20.25" customHeight="1" x14ac:dyDescent="0.2">
      <c r="A11" s="563">
        <f>A10+0.1</f>
        <v>1.2</v>
      </c>
      <c r="B11" s="380"/>
      <c r="C11" s="563" t="s">
        <v>29</v>
      </c>
      <c r="D11" s="563" t="s">
        <v>30</v>
      </c>
      <c r="E11" s="565">
        <v>9.6000000000000002E-2</v>
      </c>
      <c r="F11" s="564">
        <f>F9*E11</f>
        <v>8.74</v>
      </c>
      <c r="G11" s="563"/>
      <c r="H11" s="435">
        <f>F11*G11</f>
        <v>0</v>
      </c>
      <c r="I11" s="577"/>
      <c r="J11" s="576"/>
      <c r="K11" s="576"/>
      <c r="L11" s="576"/>
      <c r="M11" s="576"/>
      <c r="N11" s="576"/>
      <c r="O11" s="576"/>
      <c r="P11" s="576"/>
      <c r="Q11" s="576"/>
      <c r="R11" s="576"/>
      <c r="S11" s="576"/>
      <c r="T11" s="576"/>
      <c r="U11" s="576"/>
      <c r="V11" s="576"/>
      <c r="W11" s="576"/>
      <c r="X11" s="576"/>
      <c r="Y11" s="576"/>
      <c r="Z11" s="576"/>
      <c r="AA11" s="576"/>
      <c r="AB11" s="576"/>
      <c r="AC11" s="576"/>
      <c r="AD11" s="576"/>
      <c r="AE11" s="576"/>
      <c r="AF11" s="576"/>
      <c r="AG11" s="576"/>
      <c r="AH11" s="576"/>
      <c r="AI11" s="576"/>
      <c r="AJ11" s="576"/>
      <c r="AK11" s="576"/>
      <c r="AL11" s="576"/>
      <c r="AM11" s="576"/>
      <c r="AN11" s="576"/>
    </row>
    <row r="12" spans="1:40" s="336" customFormat="1" ht="21.75" customHeight="1" x14ac:dyDescent="0.2">
      <c r="A12" s="563">
        <f>A11+0.1</f>
        <v>1.3</v>
      </c>
      <c r="B12" s="380"/>
      <c r="C12" s="563" t="s">
        <v>28</v>
      </c>
      <c r="D12" s="563" t="s">
        <v>6</v>
      </c>
      <c r="E12" s="566">
        <f>5.6*0.001</f>
        <v>5.5999999999999999E-3</v>
      </c>
      <c r="F12" s="564">
        <f>F9*E12</f>
        <v>0.51</v>
      </c>
      <c r="G12" s="563"/>
      <c r="H12" s="435">
        <f>F12*G12</f>
        <v>0</v>
      </c>
      <c r="I12" s="577"/>
      <c r="J12" s="576"/>
      <c r="K12" s="576"/>
      <c r="L12" s="576"/>
      <c r="M12" s="576"/>
      <c r="N12" s="576"/>
      <c r="O12" s="576"/>
      <c r="P12" s="576"/>
      <c r="Q12" s="576"/>
      <c r="R12" s="576"/>
      <c r="S12" s="576"/>
      <c r="T12" s="576"/>
      <c r="U12" s="576"/>
      <c r="V12" s="576"/>
      <c r="W12" s="576"/>
      <c r="X12" s="576"/>
      <c r="Y12" s="576"/>
      <c r="Z12" s="576"/>
      <c r="AA12" s="576"/>
      <c r="AB12" s="576"/>
      <c r="AC12" s="576"/>
      <c r="AD12" s="576"/>
      <c r="AE12" s="576"/>
      <c r="AF12" s="576"/>
      <c r="AG12" s="576"/>
      <c r="AH12" s="576"/>
      <c r="AI12" s="576"/>
      <c r="AJ12" s="576"/>
      <c r="AK12" s="576"/>
      <c r="AL12" s="576"/>
      <c r="AM12" s="576"/>
      <c r="AN12" s="576"/>
    </row>
    <row r="13" spans="1:40" s="336" customFormat="1" ht="51" customHeight="1" x14ac:dyDescent="0.2">
      <c r="A13" s="376">
        <f>A9+1</f>
        <v>2</v>
      </c>
      <c r="B13" s="567" t="s">
        <v>470</v>
      </c>
      <c r="C13" s="378" t="s">
        <v>471</v>
      </c>
      <c r="D13" s="334" t="s">
        <v>472</v>
      </c>
      <c r="E13" s="341"/>
      <c r="F13" s="597">
        <v>9</v>
      </c>
      <c r="G13" s="334"/>
      <c r="H13" s="338">
        <f>SUM(H14)</f>
        <v>0</v>
      </c>
      <c r="I13" s="575"/>
      <c r="J13" s="576"/>
      <c r="K13" s="576"/>
      <c r="L13" s="576"/>
      <c r="M13" s="576"/>
      <c r="N13" s="576"/>
      <c r="O13" s="576"/>
      <c r="P13" s="576"/>
      <c r="Q13" s="576"/>
      <c r="R13" s="576"/>
      <c r="S13" s="576"/>
      <c r="T13" s="576"/>
      <c r="U13" s="576"/>
      <c r="V13" s="576"/>
      <c r="W13" s="576"/>
      <c r="X13" s="576"/>
      <c r="Y13" s="576"/>
      <c r="Z13" s="576"/>
      <c r="AA13" s="576"/>
      <c r="AB13" s="576"/>
      <c r="AC13" s="576"/>
      <c r="AD13" s="576"/>
      <c r="AE13" s="576"/>
      <c r="AF13" s="576"/>
      <c r="AG13" s="576"/>
      <c r="AH13" s="576"/>
      <c r="AI13" s="576"/>
      <c r="AJ13" s="576"/>
      <c r="AK13" s="576"/>
      <c r="AL13" s="576"/>
      <c r="AM13" s="576"/>
      <c r="AN13" s="576"/>
    </row>
    <row r="14" spans="1:40" s="336" customFormat="1" ht="24.75" customHeight="1" x14ac:dyDescent="0.2">
      <c r="A14" s="563">
        <f>A13+0.1</f>
        <v>2.1</v>
      </c>
      <c r="B14" s="380"/>
      <c r="C14" s="334" t="s">
        <v>23</v>
      </c>
      <c r="D14" s="335" t="s">
        <v>24</v>
      </c>
      <c r="E14" s="341">
        <f>206*1.2*0.01</f>
        <v>2.4700000000000002</v>
      </c>
      <c r="F14" s="335">
        <f>F13*E14</f>
        <v>22.23</v>
      </c>
      <c r="G14" s="334"/>
      <c r="H14" s="341">
        <f>F14*G14</f>
        <v>0</v>
      </c>
      <c r="I14" s="577"/>
      <c r="J14" s="576"/>
      <c r="K14" s="576"/>
      <c r="L14" s="576"/>
      <c r="M14" s="576"/>
      <c r="N14" s="576"/>
      <c r="O14" s="576"/>
      <c r="P14" s="576"/>
      <c r="Q14" s="576"/>
      <c r="R14" s="576"/>
      <c r="S14" s="576"/>
      <c r="T14" s="576"/>
      <c r="U14" s="576"/>
      <c r="V14" s="576"/>
      <c r="W14" s="576"/>
      <c r="X14" s="576"/>
      <c r="Y14" s="576"/>
      <c r="Z14" s="576"/>
      <c r="AA14" s="576"/>
      <c r="AB14" s="576"/>
      <c r="AC14" s="576"/>
      <c r="AD14" s="576"/>
      <c r="AE14" s="576"/>
      <c r="AF14" s="576"/>
      <c r="AG14" s="576"/>
      <c r="AH14" s="576"/>
      <c r="AI14" s="576"/>
      <c r="AJ14" s="576"/>
      <c r="AK14" s="576"/>
      <c r="AL14" s="576"/>
      <c r="AM14" s="576"/>
      <c r="AN14" s="576"/>
    </row>
    <row r="15" spans="1:40" s="297" customFormat="1" ht="68.25" customHeight="1" x14ac:dyDescent="0.2">
      <c r="A15" s="8">
        <v>3</v>
      </c>
      <c r="B15" s="381" t="s">
        <v>473</v>
      </c>
      <c r="C15" s="378" t="s">
        <v>474</v>
      </c>
      <c r="D15" s="4" t="s">
        <v>3</v>
      </c>
      <c r="E15" s="4"/>
      <c r="F15" s="7">
        <v>59.8</v>
      </c>
      <c r="G15" s="4"/>
      <c r="H15" s="7">
        <f>SUM(H16:H23)</f>
        <v>0</v>
      </c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</row>
    <row r="16" spans="1:40" s="297" customFormat="1" ht="33" customHeight="1" x14ac:dyDescent="0.2">
      <c r="A16" s="82">
        <f t="shared" ref="A16:A23" si="0">A15+0.1</f>
        <v>3.1</v>
      </c>
      <c r="B16" s="4"/>
      <c r="C16" s="190" t="s">
        <v>31</v>
      </c>
      <c r="D16" s="190" t="s">
        <v>0</v>
      </c>
      <c r="E16" s="43">
        <f>844*0.01</f>
        <v>8.44</v>
      </c>
      <c r="F16" s="43">
        <f>F15*E16</f>
        <v>504.71</v>
      </c>
      <c r="G16" s="190"/>
      <c r="H16" s="43">
        <f t="shared" ref="H16:H23" si="1">F16*G16</f>
        <v>0</v>
      </c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</row>
    <row r="17" spans="1:40" s="297" customFormat="1" ht="19.5" customHeight="1" x14ac:dyDescent="0.2">
      <c r="A17" s="82">
        <f t="shared" si="0"/>
        <v>3.2</v>
      </c>
      <c r="B17" s="4"/>
      <c r="C17" s="190" t="s">
        <v>28</v>
      </c>
      <c r="D17" s="190" t="s">
        <v>6</v>
      </c>
      <c r="E17" s="43">
        <f>110*0.01</f>
        <v>1.1000000000000001</v>
      </c>
      <c r="F17" s="43">
        <f>F15*E17</f>
        <v>65.78</v>
      </c>
      <c r="G17" s="190"/>
      <c r="H17" s="43">
        <f t="shared" si="1"/>
        <v>0</v>
      </c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</row>
    <row r="18" spans="1:40" s="297" customFormat="1" ht="19.5" customHeight="1" x14ac:dyDescent="0.2">
      <c r="A18" s="82">
        <f t="shared" si="0"/>
        <v>3.3</v>
      </c>
      <c r="B18" s="4"/>
      <c r="C18" s="190" t="s">
        <v>588</v>
      </c>
      <c r="D18" s="190" t="s">
        <v>3</v>
      </c>
      <c r="E18" s="77">
        <f>101.5*0.01</f>
        <v>1.0149999999999999</v>
      </c>
      <c r="F18" s="43">
        <f>F15*E18</f>
        <v>60.7</v>
      </c>
      <c r="G18" s="190"/>
      <c r="H18" s="43">
        <f t="shared" si="1"/>
        <v>0</v>
      </c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</row>
    <row r="19" spans="1:40" s="297" customFormat="1" ht="19.5" customHeight="1" x14ac:dyDescent="0.2">
      <c r="A19" s="82">
        <f t="shared" si="0"/>
        <v>3.4</v>
      </c>
      <c r="B19" s="4"/>
      <c r="C19" s="190" t="s">
        <v>475</v>
      </c>
      <c r="D19" s="190" t="s">
        <v>61</v>
      </c>
      <c r="E19" s="43"/>
      <c r="F19" s="77">
        <v>3539</v>
      </c>
      <c r="G19" s="190"/>
      <c r="H19" s="43">
        <f t="shared" si="1"/>
        <v>0</v>
      </c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</row>
    <row r="20" spans="1:40" s="297" customFormat="1" ht="19.5" customHeight="1" x14ac:dyDescent="0.2">
      <c r="A20" s="82">
        <f t="shared" si="0"/>
        <v>3.5</v>
      </c>
      <c r="B20" s="4"/>
      <c r="C20" s="190" t="s">
        <v>476</v>
      </c>
      <c r="D20" s="190" t="s">
        <v>4</v>
      </c>
      <c r="E20" s="43">
        <f>184*0.01</f>
        <v>1.84</v>
      </c>
      <c r="F20" s="43">
        <f>F15*E20</f>
        <v>110.03</v>
      </c>
      <c r="G20" s="190"/>
      <c r="H20" s="43">
        <f t="shared" si="1"/>
        <v>0</v>
      </c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</row>
    <row r="21" spans="1:40" s="297" customFormat="1" ht="30" customHeight="1" x14ac:dyDescent="0.2">
      <c r="A21" s="82">
        <f t="shared" si="0"/>
        <v>3.6</v>
      </c>
      <c r="B21" s="4"/>
      <c r="C21" s="190" t="s">
        <v>477</v>
      </c>
      <c r="D21" s="190" t="s">
        <v>3</v>
      </c>
      <c r="E21" s="382">
        <f>3.91*0.01+0.34*0.01</f>
        <v>4.2500000000000003E-2</v>
      </c>
      <c r="F21" s="43">
        <f>F15*E21</f>
        <v>2.54</v>
      </c>
      <c r="G21" s="190"/>
      <c r="H21" s="43">
        <f t="shared" si="1"/>
        <v>0</v>
      </c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</row>
    <row r="22" spans="1:40" s="297" customFormat="1" ht="19.5" customHeight="1" x14ac:dyDescent="0.2">
      <c r="A22" s="82">
        <f t="shared" si="0"/>
        <v>3.7</v>
      </c>
      <c r="B22" s="4"/>
      <c r="C22" s="190" t="s">
        <v>231</v>
      </c>
      <c r="D22" s="190" t="s">
        <v>61</v>
      </c>
      <c r="E22" s="43">
        <v>0.22</v>
      </c>
      <c r="F22" s="43">
        <f>F15*E22</f>
        <v>13.16</v>
      </c>
      <c r="G22" s="190"/>
      <c r="H22" s="43">
        <f t="shared" si="1"/>
        <v>0</v>
      </c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</row>
    <row r="23" spans="1:40" s="297" customFormat="1" ht="19.5" customHeight="1" x14ac:dyDescent="0.2">
      <c r="A23" s="82">
        <f t="shared" si="0"/>
        <v>3.8</v>
      </c>
      <c r="B23" s="4"/>
      <c r="C23" s="190" t="s">
        <v>69</v>
      </c>
      <c r="D23" s="190" t="s">
        <v>5</v>
      </c>
      <c r="E23" s="77">
        <f>0.1*0.01</f>
        <v>1E-3</v>
      </c>
      <c r="F23" s="77">
        <f>F15*E23</f>
        <v>0.06</v>
      </c>
      <c r="G23" s="190"/>
      <c r="H23" s="43">
        <f t="shared" si="1"/>
        <v>0</v>
      </c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</row>
    <row r="24" spans="1:40" s="297" customFormat="1" ht="54" customHeight="1" x14ac:dyDescent="0.2">
      <c r="A24" s="8">
        <f>A15+1</f>
        <v>4</v>
      </c>
      <c r="B24" s="381" t="s">
        <v>478</v>
      </c>
      <c r="C24" s="378" t="s">
        <v>581</v>
      </c>
      <c r="D24" s="4" t="s">
        <v>60</v>
      </c>
      <c r="E24" s="4"/>
      <c r="F24" s="553">
        <v>12</v>
      </c>
      <c r="G24" s="540"/>
      <c r="H24" s="568">
        <f>SUM(H25:H27)</f>
        <v>0</v>
      </c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</row>
    <row r="25" spans="1:40" s="297" customFormat="1" ht="33" customHeight="1" x14ac:dyDescent="0.2">
      <c r="A25" s="82">
        <f>A24+0.1</f>
        <v>4.0999999999999996</v>
      </c>
      <c r="B25" s="4"/>
      <c r="C25" s="4" t="s">
        <v>31</v>
      </c>
      <c r="D25" s="4" t="s">
        <v>0</v>
      </c>
      <c r="E25" s="7">
        <v>4.88</v>
      </c>
      <c r="F25" s="568">
        <f>F24*E25</f>
        <v>58.56</v>
      </c>
      <c r="G25" s="540"/>
      <c r="H25" s="568">
        <f>F25*G25</f>
        <v>0</v>
      </c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</row>
    <row r="26" spans="1:40" s="297" customFormat="1" ht="18.75" customHeight="1" x14ac:dyDescent="0.2">
      <c r="A26" s="82">
        <v>4.2</v>
      </c>
      <c r="B26" s="4"/>
      <c r="C26" s="4" t="s">
        <v>479</v>
      </c>
      <c r="D26" s="4" t="s">
        <v>3</v>
      </c>
      <c r="E26" s="7"/>
      <c r="F26" s="8">
        <f>10*1*0.2</f>
        <v>2</v>
      </c>
      <c r="G26" s="4"/>
      <c r="H26" s="7">
        <f>F26*G26</f>
        <v>0</v>
      </c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</row>
    <row r="27" spans="1:40" s="297" customFormat="1" ht="39" customHeight="1" x14ac:dyDescent="0.2">
      <c r="A27" s="82">
        <v>4.3</v>
      </c>
      <c r="B27" s="4"/>
      <c r="C27" s="4" t="s">
        <v>480</v>
      </c>
      <c r="D27" s="4" t="s">
        <v>3</v>
      </c>
      <c r="E27" s="7"/>
      <c r="F27" s="8">
        <f>10*0.3*1</f>
        <v>3</v>
      </c>
      <c r="G27" s="4"/>
      <c r="H27" s="7">
        <f>F27*G27</f>
        <v>0</v>
      </c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</row>
    <row r="28" spans="1:40" s="336" customFormat="1" ht="63.75" customHeight="1" x14ac:dyDescent="0.2">
      <c r="A28" s="598">
        <v>5</v>
      </c>
      <c r="B28" s="337" t="s">
        <v>481</v>
      </c>
      <c r="C28" s="599" t="s">
        <v>482</v>
      </c>
      <c r="D28" s="558" t="s">
        <v>483</v>
      </c>
      <c r="E28" s="558"/>
      <c r="F28" s="600">
        <v>169</v>
      </c>
      <c r="G28" s="558"/>
      <c r="H28" s="601">
        <f>SUM(H29:H31)</f>
        <v>0</v>
      </c>
      <c r="I28" s="578"/>
      <c r="J28" s="576"/>
      <c r="K28" s="576"/>
      <c r="L28" s="576"/>
      <c r="M28" s="576"/>
      <c r="N28" s="576"/>
      <c r="O28" s="576"/>
      <c r="P28" s="576"/>
      <c r="Q28" s="576"/>
      <c r="R28" s="576"/>
      <c r="S28" s="576"/>
      <c r="T28" s="576"/>
      <c r="U28" s="576"/>
      <c r="V28" s="576"/>
      <c r="W28" s="576"/>
      <c r="X28" s="576"/>
      <c r="Y28" s="576"/>
      <c r="Z28" s="576"/>
      <c r="AA28" s="576"/>
      <c r="AB28" s="576"/>
      <c r="AC28" s="576"/>
      <c r="AD28" s="576"/>
      <c r="AE28" s="576"/>
      <c r="AF28" s="576"/>
      <c r="AG28" s="576"/>
      <c r="AH28" s="576"/>
      <c r="AI28" s="576"/>
      <c r="AJ28" s="576"/>
      <c r="AK28" s="576"/>
      <c r="AL28" s="576"/>
      <c r="AM28" s="576"/>
      <c r="AN28" s="576"/>
    </row>
    <row r="29" spans="1:40" s="20" customFormat="1" ht="26.25" customHeight="1" x14ac:dyDescent="0.2">
      <c r="A29" s="602" t="s">
        <v>589</v>
      </c>
      <c r="B29" s="337"/>
      <c r="C29" s="558" t="s">
        <v>23</v>
      </c>
      <c r="D29" s="559" t="s">
        <v>24</v>
      </c>
      <c r="E29" s="560">
        <f>24.2*0.001</f>
        <v>2.4199999999999999E-2</v>
      </c>
      <c r="F29" s="559">
        <f>F28*E29</f>
        <v>4.09</v>
      </c>
      <c r="G29" s="558"/>
      <c r="H29" s="561">
        <f>F29*G29</f>
        <v>0</v>
      </c>
      <c r="I29" s="577"/>
      <c r="J29" s="579"/>
      <c r="K29" s="579"/>
      <c r="L29" s="579"/>
      <c r="M29" s="579"/>
      <c r="N29" s="579"/>
      <c r="O29" s="579"/>
      <c r="P29" s="579"/>
      <c r="Q29" s="579"/>
      <c r="R29" s="579"/>
      <c r="S29" s="579"/>
      <c r="T29" s="579"/>
      <c r="U29" s="579"/>
      <c r="V29" s="579"/>
      <c r="W29" s="579"/>
      <c r="X29" s="579"/>
      <c r="Y29" s="579"/>
      <c r="Z29" s="579"/>
      <c r="AA29" s="579"/>
      <c r="AB29" s="579"/>
      <c r="AC29" s="579"/>
      <c r="AD29" s="579"/>
      <c r="AE29" s="579"/>
      <c r="AF29" s="579"/>
      <c r="AG29" s="579"/>
      <c r="AH29" s="579"/>
      <c r="AI29" s="579"/>
      <c r="AJ29" s="579"/>
      <c r="AK29" s="579"/>
      <c r="AL29" s="579"/>
      <c r="AM29" s="579"/>
      <c r="AN29" s="579"/>
    </row>
    <row r="30" spans="1:40" s="20" customFormat="1" ht="24.75" customHeight="1" x14ac:dyDescent="0.2">
      <c r="A30" s="602" t="s">
        <v>590</v>
      </c>
      <c r="B30" s="603"/>
      <c r="C30" s="558" t="s">
        <v>29</v>
      </c>
      <c r="D30" s="558" t="s">
        <v>48</v>
      </c>
      <c r="E30" s="562">
        <v>7.5999999999999998E-2</v>
      </c>
      <c r="F30" s="559">
        <f>F28*E30</f>
        <v>12.84</v>
      </c>
      <c r="G30" s="558"/>
      <c r="H30" s="561">
        <f>F30*G30</f>
        <v>0</v>
      </c>
      <c r="I30" s="577"/>
      <c r="J30" s="579"/>
      <c r="K30" s="579"/>
      <c r="L30" s="579"/>
      <c r="M30" s="579"/>
      <c r="N30" s="579"/>
      <c r="O30" s="579"/>
      <c r="P30" s="579"/>
      <c r="Q30" s="579"/>
      <c r="R30" s="579"/>
      <c r="S30" s="579"/>
      <c r="T30" s="579"/>
      <c r="U30" s="579"/>
      <c r="V30" s="579"/>
      <c r="W30" s="579"/>
      <c r="X30" s="579"/>
      <c r="Y30" s="579"/>
      <c r="Z30" s="579"/>
      <c r="AA30" s="579"/>
      <c r="AB30" s="579"/>
      <c r="AC30" s="579"/>
      <c r="AD30" s="579"/>
      <c r="AE30" s="579"/>
      <c r="AF30" s="579"/>
      <c r="AG30" s="579"/>
      <c r="AH30" s="579"/>
      <c r="AI30" s="579"/>
      <c r="AJ30" s="579"/>
      <c r="AK30" s="579"/>
      <c r="AL30" s="579"/>
      <c r="AM30" s="579"/>
      <c r="AN30" s="579"/>
    </row>
    <row r="31" spans="1:40" s="296" customFormat="1" ht="25.5" customHeight="1" x14ac:dyDescent="0.2">
      <c r="A31" s="602" t="s">
        <v>591</v>
      </c>
      <c r="B31" s="12"/>
      <c r="C31" s="558" t="s">
        <v>28</v>
      </c>
      <c r="D31" s="558" t="s">
        <v>6</v>
      </c>
      <c r="E31" s="560">
        <f>5.57*0.001</f>
        <v>5.5999999999999999E-3</v>
      </c>
      <c r="F31" s="559">
        <f>F28*E31</f>
        <v>0.95</v>
      </c>
      <c r="G31" s="558"/>
      <c r="H31" s="561">
        <f>F31*G31</f>
        <v>0</v>
      </c>
      <c r="I31" s="580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</row>
    <row r="32" spans="1:40" s="130" customFormat="1" ht="45.75" customHeight="1" x14ac:dyDescent="0.2">
      <c r="A32" s="4">
        <v>6</v>
      </c>
      <c r="B32" s="604" t="s">
        <v>88</v>
      </c>
      <c r="C32" s="4" t="s">
        <v>193</v>
      </c>
      <c r="D32" s="4" t="s">
        <v>87</v>
      </c>
      <c r="E32" s="190"/>
      <c r="F32" s="7">
        <v>32</v>
      </c>
      <c r="G32" s="190"/>
      <c r="H32" s="8">
        <f>H33</f>
        <v>0</v>
      </c>
      <c r="I32" s="569"/>
      <c r="J32" s="581"/>
      <c r="K32" s="582"/>
      <c r="L32" s="583"/>
      <c r="M32" s="584"/>
      <c r="N32" s="582"/>
      <c r="O32" s="582"/>
      <c r="P32" s="582"/>
      <c r="Q32" s="582"/>
      <c r="R32" s="582"/>
      <c r="S32" s="582"/>
      <c r="T32" s="582"/>
      <c r="U32" s="582"/>
      <c r="V32" s="582"/>
      <c r="W32" s="582"/>
      <c r="X32" s="582"/>
      <c r="Y32" s="582"/>
      <c r="Z32" s="582"/>
      <c r="AA32" s="582"/>
      <c r="AB32" s="582"/>
      <c r="AC32" s="582"/>
      <c r="AD32" s="582"/>
      <c r="AE32" s="582"/>
      <c r="AF32" s="582"/>
      <c r="AG32" s="582"/>
      <c r="AH32" s="582"/>
      <c r="AI32" s="582"/>
      <c r="AJ32" s="582"/>
      <c r="AK32" s="582"/>
      <c r="AL32" s="582"/>
      <c r="AM32" s="582"/>
      <c r="AN32" s="582"/>
    </row>
    <row r="33" spans="1:40" s="130" customFormat="1" ht="27" customHeight="1" x14ac:dyDescent="0.2">
      <c r="A33" s="190">
        <f>A32+0.1</f>
        <v>6.1</v>
      </c>
      <c r="B33" s="50"/>
      <c r="C33" s="383" t="s">
        <v>89</v>
      </c>
      <c r="D33" s="50" t="s">
        <v>90</v>
      </c>
      <c r="E33" s="50">
        <f>206/100</f>
        <v>2.06</v>
      </c>
      <c r="F33" s="605">
        <f>F32*E33</f>
        <v>65.92</v>
      </c>
      <c r="G33" s="605"/>
      <c r="H33" s="606">
        <f>G33*F33</f>
        <v>0</v>
      </c>
      <c r="I33" s="569"/>
      <c r="J33" s="581"/>
      <c r="K33" s="582"/>
      <c r="L33" s="582"/>
      <c r="M33" s="582"/>
      <c r="N33" s="582"/>
      <c r="O33" s="582"/>
      <c r="P33" s="582"/>
      <c r="Q33" s="582"/>
      <c r="R33" s="582"/>
      <c r="S33" s="582"/>
      <c r="T33" s="582"/>
      <c r="U33" s="582"/>
      <c r="V33" s="582"/>
      <c r="W33" s="582"/>
      <c r="X33" s="582"/>
      <c r="Y33" s="582"/>
      <c r="Z33" s="582"/>
      <c r="AA33" s="582"/>
      <c r="AB33" s="582"/>
      <c r="AC33" s="582"/>
      <c r="AD33" s="582"/>
      <c r="AE33" s="582"/>
      <c r="AF33" s="582"/>
      <c r="AG33" s="582"/>
      <c r="AH33" s="582"/>
      <c r="AI33" s="582"/>
      <c r="AJ33" s="582"/>
      <c r="AK33" s="582"/>
      <c r="AL33" s="582"/>
      <c r="AM33" s="582"/>
      <c r="AN33" s="582"/>
    </row>
    <row r="34" spans="1:40" s="130" customFormat="1" ht="49.5" customHeight="1" x14ac:dyDescent="0.2">
      <c r="A34" s="8">
        <v>7</v>
      </c>
      <c r="B34" s="604" t="s">
        <v>194</v>
      </c>
      <c r="C34" s="4" t="s">
        <v>195</v>
      </c>
      <c r="D34" s="11" t="s">
        <v>3</v>
      </c>
      <c r="E34" s="190"/>
      <c r="F34" s="7">
        <v>8</v>
      </c>
      <c r="G34" s="190"/>
      <c r="H34" s="8">
        <f>H35</f>
        <v>0</v>
      </c>
      <c r="I34" s="569"/>
      <c r="J34" s="582"/>
      <c r="K34" s="581"/>
      <c r="L34" s="582"/>
      <c r="M34" s="582"/>
      <c r="N34" s="582"/>
      <c r="O34" s="582"/>
      <c r="P34" s="582"/>
      <c r="Q34" s="582"/>
      <c r="R34" s="582"/>
      <c r="S34" s="582"/>
      <c r="T34" s="582"/>
      <c r="U34" s="582"/>
      <c r="V34" s="582"/>
      <c r="W34" s="582"/>
      <c r="X34" s="582"/>
      <c r="Y34" s="582"/>
      <c r="Z34" s="582"/>
      <c r="AA34" s="582"/>
      <c r="AB34" s="582"/>
      <c r="AC34" s="582"/>
      <c r="AD34" s="582"/>
      <c r="AE34" s="582"/>
      <c r="AF34" s="582"/>
      <c r="AG34" s="582"/>
      <c r="AH34" s="582"/>
      <c r="AI34" s="582"/>
      <c r="AJ34" s="582"/>
      <c r="AK34" s="582"/>
      <c r="AL34" s="582"/>
      <c r="AM34" s="582"/>
      <c r="AN34" s="582"/>
    </row>
    <row r="35" spans="1:40" ht="21" customHeight="1" x14ac:dyDescent="0.2">
      <c r="A35" s="190">
        <f>A34+0.1</f>
        <v>7.1</v>
      </c>
      <c r="B35" s="50"/>
      <c r="C35" s="383" t="s">
        <v>92</v>
      </c>
      <c r="D35" s="50" t="s">
        <v>1</v>
      </c>
      <c r="E35" s="50">
        <v>1.21</v>
      </c>
      <c r="F35" s="50">
        <f>F34*E35</f>
        <v>9.68</v>
      </c>
      <c r="G35" s="605"/>
      <c r="H35" s="606">
        <f>G35*F35</f>
        <v>0</v>
      </c>
      <c r="I35" s="569"/>
      <c r="J35" s="570"/>
      <c r="K35" s="569"/>
      <c r="L35" s="569"/>
      <c r="M35" s="574"/>
      <c r="N35" s="569"/>
      <c r="O35" s="569"/>
      <c r="P35" s="569"/>
      <c r="Q35" s="569"/>
      <c r="R35" s="569"/>
      <c r="S35" s="569"/>
      <c r="T35" s="569"/>
      <c r="U35" s="569"/>
      <c r="V35" s="569"/>
      <c r="W35" s="569"/>
      <c r="X35" s="569"/>
      <c r="Y35" s="569"/>
      <c r="Z35" s="569"/>
      <c r="AA35" s="569"/>
      <c r="AB35" s="569"/>
      <c r="AC35" s="569"/>
      <c r="AD35" s="569"/>
      <c r="AE35" s="569"/>
      <c r="AF35" s="569"/>
      <c r="AG35" s="569"/>
      <c r="AH35" s="569"/>
      <c r="AI35" s="569"/>
      <c r="AJ35" s="569"/>
      <c r="AK35" s="569"/>
      <c r="AL35" s="569"/>
      <c r="AM35" s="569"/>
      <c r="AN35" s="569"/>
    </row>
    <row r="36" spans="1:40" ht="47.25" customHeight="1" x14ac:dyDescent="0.2">
      <c r="A36" s="8">
        <f>A34+1</f>
        <v>8</v>
      </c>
      <c r="B36" s="604" t="s">
        <v>196</v>
      </c>
      <c r="C36" s="4" t="s">
        <v>548</v>
      </c>
      <c r="D36" s="4" t="s">
        <v>87</v>
      </c>
      <c r="E36" s="23"/>
      <c r="F36" s="7">
        <v>30.4</v>
      </c>
      <c r="G36" s="190"/>
      <c r="H36" s="8">
        <f>SUM(H37:H43)</f>
        <v>0</v>
      </c>
      <c r="I36" s="569"/>
      <c r="J36" s="570"/>
      <c r="K36" s="569"/>
      <c r="L36" s="569"/>
      <c r="M36" s="569"/>
      <c r="N36" s="569"/>
      <c r="O36" s="569"/>
      <c r="P36" s="569"/>
      <c r="Q36" s="569"/>
      <c r="R36" s="569"/>
      <c r="S36" s="569"/>
      <c r="T36" s="569"/>
      <c r="U36" s="569"/>
      <c r="V36" s="569"/>
      <c r="W36" s="569"/>
      <c r="X36" s="569"/>
      <c r="Y36" s="569"/>
      <c r="Z36" s="569"/>
      <c r="AA36" s="569"/>
      <c r="AB36" s="569"/>
      <c r="AC36" s="569"/>
      <c r="AD36" s="569"/>
      <c r="AE36" s="569"/>
      <c r="AF36" s="569"/>
      <c r="AG36" s="569"/>
      <c r="AH36" s="569"/>
      <c r="AI36" s="569"/>
      <c r="AJ36" s="569"/>
      <c r="AK36" s="569"/>
      <c r="AL36" s="569"/>
      <c r="AM36" s="569"/>
      <c r="AN36" s="569"/>
    </row>
    <row r="37" spans="1:40" ht="18.75" customHeight="1" x14ac:dyDescent="0.2">
      <c r="A37" s="82">
        <f t="shared" ref="A37:A51" si="2">A36+0.1</f>
        <v>8.1</v>
      </c>
      <c r="B37" s="607" t="s">
        <v>196</v>
      </c>
      <c r="C37" s="50" t="s">
        <v>92</v>
      </c>
      <c r="D37" s="191" t="s">
        <v>1</v>
      </c>
      <c r="E37" s="191">
        <v>6.66</v>
      </c>
      <c r="F37" s="605">
        <f>F36*E37</f>
        <v>202.46</v>
      </c>
      <c r="G37" s="50"/>
      <c r="H37" s="606">
        <f t="shared" ref="H37:H43" si="3">G37*F37</f>
        <v>0</v>
      </c>
      <c r="I37" s="569"/>
      <c r="J37" s="570"/>
      <c r="K37" s="569"/>
      <c r="L37" s="569"/>
      <c r="M37" s="569"/>
      <c r="N37" s="569"/>
      <c r="O37" s="569"/>
      <c r="P37" s="569"/>
      <c r="Q37" s="569"/>
      <c r="R37" s="569"/>
      <c r="S37" s="569"/>
      <c r="T37" s="569"/>
      <c r="U37" s="569"/>
      <c r="V37" s="569"/>
      <c r="W37" s="569"/>
      <c r="X37" s="569"/>
      <c r="Y37" s="569"/>
      <c r="Z37" s="569"/>
      <c r="AA37" s="569"/>
      <c r="AB37" s="569"/>
      <c r="AC37" s="569"/>
      <c r="AD37" s="569"/>
      <c r="AE37" s="569"/>
      <c r="AF37" s="569"/>
      <c r="AG37" s="569"/>
      <c r="AH37" s="569"/>
      <c r="AI37" s="569"/>
      <c r="AJ37" s="569"/>
      <c r="AK37" s="569"/>
      <c r="AL37" s="569"/>
      <c r="AM37" s="569"/>
      <c r="AN37" s="569"/>
    </row>
    <row r="38" spans="1:40" ht="18.75" customHeight="1" x14ac:dyDescent="0.2">
      <c r="A38" s="82">
        <f t="shared" si="2"/>
        <v>8.1999999999999993</v>
      </c>
      <c r="B38" s="23"/>
      <c r="C38" s="65" t="s">
        <v>2</v>
      </c>
      <c r="D38" s="66" t="s">
        <v>93</v>
      </c>
      <c r="E38" s="66">
        <v>0.59</v>
      </c>
      <c r="F38" s="66">
        <f>F36*E38</f>
        <v>17.940000000000001</v>
      </c>
      <c r="G38" s="66"/>
      <c r="H38" s="67">
        <f t="shared" si="3"/>
        <v>0</v>
      </c>
      <c r="I38" s="569"/>
      <c r="J38" s="570"/>
      <c r="K38" s="569"/>
      <c r="L38" s="569"/>
      <c r="M38" s="569"/>
      <c r="N38" s="569"/>
      <c r="O38" s="569"/>
      <c r="P38" s="569"/>
      <c r="Q38" s="569"/>
      <c r="R38" s="569"/>
      <c r="S38" s="569"/>
      <c r="T38" s="569"/>
      <c r="U38" s="569"/>
      <c r="V38" s="569"/>
      <c r="W38" s="569"/>
      <c r="X38" s="569"/>
      <c r="Y38" s="569"/>
      <c r="Z38" s="569"/>
      <c r="AA38" s="569"/>
      <c r="AB38" s="569"/>
      <c r="AC38" s="569"/>
      <c r="AD38" s="569"/>
      <c r="AE38" s="569"/>
      <c r="AF38" s="569"/>
      <c r="AG38" s="569"/>
      <c r="AH38" s="569"/>
      <c r="AI38" s="569"/>
      <c r="AJ38" s="569"/>
      <c r="AK38" s="569"/>
      <c r="AL38" s="569"/>
      <c r="AM38" s="569"/>
      <c r="AN38" s="569"/>
    </row>
    <row r="39" spans="1:40" ht="18.75" customHeight="1" x14ac:dyDescent="0.2">
      <c r="A39" s="82">
        <v>8.3000000000000007</v>
      </c>
      <c r="B39" s="23"/>
      <c r="C39" s="190" t="s">
        <v>96</v>
      </c>
      <c r="D39" s="38" t="s">
        <v>3</v>
      </c>
      <c r="E39" s="75">
        <v>1.0149999999999999</v>
      </c>
      <c r="F39" s="38">
        <f>F36*E39</f>
        <v>30.86</v>
      </c>
      <c r="G39" s="38"/>
      <c r="H39" s="41">
        <f t="shared" si="3"/>
        <v>0</v>
      </c>
      <c r="I39" s="569"/>
      <c r="J39" s="570"/>
      <c r="K39" s="569"/>
      <c r="L39" s="569"/>
      <c r="M39" s="569"/>
      <c r="N39" s="569"/>
      <c r="O39" s="569"/>
      <c r="P39" s="569"/>
      <c r="Q39" s="569"/>
      <c r="R39" s="569"/>
      <c r="S39" s="569"/>
      <c r="T39" s="569"/>
      <c r="U39" s="569"/>
      <c r="V39" s="569"/>
      <c r="W39" s="569"/>
      <c r="X39" s="569"/>
      <c r="Y39" s="569"/>
      <c r="Z39" s="569"/>
      <c r="AA39" s="569"/>
      <c r="AB39" s="569"/>
      <c r="AC39" s="569"/>
      <c r="AD39" s="569"/>
      <c r="AE39" s="569"/>
      <c r="AF39" s="569"/>
      <c r="AG39" s="569"/>
      <c r="AH39" s="569"/>
      <c r="AI39" s="569"/>
      <c r="AJ39" s="569"/>
      <c r="AK39" s="569"/>
      <c r="AL39" s="569"/>
      <c r="AM39" s="569"/>
      <c r="AN39" s="569"/>
    </row>
    <row r="40" spans="1:40" ht="18.75" customHeight="1" x14ac:dyDescent="0.2">
      <c r="A40" s="82">
        <f t="shared" si="2"/>
        <v>8.4</v>
      </c>
      <c r="B40" s="23"/>
      <c r="C40" s="190" t="s">
        <v>97</v>
      </c>
      <c r="D40" s="38" t="s">
        <v>61</v>
      </c>
      <c r="E40" s="38" t="s">
        <v>98</v>
      </c>
      <c r="F40" s="38">
        <v>1586</v>
      </c>
      <c r="G40" s="38"/>
      <c r="H40" s="41">
        <f t="shared" si="3"/>
        <v>0</v>
      </c>
      <c r="I40" s="569"/>
      <c r="J40" s="570"/>
      <c r="K40" s="569"/>
      <c r="L40" s="569"/>
      <c r="M40" s="569"/>
      <c r="N40" s="569"/>
      <c r="O40" s="569"/>
      <c r="P40" s="569"/>
      <c r="Q40" s="569"/>
      <c r="R40" s="569"/>
      <c r="S40" s="569"/>
      <c r="T40" s="569"/>
      <c r="U40" s="569"/>
      <c r="V40" s="569"/>
      <c r="W40" s="569"/>
      <c r="X40" s="569"/>
      <c r="Y40" s="569"/>
      <c r="Z40" s="569"/>
      <c r="AA40" s="569"/>
      <c r="AB40" s="569"/>
      <c r="AC40" s="569"/>
      <c r="AD40" s="569"/>
      <c r="AE40" s="569"/>
      <c r="AF40" s="569"/>
      <c r="AG40" s="569"/>
      <c r="AH40" s="569"/>
      <c r="AI40" s="569"/>
      <c r="AJ40" s="569"/>
      <c r="AK40" s="569"/>
      <c r="AL40" s="569"/>
      <c r="AM40" s="569"/>
      <c r="AN40" s="569"/>
    </row>
    <row r="41" spans="1:40" ht="18.75" customHeight="1" x14ac:dyDescent="0.2">
      <c r="A41" s="82">
        <f t="shared" si="2"/>
        <v>8.5</v>
      </c>
      <c r="B41" s="23"/>
      <c r="C41" s="190" t="s">
        <v>99</v>
      </c>
      <c r="D41" s="190" t="s">
        <v>4</v>
      </c>
      <c r="E41" s="38">
        <v>1.61</v>
      </c>
      <c r="F41" s="38">
        <f>F36*E41</f>
        <v>48.94</v>
      </c>
      <c r="G41" s="38"/>
      <c r="H41" s="41">
        <f t="shared" si="3"/>
        <v>0</v>
      </c>
      <c r="I41" s="569"/>
      <c r="J41" s="570"/>
      <c r="K41" s="569"/>
      <c r="L41" s="569"/>
      <c r="M41" s="569"/>
      <c r="N41" s="569"/>
      <c r="O41" s="569"/>
      <c r="P41" s="569"/>
      <c r="Q41" s="569"/>
      <c r="R41" s="569"/>
      <c r="S41" s="569"/>
      <c r="T41" s="569"/>
      <c r="U41" s="569"/>
      <c r="V41" s="569"/>
      <c r="W41" s="569"/>
      <c r="X41" s="569"/>
      <c r="Y41" s="569"/>
      <c r="Z41" s="569"/>
      <c r="AA41" s="569"/>
      <c r="AB41" s="569"/>
      <c r="AC41" s="569"/>
      <c r="AD41" s="569"/>
      <c r="AE41" s="569"/>
      <c r="AF41" s="569"/>
      <c r="AG41" s="569"/>
      <c r="AH41" s="569"/>
      <c r="AI41" s="569"/>
      <c r="AJ41" s="569"/>
      <c r="AK41" s="569"/>
      <c r="AL41" s="569"/>
      <c r="AM41" s="569"/>
      <c r="AN41" s="569"/>
    </row>
    <row r="42" spans="1:40" ht="18.75" customHeight="1" x14ac:dyDescent="0.2">
      <c r="A42" s="82">
        <f t="shared" si="2"/>
        <v>8.6</v>
      </c>
      <c r="B42" s="23"/>
      <c r="C42" s="190" t="s">
        <v>100</v>
      </c>
      <c r="D42" s="190" t="s">
        <v>3</v>
      </c>
      <c r="E42" s="72">
        <f>1.83/100</f>
        <v>1.83E-2</v>
      </c>
      <c r="F42" s="38">
        <f>F36*E42</f>
        <v>0.56000000000000005</v>
      </c>
      <c r="G42" s="38"/>
      <c r="H42" s="41">
        <f t="shared" si="3"/>
        <v>0</v>
      </c>
      <c r="I42" s="569"/>
      <c r="J42" s="570"/>
      <c r="K42" s="569"/>
      <c r="L42" s="569"/>
      <c r="M42" s="569"/>
      <c r="N42" s="569"/>
      <c r="O42" s="569"/>
      <c r="P42" s="569"/>
      <c r="Q42" s="569"/>
      <c r="R42" s="569"/>
      <c r="S42" s="569"/>
      <c r="T42" s="569"/>
      <c r="U42" s="569"/>
      <c r="V42" s="569"/>
      <c r="W42" s="569"/>
      <c r="X42" s="569"/>
      <c r="Y42" s="569"/>
      <c r="Z42" s="569"/>
      <c r="AA42" s="569"/>
      <c r="AB42" s="569"/>
      <c r="AC42" s="569"/>
      <c r="AD42" s="569"/>
      <c r="AE42" s="569"/>
      <c r="AF42" s="569"/>
      <c r="AG42" s="569"/>
      <c r="AH42" s="569"/>
      <c r="AI42" s="569"/>
      <c r="AJ42" s="569"/>
      <c r="AK42" s="569"/>
      <c r="AL42" s="569"/>
      <c r="AM42" s="569"/>
      <c r="AN42" s="569"/>
    </row>
    <row r="43" spans="1:40" ht="18.75" customHeight="1" x14ac:dyDescent="0.2">
      <c r="A43" s="82">
        <f t="shared" si="2"/>
        <v>8.6999999999999993</v>
      </c>
      <c r="B43" s="23"/>
      <c r="C43" s="190" t="s">
        <v>8</v>
      </c>
      <c r="D43" s="190" t="s">
        <v>93</v>
      </c>
      <c r="E43" s="38">
        <v>0.4</v>
      </c>
      <c r="F43" s="38">
        <f>F36*E43</f>
        <v>12.16</v>
      </c>
      <c r="G43" s="38"/>
      <c r="H43" s="41">
        <f t="shared" si="3"/>
        <v>0</v>
      </c>
      <c r="I43" s="569"/>
      <c r="J43" s="570"/>
      <c r="K43" s="569"/>
      <c r="L43" s="569"/>
      <c r="M43" s="569"/>
      <c r="N43" s="569"/>
      <c r="O43" s="569"/>
      <c r="P43" s="569"/>
      <c r="Q43" s="569"/>
      <c r="R43" s="569"/>
      <c r="S43" s="569"/>
      <c r="T43" s="569"/>
      <c r="U43" s="569"/>
      <c r="V43" s="569"/>
      <c r="W43" s="569"/>
      <c r="X43" s="569"/>
      <c r="Y43" s="569"/>
      <c r="Z43" s="569"/>
      <c r="AA43" s="569"/>
      <c r="AB43" s="569"/>
      <c r="AC43" s="569"/>
      <c r="AD43" s="569"/>
      <c r="AE43" s="569"/>
      <c r="AF43" s="569"/>
      <c r="AG43" s="569"/>
      <c r="AH43" s="569"/>
      <c r="AI43" s="569"/>
      <c r="AJ43" s="569"/>
      <c r="AK43" s="569"/>
      <c r="AL43" s="569"/>
      <c r="AM43" s="569"/>
      <c r="AN43" s="569"/>
    </row>
    <row r="44" spans="1:40" ht="60.75" customHeight="1" x14ac:dyDescent="0.2">
      <c r="A44" s="8">
        <f>A36+1</f>
        <v>9</v>
      </c>
      <c r="B44" s="604" t="s">
        <v>196</v>
      </c>
      <c r="C44" s="4" t="s">
        <v>549</v>
      </c>
      <c r="D44" s="4" t="s">
        <v>87</v>
      </c>
      <c r="E44" s="23"/>
      <c r="F44" s="7">
        <v>1.2</v>
      </c>
      <c r="G44" s="190"/>
      <c r="H44" s="8">
        <f>SUM(H45:H51)</f>
        <v>0</v>
      </c>
      <c r="I44" s="569"/>
      <c r="J44" s="570"/>
      <c r="K44" s="569"/>
      <c r="L44" s="569"/>
      <c r="M44" s="569"/>
      <c r="N44" s="569"/>
      <c r="O44" s="569"/>
      <c r="P44" s="569"/>
      <c r="Q44" s="569"/>
      <c r="R44" s="569"/>
      <c r="S44" s="569"/>
      <c r="T44" s="569"/>
      <c r="U44" s="569"/>
      <c r="V44" s="569"/>
      <c r="W44" s="569"/>
      <c r="X44" s="569"/>
      <c r="Y44" s="569"/>
      <c r="Z44" s="569"/>
      <c r="AA44" s="569"/>
      <c r="AB44" s="569"/>
      <c r="AC44" s="569"/>
      <c r="AD44" s="569"/>
      <c r="AE44" s="569"/>
      <c r="AF44" s="569"/>
      <c r="AG44" s="569"/>
      <c r="AH44" s="569"/>
      <c r="AI44" s="569"/>
      <c r="AJ44" s="569"/>
      <c r="AK44" s="569"/>
      <c r="AL44" s="569"/>
      <c r="AM44" s="569"/>
      <c r="AN44" s="569"/>
    </row>
    <row r="45" spans="1:40" ht="21" customHeight="1" x14ac:dyDescent="0.2">
      <c r="A45" s="82">
        <f t="shared" si="2"/>
        <v>9.1</v>
      </c>
      <c r="B45" s="607" t="s">
        <v>196</v>
      </c>
      <c r="C45" s="50" t="s">
        <v>92</v>
      </c>
      <c r="D45" s="191" t="s">
        <v>1</v>
      </c>
      <c r="E45" s="191">
        <v>6.66</v>
      </c>
      <c r="F45" s="605">
        <f>F44*E45</f>
        <v>7.99</v>
      </c>
      <c r="G45" s="50"/>
      <c r="H45" s="606">
        <f t="shared" ref="H45:H51" si="4">G45*F45</f>
        <v>0</v>
      </c>
      <c r="I45" s="569"/>
      <c r="J45" s="570"/>
      <c r="K45" s="569"/>
      <c r="L45" s="569"/>
      <c r="M45" s="569"/>
      <c r="N45" s="569"/>
      <c r="O45" s="569"/>
      <c r="P45" s="569"/>
      <c r="Q45" s="569"/>
      <c r="R45" s="569"/>
      <c r="S45" s="569"/>
      <c r="T45" s="569"/>
      <c r="U45" s="569"/>
      <c r="V45" s="569"/>
      <c r="W45" s="569"/>
      <c r="X45" s="569"/>
      <c r="Y45" s="569"/>
      <c r="Z45" s="569"/>
      <c r="AA45" s="569"/>
      <c r="AB45" s="569"/>
      <c r="AC45" s="569"/>
      <c r="AD45" s="569"/>
      <c r="AE45" s="569"/>
      <c r="AF45" s="569"/>
      <c r="AG45" s="569"/>
      <c r="AH45" s="569"/>
      <c r="AI45" s="569"/>
      <c r="AJ45" s="569"/>
      <c r="AK45" s="569"/>
      <c r="AL45" s="569"/>
      <c r="AM45" s="569"/>
      <c r="AN45" s="569"/>
    </row>
    <row r="46" spans="1:40" ht="21" customHeight="1" x14ac:dyDescent="0.2">
      <c r="A46" s="82">
        <f t="shared" si="2"/>
        <v>9.1999999999999993</v>
      </c>
      <c r="B46" s="23"/>
      <c r="C46" s="65" t="s">
        <v>2</v>
      </c>
      <c r="D46" s="66" t="s">
        <v>93</v>
      </c>
      <c r="E46" s="66">
        <v>0.59</v>
      </c>
      <c r="F46" s="66">
        <f>F44*E46</f>
        <v>0.71</v>
      </c>
      <c r="G46" s="66"/>
      <c r="H46" s="67">
        <f t="shared" si="4"/>
        <v>0</v>
      </c>
      <c r="I46" s="569"/>
      <c r="J46" s="570"/>
      <c r="K46" s="569"/>
      <c r="L46" s="569"/>
      <c r="M46" s="569"/>
      <c r="N46" s="569"/>
      <c r="O46" s="569"/>
      <c r="P46" s="569"/>
      <c r="Q46" s="569"/>
      <c r="R46" s="569"/>
      <c r="S46" s="569"/>
      <c r="T46" s="569"/>
      <c r="U46" s="569"/>
      <c r="V46" s="569"/>
      <c r="W46" s="569"/>
      <c r="X46" s="569"/>
      <c r="Y46" s="569"/>
      <c r="Z46" s="569"/>
      <c r="AA46" s="569"/>
      <c r="AB46" s="569"/>
      <c r="AC46" s="569"/>
      <c r="AD46" s="569"/>
      <c r="AE46" s="569"/>
      <c r="AF46" s="569"/>
      <c r="AG46" s="569"/>
      <c r="AH46" s="569"/>
      <c r="AI46" s="569"/>
      <c r="AJ46" s="569"/>
      <c r="AK46" s="569"/>
      <c r="AL46" s="569"/>
      <c r="AM46" s="569"/>
      <c r="AN46" s="569"/>
    </row>
    <row r="47" spans="1:40" ht="21" customHeight="1" x14ac:dyDescent="0.2">
      <c r="A47" s="82">
        <v>9.3000000000000007</v>
      </c>
      <c r="B47" s="23"/>
      <c r="C47" s="190" t="s">
        <v>96</v>
      </c>
      <c r="D47" s="38" t="s">
        <v>3</v>
      </c>
      <c r="E47" s="75">
        <v>1.0149999999999999</v>
      </c>
      <c r="F47" s="38">
        <f>F44*E47</f>
        <v>1.22</v>
      </c>
      <c r="G47" s="38"/>
      <c r="H47" s="41">
        <f t="shared" si="4"/>
        <v>0</v>
      </c>
      <c r="I47" s="569"/>
      <c r="J47" s="570"/>
      <c r="K47" s="569"/>
      <c r="L47" s="569"/>
      <c r="M47" s="569"/>
      <c r="N47" s="569"/>
      <c r="O47" s="569"/>
      <c r="P47" s="569"/>
      <c r="Q47" s="569"/>
      <c r="R47" s="569"/>
      <c r="S47" s="569"/>
      <c r="T47" s="569"/>
      <c r="U47" s="569"/>
      <c r="V47" s="569"/>
      <c r="W47" s="569"/>
      <c r="X47" s="569"/>
      <c r="Y47" s="569"/>
      <c r="Z47" s="569"/>
      <c r="AA47" s="569"/>
      <c r="AB47" s="569"/>
      <c r="AC47" s="569"/>
      <c r="AD47" s="569"/>
      <c r="AE47" s="569"/>
      <c r="AF47" s="569"/>
      <c r="AG47" s="569"/>
      <c r="AH47" s="569"/>
      <c r="AI47" s="569"/>
      <c r="AJ47" s="569"/>
      <c r="AK47" s="569"/>
      <c r="AL47" s="569"/>
      <c r="AM47" s="569"/>
      <c r="AN47" s="569"/>
    </row>
    <row r="48" spans="1:40" ht="21" customHeight="1" x14ac:dyDescent="0.2">
      <c r="A48" s="82">
        <f t="shared" si="2"/>
        <v>9.4</v>
      </c>
      <c r="B48" s="23"/>
      <c r="C48" s="190" t="s">
        <v>97</v>
      </c>
      <c r="D48" s="38" t="s">
        <v>61</v>
      </c>
      <c r="E48" s="38" t="s">
        <v>98</v>
      </c>
      <c r="F48" s="38">
        <v>64</v>
      </c>
      <c r="G48" s="38"/>
      <c r="H48" s="41">
        <f t="shared" si="4"/>
        <v>0</v>
      </c>
      <c r="I48" s="569"/>
      <c r="J48" s="570"/>
      <c r="K48" s="569"/>
      <c r="L48" s="569"/>
      <c r="M48" s="569"/>
      <c r="N48" s="569"/>
      <c r="O48" s="569"/>
      <c r="P48" s="569"/>
      <c r="Q48" s="569"/>
      <c r="R48" s="569"/>
      <c r="S48" s="569"/>
      <c r="T48" s="569"/>
      <c r="U48" s="569"/>
      <c r="V48" s="569"/>
      <c r="W48" s="569"/>
      <c r="X48" s="569"/>
      <c r="Y48" s="569"/>
      <c r="Z48" s="569"/>
      <c r="AA48" s="569"/>
      <c r="AB48" s="569"/>
      <c r="AC48" s="569"/>
      <c r="AD48" s="569"/>
      <c r="AE48" s="569"/>
      <c r="AF48" s="569"/>
      <c r="AG48" s="569"/>
      <c r="AH48" s="569"/>
      <c r="AI48" s="569"/>
      <c r="AJ48" s="569"/>
      <c r="AK48" s="569"/>
      <c r="AL48" s="569"/>
      <c r="AM48" s="569"/>
      <c r="AN48" s="569"/>
    </row>
    <row r="49" spans="1:40" ht="21" customHeight="1" x14ac:dyDescent="0.2">
      <c r="A49" s="82">
        <f t="shared" si="2"/>
        <v>9.5</v>
      </c>
      <c r="B49" s="23"/>
      <c r="C49" s="190" t="s">
        <v>99</v>
      </c>
      <c r="D49" s="190" t="s">
        <v>4</v>
      </c>
      <c r="E49" s="38">
        <v>1.61</v>
      </c>
      <c r="F49" s="38">
        <f>F44*E49</f>
        <v>1.93</v>
      </c>
      <c r="G49" s="38"/>
      <c r="H49" s="41">
        <f t="shared" si="4"/>
        <v>0</v>
      </c>
      <c r="I49" s="569"/>
      <c r="J49" s="570"/>
      <c r="K49" s="569"/>
      <c r="L49" s="569"/>
      <c r="M49" s="569"/>
      <c r="N49" s="569"/>
      <c r="O49" s="569"/>
      <c r="P49" s="569"/>
      <c r="Q49" s="569"/>
      <c r="R49" s="569"/>
      <c r="S49" s="569"/>
      <c r="T49" s="569"/>
      <c r="U49" s="569"/>
      <c r="V49" s="569"/>
      <c r="W49" s="569"/>
      <c r="X49" s="569"/>
      <c r="Y49" s="569"/>
      <c r="Z49" s="569"/>
      <c r="AA49" s="569"/>
      <c r="AB49" s="569"/>
      <c r="AC49" s="569"/>
      <c r="AD49" s="569"/>
      <c r="AE49" s="569"/>
      <c r="AF49" s="569"/>
      <c r="AG49" s="569"/>
      <c r="AH49" s="569"/>
      <c r="AI49" s="569"/>
      <c r="AJ49" s="569"/>
      <c r="AK49" s="569"/>
      <c r="AL49" s="569"/>
      <c r="AM49" s="569"/>
      <c r="AN49" s="569"/>
    </row>
    <row r="50" spans="1:40" ht="21" customHeight="1" x14ac:dyDescent="0.2">
      <c r="A50" s="82">
        <f t="shared" si="2"/>
        <v>9.6</v>
      </c>
      <c r="B50" s="23"/>
      <c r="C50" s="190" t="s">
        <v>100</v>
      </c>
      <c r="D50" s="190" t="s">
        <v>3</v>
      </c>
      <c r="E50" s="72">
        <f>1.83/100</f>
        <v>1.83E-2</v>
      </c>
      <c r="F50" s="38">
        <f>F44*E50</f>
        <v>0.02</v>
      </c>
      <c r="G50" s="38"/>
      <c r="H50" s="41">
        <f t="shared" si="4"/>
        <v>0</v>
      </c>
      <c r="I50" s="569"/>
      <c r="J50" s="570"/>
      <c r="K50" s="569"/>
      <c r="L50" s="569"/>
      <c r="M50" s="569"/>
      <c r="N50" s="569"/>
      <c r="O50" s="569"/>
      <c r="P50" s="569"/>
      <c r="Q50" s="569"/>
      <c r="R50" s="569"/>
      <c r="S50" s="569"/>
      <c r="T50" s="569"/>
      <c r="U50" s="569"/>
      <c r="V50" s="569"/>
      <c r="W50" s="569"/>
      <c r="X50" s="569"/>
      <c r="Y50" s="569"/>
      <c r="Z50" s="569"/>
      <c r="AA50" s="569"/>
      <c r="AB50" s="569"/>
      <c r="AC50" s="569"/>
      <c r="AD50" s="569"/>
      <c r="AE50" s="569"/>
      <c r="AF50" s="569"/>
      <c r="AG50" s="569"/>
      <c r="AH50" s="569"/>
      <c r="AI50" s="569"/>
      <c r="AJ50" s="569"/>
      <c r="AK50" s="569"/>
      <c r="AL50" s="569"/>
      <c r="AM50" s="569"/>
      <c r="AN50" s="569"/>
    </row>
    <row r="51" spans="1:40" ht="21" customHeight="1" x14ac:dyDescent="0.2">
      <c r="A51" s="82">
        <f t="shared" si="2"/>
        <v>9.6999999999999993</v>
      </c>
      <c r="B51" s="23"/>
      <c r="C51" s="190" t="s">
        <v>8</v>
      </c>
      <c r="D51" s="190" t="s">
        <v>93</v>
      </c>
      <c r="E51" s="38">
        <v>0.4</v>
      </c>
      <c r="F51" s="38">
        <f>F44*E51</f>
        <v>0.48</v>
      </c>
      <c r="G51" s="38"/>
      <c r="H51" s="41">
        <f t="shared" si="4"/>
        <v>0</v>
      </c>
      <c r="I51" s="569"/>
      <c r="J51" s="570"/>
      <c r="K51" s="569"/>
      <c r="L51" s="569"/>
      <c r="M51" s="569"/>
      <c r="N51" s="569"/>
      <c r="O51" s="569"/>
      <c r="P51" s="569"/>
      <c r="Q51" s="569"/>
      <c r="R51" s="569"/>
      <c r="S51" s="569"/>
      <c r="T51" s="569"/>
      <c r="U51" s="569"/>
      <c r="V51" s="569"/>
      <c r="W51" s="569"/>
      <c r="X51" s="569"/>
      <c r="Y51" s="569"/>
      <c r="Z51" s="569"/>
      <c r="AA51" s="569"/>
      <c r="AB51" s="569"/>
      <c r="AC51" s="569"/>
      <c r="AD51" s="569"/>
      <c r="AE51" s="569"/>
      <c r="AF51" s="569"/>
      <c r="AG51" s="569"/>
      <c r="AH51" s="569"/>
      <c r="AI51" s="569"/>
      <c r="AJ51" s="569"/>
      <c r="AK51" s="569"/>
      <c r="AL51" s="569"/>
      <c r="AM51" s="569"/>
      <c r="AN51" s="569"/>
    </row>
    <row r="52" spans="1:40" ht="51" customHeight="1" x14ac:dyDescent="0.2">
      <c r="A52" s="8">
        <f>A44+1</f>
        <v>10</v>
      </c>
      <c r="B52" s="604" t="s">
        <v>179</v>
      </c>
      <c r="C52" s="4" t="s">
        <v>180</v>
      </c>
      <c r="D52" s="4" t="s">
        <v>87</v>
      </c>
      <c r="E52" s="23"/>
      <c r="F52" s="7">
        <v>1</v>
      </c>
      <c r="G52" s="190"/>
      <c r="H52" s="8">
        <f>SUM(H53:H60)</f>
        <v>0</v>
      </c>
      <c r="I52" s="569"/>
      <c r="J52" s="570"/>
      <c r="K52" s="120"/>
      <c r="L52" s="569"/>
      <c r="M52" s="569"/>
      <c r="N52" s="569"/>
      <c r="O52" s="569"/>
      <c r="P52" s="585"/>
      <c r="Q52" s="569"/>
      <c r="R52" s="569"/>
      <c r="S52" s="569"/>
      <c r="T52" s="569"/>
      <c r="U52" s="569"/>
      <c r="V52" s="569"/>
      <c r="W52" s="569"/>
      <c r="X52" s="569"/>
      <c r="Y52" s="569"/>
      <c r="Z52" s="569"/>
      <c r="AA52" s="569"/>
      <c r="AB52" s="569"/>
      <c r="AC52" s="569"/>
      <c r="AD52" s="569"/>
      <c r="AE52" s="569"/>
      <c r="AF52" s="569"/>
      <c r="AG52" s="569"/>
      <c r="AH52" s="569"/>
      <c r="AI52" s="569"/>
      <c r="AJ52" s="569"/>
      <c r="AK52" s="569"/>
      <c r="AL52" s="569"/>
      <c r="AM52" s="569"/>
      <c r="AN52" s="569"/>
    </row>
    <row r="53" spans="1:40" ht="22.5" customHeight="1" x14ac:dyDescent="0.2">
      <c r="A53" s="82">
        <f t="shared" ref="A53:A60" si="5">A52+0.1</f>
        <v>10.1</v>
      </c>
      <c r="B53" s="96" t="s">
        <v>37</v>
      </c>
      <c r="C53" s="50" t="s">
        <v>92</v>
      </c>
      <c r="D53" s="191" t="s">
        <v>1</v>
      </c>
      <c r="E53" s="191">
        <v>13.3</v>
      </c>
      <c r="F53" s="605">
        <f>F52*E53</f>
        <v>13.3</v>
      </c>
      <c r="G53" s="50"/>
      <c r="H53" s="606">
        <f>G53*F53</f>
        <v>0</v>
      </c>
      <c r="I53" s="569"/>
      <c r="J53" s="570"/>
      <c r="K53" s="569"/>
      <c r="L53" s="569"/>
      <c r="M53" s="569"/>
      <c r="N53" s="569"/>
      <c r="O53" s="569"/>
      <c r="P53" s="585"/>
      <c r="Q53" s="569"/>
      <c r="R53" s="569"/>
      <c r="S53" s="569"/>
      <c r="T53" s="569"/>
      <c r="U53" s="569"/>
      <c r="V53" s="569"/>
      <c r="W53" s="569"/>
      <c r="X53" s="569"/>
      <c r="Y53" s="569"/>
      <c r="Z53" s="569"/>
      <c r="AA53" s="569"/>
      <c r="AB53" s="569"/>
      <c r="AC53" s="569"/>
      <c r="AD53" s="569"/>
      <c r="AE53" s="569"/>
      <c r="AF53" s="569"/>
      <c r="AG53" s="569"/>
      <c r="AH53" s="569"/>
      <c r="AI53" s="569"/>
      <c r="AJ53" s="569"/>
      <c r="AK53" s="569"/>
      <c r="AL53" s="569"/>
      <c r="AM53" s="569"/>
      <c r="AN53" s="569"/>
    </row>
    <row r="54" spans="1:40" ht="22.5" customHeight="1" x14ac:dyDescent="0.2">
      <c r="A54" s="82">
        <f t="shared" si="5"/>
        <v>10.199999999999999</v>
      </c>
      <c r="B54" s="23"/>
      <c r="C54" s="65" t="s">
        <v>2</v>
      </c>
      <c r="D54" s="66" t="s">
        <v>93</v>
      </c>
      <c r="E54" s="66">
        <v>3.36</v>
      </c>
      <c r="F54" s="66">
        <f>F52*E54</f>
        <v>3.36</v>
      </c>
      <c r="G54" s="66"/>
      <c r="H54" s="67">
        <f>G54*F54</f>
        <v>0</v>
      </c>
      <c r="I54" s="569"/>
      <c r="J54" s="570"/>
      <c r="K54" s="569"/>
      <c r="L54" s="569"/>
      <c r="M54" s="569"/>
      <c r="N54" s="569"/>
      <c r="O54" s="569"/>
      <c r="P54" s="585"/>
      <c r="Q54" s="569"/>
      <c r="R54" s="569"/>
      <c r="S54" s="569"/>
      <c r="T54" s="569"/>
      <c r="U54" s="569"/>
      <c r="V54" s="569"/>
      <c r="W54" s="569"/>
      <c r="X54" s="569"/>
      <c r="Y54" s="569"/>
      <c r="Z54" s="569"/>
      <c r="AA54" s="569"/>
      <c r="AB54" s="569"/>
      <c r="AC54" s="569"/>
      <c r="AD54" s="569"/>
      <c r="AE54" s="569"/>
      <c r="AF54" s="569"/>
      <c r="AG54" s="569"/>
      <c r="AH54" s="569"/>
      <c r="AI54" s="569"/>
      <c r="AJ54" s="569"/>
      <c r="AK54" s="569"/>
      <c r="AL54" s="569"/>
      <c r="AM54" s="569"/>
      <c r="AN54" s="569"/>
    </row>
    <row r="55" spans="1:40" ht="22.5" customHeight="1" x14ac:dyDescent="0.2">
      <c r="A55" s="82">
        <v>10.3</v>
      </c>
      <c r="B55" s="23"/>
      <c r="C55" s="190" t="s">
        <v>96</v>
      </c>
      <c r="D55" s="38" t="s">
        <v>3</v>
      </c>
      <c r="E55" s="38">
        <v>1.02</v>
      </c>
      <c r="F55" s="38">
        <f>F52*E55</f>
        <v>1.02</v>
      </c>
      <c r="G55" s="38"/>
      <c r="H55" s="41">
        <f t="shared" ref="H55:H60" si="6">G55*F55</f>
        <v>0</v>
      </c>
      <c r="I55" s="569"/>
      <c r="J55" s="570"/>
      <c r="K55" s="120"/>
      <c r="L55" s="569"/>
      <c r="M55" s="569"/>
      <c r="N55" s="569"/>
      <c r="O55" s="569"/>
      <c r="P55" s="585"/>
      <c r="Q55" s="569"/>
      <c r="R55" s="569"/>
      <c r="S55" s="569"/>
      <c r="T55" s="569"/>
      <c r="U55" s="569"/>
      <c r="V55" s="569"/>
      <c r="W55" s="569"/>
      <c r="X55" s="569"/>
      <c r="Y55" s="569"/>
      <c r="Z55" s="569"/>
      <c r="AA55" s="569"/>
      <c r="AB55" s="569"/>
      <c r="AC55" s="569"/>
      <c r="AD55" s="569"/>
      <c r="AE55" s="569"/>
      <c r="AF55" s="569"/>
      <c r="AG55" s="569"/>
      <c r="AH55" s="569"/>
      <c r="AI55" s="569"/>
      <c r="AJ55" s="569"/>
      <c r="AK55" s="569"/>
      <c r="AL55" s="569"/>
      <c r="AM55" s="569"/>
      <c r="AN55" s="569"/>
    </row>
    <row r="56" spans="1:40" ht="22.5" customHeight="1" x14ac:dyDescent="0.2">
      <c r="A56" s="82">
        <f t="shared" si="5"/>
        <v>10.4</v>
      </c>
      <c r="B56" s="23"/>
      <c r="C56" s="190" t="s">
        <v>97</v>
      </c>
      <c r="D56" s="38" t="s">
        <v>61</v>
      </c>
      <c r="E56" s="38" t="s">
        <v>98</v>
      </c>
      <c r="F56" s="190">
        <v>90</v>
      </c>
      <c r="G56" s="38"/>
      <c r="H56" s="41">
        <f t="shared" si="6"/>
        <v>0</v>
      </c>
      <c r="I56" s="569"/>
      <c r="J56" s="570"/>
      <c r="K56" s="120"/>
      <c r="L56" s="569"/>
      <c r="M56" s="569"/>
      <c r="N56" s="569"/>
      <c r="O56" s="569"/>
      <c r="P56" s="585"/>
      <c r="Q56" s="569"/>
      <c r="R56" s="569"/>
      <c r="S56" s="569"/>
      <c r="T56" s="569"/>
      <c r="U56" s="569"/>
      <c r="V56" s="569"/>
      <c r="W56" s="569"/>
      <c r="X56" s="569"/>
      <c r="Y56" s="569"/>
      <c r="Z56" s="569"/>
      <c r="AA56" s="569"/>
      <c r="AB56" s="569"/>
      <c r="AC56" s="569"/>
      <c r="AD56" s="569"/>
      <c r="AE56" s="569"/>
      <c r="AF56" s="569"/>
      <c r="AG56" s="569"/>
      <c r="AH56" s="569"/>
      <c r="AI56" s="569"/>
      <c r="AJ56" s="569"/>
      <c r="AK56" s="569"/>
      <c r="AL56" s="569"/>
      <c r="AM56" s="569"/>
      <c r="AN56" s="569"/>
    </row>
    <row r="57" spans="1:40" ht="22.5" customHeight="1" x14ac:dyDescent="0.2">
      <c r="A57" s="82">
        <f t="shared" si="5"/>
        <v>10.5</v>
      </c>
      <c r="B57" s="23"/>
      <c r="C57" s="190" t="s">
        <v>99</v>
      </c>
      <c r="D57" s="190" t="s">
        <v>4</v>
      </c>
      <c r="E57" s="38">
        <v>2.42</v>
      </c>
      <c r="F57" s="38">
        <f>F52*E57</f>
        <v>2.42</v>
      </c>
      <c r="G57" s="38"/>
      <c r="H57" s="41">
        <f t="shared" si="6"/>
        <v>0</v>
      </c>
      <c r="I57" s="569"/>
      <c r="J57" s="570"/>
      <c r="K57" s="120"/>
      <c r="L57" s="569"/>
      <c r="M57" s="569"/>
      <c r="N57" s="569"/>
      <c r="O57" s="569"/>
      <c r="P57" s="585"/>
      <c r="Q57" s="569"/>
      <c r="R57" s="569"/>
      <c r="S57" s="569"/>
      <c r="T57" s="569"/>
      <c r="U57" s="569"/>
      <c r="V57" s="569"/>
      <c r="W57" s="569"/>
      <c r="X57" s="569"/>
      <c r="Y57" s="569"/>
      <c r="Z57" s="569"/>
      <c r="AA57" s="569"/>
      <c r="AB57" s="569"/>
      <c r="AC57" s="569"/>
      <c r="AD57" s="569"/>
      <c r="AE57" s="569"/>
      <c r="AF57" s="569"/>
      <c r="AG57" s="569"/>
      <c r="AH57" s="569"/>
      <c r="AI57" s="569"/>
      <c r="AJ57" s="569"/>
      <c r="AK57" s="569"/>
      <c r="AL57" s="569"/>
      <c r="AM57" s="569"/>
      <c r="AN57" s="569"/>
    </row>
    <row r="58" spans="1:40" ht="22.5" customHeight="1" x14ac:dyDescent="0.2">
      <c r="A58" s="82">
        <f t="shared" si="5"/>
        <v>10.6</v>
      </c>
      <c r="B58" s="23"/>
      <c r="C58" s="190" t="s">
        <v>100</v>
      </c>
      <c r="D58" s="190" t="s">
        <v>3</v>
      </c>
      <c r="E58" s="72">
        <f>6.48/100</f>
        <v>6.4799999999999996E-2</v>
      </c>
      <c r="F58" s="38">
        <f>F52*E58</f>
        <v>0.06</v>
      </c>
      <c r="G58" s="38"/>
      <c r="H58" s="41">
        <f t="shared" si="6"/>
        <v>0</v>
      </c>
      <c r="I58" s="569"/>
      <c r="J58" s="570"/>
      <c r="K58" s="120"/>
      <c r="L58" s="116"/>
      <c r="M58" s="569"/>
      <c r="N58" s="569"/>
      <c r="O58" s="569"/>
      <c r="P58" s="569"/>
      <c r="Q58" s="569"/>
      <c r="R58" s="569"/>
      <c r="S58" s="569"/>
      <c r="T58" s="569"/>
      <c r="U58" s="569"/>
      <c r="V58" s="569"/>
      <c r="W58" s="569"/>
      <c r="X58" s="569"/>
      <c r="Y58" s="569"/>
      <c r="Z58" s="569"/>
      <c r="AA58" s="569"/>
      <c r="AB58" s="569"/>
      <c r="AC58" s="569"/>
      <c r="AD58" s="569"/>
      <c r="AE58" s="569"/>
      <c r="AF58" s="569"/>
      <c r="AG58" s="569"/>
      <c r="AH58" s="569"/>
      <c r="AI58" s="569"/>
      <c r="AJ58" s="569"/>
      <c r="AK58" s="569"/>
      <c r="AL58" s="569"/>
      <c r="AM58" s="569"/>
      <c r="AN58" s="569"/>
    </row>
    <row r="59" spans="1:40" ht="22.5" customHeight="1" x14ac:dyDescent="0.2">
      <c r="A59" s="82">
        <f t="shared" si="5"/>
        <v>10.7</v>
      </c>
      <c r="B59" s="23"/>
      <c r="C59" s="190" t="s">
        <v>69</v>
      </c>
      <c r="D59" s="190" t="s">
        <v>61</v>
      </c>
      <c r="E59" s="38">
        <v>1.5</v>
      </c>
      <c r="F59" s="38">
        <f>F52*E59</f>
        <v>1.5</v>
      </c>
      <c r="G59" s="38"/>
      <c r="H59" s="41">
        <f t="shared" si="6"/>
        <v>0</v>
      </c>
      <c r="I59" s="569"/>
      <c r="J59" s="570"/>
      <c r="K59" s="120"/>
      <c r="L59" s="116"/>
      <c r="M59" s="569"/>
      <c r="N59" s="569"/>
      <c r="O59" s="569"/>
      <c r="P59" s="569"/>
      <c r="Q59" s="569"/>
      <c r="R59" s="569"/>
      <c r="S59" s="569"/>
      <c r="T59" s="569"/>
      <c r="U59" s="569"/>
      <c r="V59" s="569"/>
      <c r="W59" s="569"/>
      <c r="X59" s="569"/>
      <c r="Y59" s="569"/>
      <c r="Z59" s="569"/>
      <c r="AA59" s="569"/>
      <c r="AB59" s="569"/>
      <c r="AC59" s="569"/>
      <c r="AD59" s="569"/>
      <c r="AE59" s="569"/>
      <c r="AF59" s="569"/>
      <c r="AG59" s="569"/>
      <c r="AH59" s="569"/>
      <c r="AI59" s="569"/>
      <c r="AJ59" s="569"/>
      <c r="AK59" s="569"/>
      <c r="AL59" s="569"/>
      <c r="AM59" s="569"/>
      <c r="AN59" s="569"/>
    </row>
    <row r="60" spans="1:40" ht="22.5" customHeight="1" x14ac:dyDescent="0.2">
      <c r="A60" s="82">
        <f t="shared" si="5"/>
        <v>10.8</v>
      </c>
      <c r="B60" s="23"/>
      <c r="C60" s="190" t="s">
        <v>8</v>
      </c>
      <c r="D60" s="190" t="s">
        <v>93</v>
      </c>
      <c r="E60" s="38">
        <v>0.6</v>
      </c>
      <c r="F60" s="38">
        <f>F52*E60</f>
        <v>0.6</v>
      </c>
      <c r="G60" s="38"/>
      <c r="H60" s="41">
        <f t="shared" si="6"/>
        <v>0</v>
      </c>
      <c r="I60" s="569"/>
      <c r="J60" s="570"/>
      <c r="K60" s="120"/>
      <c r="L60" s="116"/>
      <c r="M60" s="569"/>
      <c r="N60" s="569"/>
      <c r="O60" s="569"/>
      <c r="P60" s="569"/>
      <c r="Q60" s="569"/>
      <c r="R60" s="569"/>
      <c r="S60" s="569"/>
      <c r="T60" s="569"/>
      <c r="U60" s="569"/>
      <c r="V60" s="569"/>
      <c r="W60" s="569"/>
      <c r="X60" s="569"/>
      <c r="Y60" s="569"/>
      <c r="Z60" s="569"/>
      <c r="AA60" s="569"/>
      <c r="AB60" s="569"/>
      <c r="AC60" s="569"/>
      <c r="AD60" s="569"/>
      <c r="AE60" s="569"/>
      <c r="AF60" s="569"/>
      <c r="AG60" s="569"/>
      <c r="AH60" s="569"/>
      <c r="AI60" s="569"/>
      <c r="AJ60" s="569"/>
      <c r="AK60" s="569"/>
      <c r="AL60" s="569"/>
      <c r="AM60" s="569"/>
      <c r="AN60" s="569"/>
    </row>
    <row r="61" spans="1:40" ht="64.5" customHeight="1" x14ac:dyDescent="0.2">
      <c r="A61" s="8">
        <f>A52+1</f>
        <v>11</v>
      </c>
      <c r="B61" s="4" t="s">
        <v>197</v>
      </c>
      <c r="C61" s="4" t="s">
        <v>547</v>
      </c>
      <c r="D61" s="4" t="s">
        <v>87</v>
      </c>
      <c r="E61" s="190"/>
      <c r="F61" s="7">
        <f>19.5</f>
        <v>19.5</v>
      </c>
      <c r="G61" s="190"/>
      <c r="H61" s="8">
        <f>SUM(H62:H68)</f>
        <v>0</v>
      </c>
      <c r="I61" s="569"/>
      <c r="J61" s="570"/>
      <c r="K61" s="569"/>
      <c r="L61" s="569"/>
      <c r="M61" s="569"/>
      <c r="N61" s="569"/>
      <c r="O61" s="569"/>
      <c r="P61" s="569"/>
      <c r="Q61" s="569"/>
      <c r="R61" s="569"/>
      <c r="S61" s="569"/>
      <c r="T61" s="569"/>
      <c r="U61" s="569"/>
      <c r="V61" s="569"/>
      <c r="W61" s="569"/>
      <c r="X61" s="569"/>
      <c r="Y61" s="569"/>
      <c r="Z61" s="569"/>
      <c r="AA61" s="569"/>
      <c r="AB61" s="569"/>
      <c r="AC61" s="569"/>
      <c r="AD61" s="569"/>
      <c r="AE61" s="569"/>
      <c r="AF61" s="569"/>
      <c r="AG61" s="569"/>
      <c r="AH61" s="569"/>
      <c r="AI61" s="569"/>
      <c r="AJ61" s="569"/>
      <c r="AK61" s="569"/>
      <c r="AL61" s="569"/>
      <c r="AM61" s="569"/>
      <c r="AN61" s="569"/>
    </row>
    <row r="62" spans="1:40" ht="21.75" customHeight="1" x14ac:dyDescent="0.2">
      <c r="A62" s="82">
        <f t="shared" ref="A62:A76" si="7">A61+0.1</f>
        <v>11.1</v>
      </c>
      <c r="B62" s="190" t="s">
        <v>37</v>
      </c>
      <c r="C62" s="50" t="s">
        <v>92</v>
      </c>
      <c r="D62" s="191" t="s">
        <v>1</v>
      </c>
      <c r="E62" s="191">
        <v>8.4</v>
      </c>
      <c r="F62" s="605">
        <f>F61*E62</f>
        <v>163.80000000000001</v>
      </c>
      <c r="G62" s="50"/>
      <c r="H62" s="606">
        <f t="shared" ref="H62:H68" si="8">G62*F62</f>
        <v>0</v>
      </c>
      <c r="I62" s="569"/>
      <c r="J62" s="570"/>
      <c r="K62" s="569"/>
      <c r="L62" s="569"/>
      <c r="M62" s="569"/>
      <c r="N62" s="569"/>
      <c r="O62" s="569"/>
      <c r="P62" s="585"/>
      <c r="Q62" s="569"/>
      <c r="R62" s="569"/>
      <c r="S62" s="569"/>
      <c r="T62" s="569"/>
      <c r="U62" s="569"/>
      <c r="V62" s="569"/>
      <c r="W62" s="569"/>
      <c r="X62" s="569"/>
      <c r="Y62" s="569"/>
      <c r="Z62" s="569"/>
      <c r="AA62" s="569"/>
      <c r="AB62" s="569"/>
      <c r="AC62" s="569"/>
      <c r="AD62" s="569"/>
      <c r="AE62" s="569"/>
      <c r="AF62" s="569"/>
      <c r="AG62" s="569"/>
      <c r="AH62" s="569"/>
      <c r="AI62" s="569"/>
      <c r="AJ62" s="569"/>
      <c r="AK62" s="569"/>
      <c r="AL62" s="569"/>
      <c r="AM62" s="569"/>
      <c r="AN62" s="569"/>
    </row>
    <row r="63" spans="1:40" ht="21.75" customHeight="1" x14ac:dyDescent="0.2">
      <c r="A63" s="82">
        <f t="shared" si="7"/>
        <v>11.2</v>
      </c>
      <c r="B63" s="190"/>
      <c r="C63" s="65" t="s">
        <v>2</v>
      </c>
      <c r="D63" s="66" t="s">
        <v>93</v>
      </c>
      <c r="E63" s="66">
        <v>0.81</v>
      </c>
      <c r="F63" s="66">
        <f>F61*E63</f>
        <v>15.8</v>
      </c>
      <c r="G63" s="66"/>
      <c r="H63" s="67">
        <f t="shared" si="8"/>
        <v>0</v>
      </c>
      <c r="I63" s="569"/>
      <c r="J63" s="570"/>
      <c r="K63" s="569"/>
      <c r="L63" s="569"/>
      <c r="M63" s="569"/>
      <c r="N63" s="569"/>
      <c r="O63" s="569"/>
      <c r="P63" s="585"/>
      <c r="Q63" s="569"/>
      <c r="R63" s="569"/>
      <c r="S63" s="569"/>
      <c r="T63" s="569"/>
      <c r="U63" s="569"/>
      <c r="V63" s="569"/>
      <c r="W63" s="569"/>
      <c r="X63" s="569"/>
      <c r="Y63" s="569"/>
      <c r="Z63" s="569"/>
      <c r="AA63" s="569"/>
      <c r="AB63" s="569"/>
      <c r="AC63" s="569"/>
      <c r="AD63" s="569"/>
      <c r="AE63" s="569"/>
      <c r="AF63" s="569"/>
      <c r="AG63" s="569"/>
      <c r="AH63" s="569"/>
      <c r="AI63" s="569"/>
      <c r="AJ63" s="569"/>
      <c r="AK63" s="569"/>
      <c r="AL63" s="569"/>
      <c r="AM63" s="569"/>
      <c r="AN63" s="569"/>
    </row>
    <row r="64" spans="1:40" ht="21.75" customHeight="1" x14ac:dyDescent="0.2">
      <c r="A64" s="82">
        <v>11.3</v>
      </c>
      <c r="B64" s="190"/>
      <c r="C64" s="190" t="s">
        <v>96</v>
      </c>
      <c r="D64" s="38" t="s">
        <v>3</v>
      </c>
      <c r="E64" s="75">
        <v>1.0149999999999999</v>
      </c>
      <c r="F64" s="38">
        <f>F61*E64</f>
        <v>19.79</v>
      </c>
      <c r="G64" s="38"/>
      <c r="H64" s="41">
        <f t="shared" si="8"/>
        <v>0</v>
      </c>
      <c r="I64" s="569"/>
      <c r="J64" s="570"/>
      <c r="K64" s="569"/>
      <c r="L64" s="569"/>
      <c r="M64" s="569"/>
      <c r="N64" s="569"/>
      <c r="O64" s="569"/>
      <c r="P64" s="585"/>
      <c r="Q64" s="569"/>
      <c r="R64" s="569"/>
      <c r="S64" s="569"/>
      <c r="T64" s="569"/>
      <c r="U64" s="569"/>
      <c r="V64" s="569"/>
      <c r="W64" s="569"/>
      <c r="X64" s="569"/>
      <c r="Y64" s="569"/>
      <c r="Z64" s="569"/>
      <c r="AA64" s="569"/>
      <c r="AB64" s="569"/>
      <c r="AC64" s="569"/>
      <c r="AD64" s="569"/>
      <c r="AE64" s="569"/>
      <c r="AF64" s="569"/>
      <c r="AG64" s="569"/>
      <c r="AH64" s="569"/>
      <c r="AI64" s="569"/>
      <c r="AJ64" s="569"/>
      <c r="AK64" s="569"/>
      <c r="AL64" s="569"/>
      <c r="AM64" s="569"/>
      <c r="AN64" s="569"/>
    </row>
    <row r="65" spans="1:40" ht="21.75" customHeight="1" x14ac:dyDescent="0.2">
      <c r="A65" s="82">
        <f t="shared" si="7"/>
        <v>11.4</v>
      </c>
      <c r="B65" s="190"/>
      <c r="C65" s="190" t="s">
        <v>97</v>
      </c>
      <c r="D65" s="38" t="s">
        <v>61</v>
      </c>
      <c r="E65" s="38" t="s">
        <v>98</v>
      </c>
      <c r="F65" s="38">
        <f>2057</f>
        <v>2057</v>
      </c>
      <c r="G65" s="38"/>
      <c r="H65" s="41">
        <f t="shared" si="8"/>
        <v>0</v>
      </c>
      <c r="I65" s="569"/>
      <c r="J65" s="570"/>
      <c r="K65" s="569"/>
      <c r="L65" s="569"/>
      <c r="M65" s="569"/>
      <c r="N65" s="569"/>
      <c r="O65" s="569"/>
      <c r="P65" s="585"/>
      <c r="Q65" s="569"/>
      <c r="R65" s="569"/>
      <c r="S65" s="569"/>
      <c r="T65" s="569"/>
      <c r="U65" s="569"/>
      <c r="V65" s="569"/>
      <c r="W65" s="569"/>
      <c r="X65" s="569"/>
      <c r="Y65" s="569"/>
      <c r="Z65" s="569"/>
      <c r="AA65" s="569"/>
      <c r="AB65" s="569"/>
      <c r="AC65" s="569"/>
      <c r="AD65" s="569"/>
      <c r="AE65" s="569"/>
      <c r="AF65" s="569"/>
      <c r="AG65" s="569"/>
      <c r="AH65" s="569"/>
      <c r="AI65" s="569"/>
      <c r="AJ65" s="569"/>
      <c r="AK65" s="569"/>
      <c r="AL65" s="569"/>
      <c r="AM65" s="569"/>
      <c r="AN65" s="569"/>
    </row>
    <row r="66" spans="1:40" ht="21.75" customHeight="1" x14ac:dyDescent="0.2">
      <c r="A66" s="82">
        <f t="shared" si="7"/>
        <v>11.5</v>
      </c>
      <c r="B66" s="190"/>
      <c r="C66" s="190" t="s">
        <v>99</v>
      </c>
      <c r="D66" s="190" t="s">
        <v>4</v>
      </c>
      <c r="E66" s="38">
        <v>1.37</v>
      </c>
      <c r="F66" s="38">
        <f>F61*E66</f>
        <v>26.72</v>
      </c>
      <c r="G66" s="38"/>
      <c r="H66" s="41">
        <f t="shared" si="8"/>
        <v>0</v>
      </c>
      <c r="I66" s="569"/>
      <c r="J66" s="570"/>
      <c r="K66" s="569"/>
      <c r="L66" s="569"/>
      <c r="M66" s="569"/>
      <c r="N66" s="569"/>
      <c r="O66" s="569"/>
      <c r="P66" s="585"/>
      <c r="Q66" s="569"/>
      <c r="R66" s="569"/>
      <c r="S66" s="569"/>
      <c r="T66" s="569"/>
      <c r="U66" s="569"/>
      <c r="V66" s="569"/>
      <c r="W66" s="569"/>
      <c r="X66" s="569"/>
      <c r="Y66" s="569"/>
      <c r="Z66" s="569"/>
      <c r="AA66" s="569"/>
      <c r="AB66" s="569"/>
      <c r="AC66" s="569"/>
      <c r="AD66" s="569"/>
      <c r="AE66" s="569"/>
      <c r="AF66" s="569"/>
      <c r="AG66" s="569"/>
      <c r="AH66" s="569"/>
      <c r="AI66" s="569"/>
      <c r="AJ66" s="569"/>
      <c r="AK66" s="569"/>
      <c r="AL66" s="569"/>
      <c r="AM66" s="569"/>
      <c r="AN66" s="569"/>
    </row>
    <row r="67" spans="1:40" ht="21.75" customHeight="1" x14ac:dyDescent="0.2">
      <c r="A67" s="82">
        <f t="shared" si="7"/>
        <v>11.6</v>
      </c>
      <c r="B67" s="190"/>
      <c r="C67" s="190" t="s">
        <v>100</v>
      </c>
      <c r="D67" s="190" t="s">
        <v>3</v>
      </c>
      <c r="E67" s="72">
        <v>3.6600000000000001E-2</v>
      </c>
      <c r="F67" s="38">
        <f>F61*E67</f>
        <v>0.71</v>
      </c>
      <c r="G67" s="38"/>
      <c r="H67" s="41">
        <f t="shared" si="8"/>
        <v>0</v>
      </c>
      <c r="I67" s="569"/>
      <c r="J67" s="570"/>
      <c r="K67" s="569"/>
      <c r="L67" s="569"/>
      <c r="M67" s="569"/>
      <c r="N67" s="569"/>
      <c r="O67" s="569"/>
      <c r="P67" s="569"/>
      <c r="Q67" s="569"/>
      <c r="R67" s="569"/>
      <c r="S67" s="569"/>
      <c r="T67" s="569"/>
      <c r="U67" s="569"/>
      <c r="V67" s="569"/>
      <c r="W67" s="569"/>
      <c r="X67" s="569"/>
      <c r="Y67" s="569"/>
      <c r="Z67" s="569"/>
      <c r="AA67" s="569"/>
      <c r="AB67" s="569"/>
      <c r="AC67" s="569"/>
      <c r="AD67" s="569"/>
      <c r="AE67" s="569"/>
      <c r="AF67" s="569"/>
      <c r="AG67" s="569"/>
      <c r="AH67" s="569"/>
      <c r="AI67" s="569"/>
      <c r="AJ67" s="569"/>
      <c r="AK67" s="569"/>
      <c r="AL67" s="569"/>
      <c r="AM67" s="569"/>
      <c r="AN67" s="569"/>
    </row>
    <row r="68" spans="1:40" ht="21.75" customHeight="1" x14ac:dyDescent="0.2">
      <c r="A68" s="82">
        <f t="shared" si="7"/>
        <v>11.7</v>
      </c>
      <c r="B68" s="190"/>
      <c r="C68" s="190" t="s">
        <v>8</v>
      </c>
      <c r="D68" s="190" t="s">
        <v>93</v>
      </c>
      <c r="E68" s="38">
        <v>0.39</v>
      </c>
      <c r="F68" s="38">
        <f>F61*E68</f>
        <v>7.61</v>
      </c>
      <c r="G68" s="38"/>
      <c r="H68" s="41">
        <f t="shared" si="8"/>
        <v>0</v>
      </c>
      <c r="I68" s="569"/>
      <c r="J68" s="570"/>
      <c r="K68" s="569"/>
      <c r="L68" s="569"/>
      <c r="M68" s="569"/>
      <c r="N68" s="569"/>
      <c r="O68" s="569"/>
      <c r="P68" s="569"/>
      <c r="Q68" s="569"/>
      <c r="R68" s="569"/>
      <c r="S68" s="569"/>
      <c r="T68" s="569"/>
      <c r="U68" s="569"/>
      <c r="V68" s="569"/>
      <c r="W68" s="569"/>
      <c r="X68" s="569"/>
      <c r="Y68" s="569"/>
      <c r="Z68" s="569"/>
      <c r="AA68" s="569"/>
      <c r="AB68" s="569"/>
      <c r="AC68" s="569"/>
      <c r="AD68" s="569"/>
      <c r="AE68" s="569"/>
      <c r="AF68" s="569"/>
      <c r="AG68" s="569"/>
      <c r="AH68" s="569"/>
      <c r="AI68" s="569"/>
      <c r="AJ68" s="569"/>
      <c r="AK68" s="569"/>
      <c r="AL68" s="569"/>
      <c r="AM68" s="569"/>
      <c r="AN68" s="569"/>
    </row>
    <row r="69" spans="1:40" ht="64.5" customHeight="1" x14ac:dyDescent="0.2">
      <c r="A69" s="8">
        <f>A61+1</f>
        <v>12</v>
      </c>
      <c r="B69" s="4" t="s">
        <v>197</v>
      </c>
      <c r="C69" s="4" t="s">
        <v>570</v>
      </c>
      <c r="D69" s="4" t="s">
        <v>87</v>
      </c>
      <c r="E69" s="190"/>
      <c r="F69" s="7">
        <v>2.6</v>
      </c>
      <c r="G69" s="190"/>
      <c r="H69" s="8">
        <f>SUM(H70:H76)</f>
        <v>0</v>
      </c>
      <c r="I69" s="569"/>
      <c r="J69" s="570"/>
      <c r="K69" s="569"/>
      <c r="L69" s="569"/>
      <c r="M69" s="569"/>
      <c r="N69" s="569"/>
      <c r="O69" s="569"/>
      <c r="P69" s="569"/>
      <c r="Q69" s="569"/>
      <c r="R69" s="569"/>
      <c r="S69" s="569"/>
      <c r="T69" s="569"/>
      <c r="U69" s="569"/>
      <c r="V69" s="569"/>
      <c r="W69" s="569"/>
      <c r="X69" s="569"/>
      <c r="Y69" s="569"/>
      <c r="Z69" s="569"/>
      <c r="AA69" s="569"/>
      <c r="AB69" s="569"/>
      <c r="AC69" s="569"/>
      <c r="AD69" s="569"/>
      <c r="AE69" s="569"/>
      <c r="AF69" s="569"/>
      <c r="AG69" s="569"/>
      <c r="AH69" s="569"/>
      <c r="AI69" s="569"/>
      <c r="AJ69" s="569"/>
      <c r="AK69" s="569"/>
      <c r="AL69" s="569"/>
      <c r="AM69" s="569"/>
      <c r="AN69" s="569"/>
    </row>
    <row r="70" spans="1:40" ht="21.75" customHeight="1" x14ac:dyDescent="0.2">
      <c r="A70" s="82">
        <f t="shared" si="7"/>
        <v>12.1</v>
      </c>
      <c r="B70" s="190" t="s">
        <v>37</v>
      </c>
      <c r="C70" s="50" t="s">
        <v>92</v>
      </c>
      <c r="D70" s="191" t="s">
        <v>1</v>
      </c>
      <c r="E70" s="191">
        <v>8.4</v>
      </c>
      <c r="F70" s="605">
        <f>F69*E70</f>
        <v>21.84</v>
      </c>
      <c r="G70" s="50"/>
      <c r="H70" s="606">
        <f t="shared" ref="H70:H71" si="9">G70*F70</f>
        <v>0</v>
      </c>
      <c r="I70" s="569"/>
      <c r="J70" s="570"/>
      <c r="K70" s="569"/>
      <c r="L70" s="569"/>
      <c r="M70" s="569"/>
      <c r="N70" s="569"/>
      <c r="O70" s="569"/>
      <c r="P70" s="585"/>
      <c r="Q70" s="569"/>
      <c r="R70" s="569"/>
      <c r="S70" s="569"/>
      <c r="T70" s="569"/>
      <c r="U70" s="569"/>
      <c r="V70" s="569"/>
      <c r="W70" s="569"/>
      <c r="X70" s="569"/>
      <c r="Y70" s="569"/>
      <c r="Z70" s="569"/>
      <c r="AA70" s="569"/>
      <c r="AB70" s="569"/>
      <c r="AC70" s="569"/>
      <c r="AD70" s="569"/>
      <c r="AE70" s="569"/>
      <c r="AF70" s="569"/>
      <c r="AG70" s="569"/>
      <c r="AH70" s="569"/>
      <c r="AI70" s="569"/>
      <c r="AJ70" s="569"/>
      <c r="AK70" s="569"/>
      <c r="AL70" s="569"/>
      <c r="AM70" s="569"/>
      <c r="AN70" s="569"/>
    </row>
    <row r="71" spans="1:40" ht="21.75" customHeight="1" x14ac:dyDescent="0.2">
      <c r="A71" s="82">
        <f t="shared" si="7"/>
        <v>12.2</v>
      </c>
      <c r="B71" s="190"/>
      <c r="C71" s="65" t="s">
        <v>2</v>
      </c>
      <c r="D71" s="66" t="s">
        <v>93</v>
      </c>
      <c r="E71" s="66">
        <v>0.81</v>
      </c>
      <c r="F71" s="66">
        <f>F69*E71</f>
        <v>2.11</v>
      </c>
      <c r="G71" s="66"/>
      <c r="H71" s="67">
        <f t="shared" si="9"/>
        <v>0</v>
      </c>
      <c r="I71" s="569"/>
      <c r="J71" s="570"/>
      <c r="K71" s="569"/>
      <c r="L71" s="569"/>
      <c r="M71" s="569"/>
      <c r="N71" s="569"/>
      <c r="O71" s="569"/>
      <c r="P71" s="585"/>
      <c r="Q71" s="569"/>
      <c r="R71" s="569"/>
      <c r="S71" s="569"/>
      <c r="T71" s="569"/>
      <c r="U71" s="569"/>
      <c r="V71" s="569"/>
      <c r="W71" s="569"/>
      <c r="X71" s="569"/>
      <c r="Y71" s="569"/>
      <c r="Z71" s="569"/>
      <c r="AA71" s="569"/>
      <c r="AB71" s="569"/>
      <c r="AC71" s="569"/>
      <c r="AD71" s="569"/>
      <c r="AE71" s="569"/>
      <c r="AF71" s="569"/>
      <c r="AG71" s="569"/>
      <c r="AH71" s="569"/>
      <c r="AI71" s="569"/>
      <c r="AJ71" s="569"/>
      <c r="AK71" s="569"/>
      <c r="AL71" s="569"/>
      <c r="AM71" s="569"/>
      <c r="AN71" s="569"/>
    </row>
    <row r="72" spans="1:40" ht="21.75" customHeight="1" x14ac:dyDescent="0.2">
      <c r="A72" s="82">
        <v>12.3</v>
      </c>
      <c r="B72" s="190"/>
      <c r="C72" s="190" t="s">
        <v>96</v>
      </c>
      <c r="D72" s="38" t="s">
        <v>3</v>
      </c>
      <c r="E72" s="75">
        <v>1.0149999999999999</v>
      </c>
      <c r="F72" s="38">
        <f>F69*E72</f>
        <v>2.64</v>
      </c>
      <c r="G72" s="38"/>
      <c r="H72" s="41">
        <f t="shared" ref="H72:H76" si="10">G72*F72</f>
        <v>0</v>
      </c>
      <c r="I72" s="569"/>
      <c r="J72" s="570"/>
      <c r="K72" s="569"/>
      <c r="L72" s="569"/>
      <c r="M72" s="569"/>
      <c r="N72" s="569"/>
      <c r="O72" s="569"/>
      <c r="P72" s="585"/>
      <c r="Q72" s="569"/>
      <c r="R72" s="569"/>
      <c r="S72" s="569"/>
      <c r="T72" s="569"/>
      <c r="U72" s="569"/>
      <c r="V72" s="569"/>
      <c r="W72" s="569"/>
      <c r="X72" s="569"/>
      <c r="Y72" s="569"/>
      <c r="Z72" s="569"/>
      <c r="AA72" s="569"/>
      <c r="AB72" s="569"/>
      <c r="AC72" s="569"/>
      <c r="AD72" s="569"/>
      <c r="AE72" s="569"/>
      <c r="AF72" s="569"/>
      <c r="AG72" s="569"/>
      <c r="AH72" s="569"/>
      <c r="AI72" s="569"/>
      <c r="AJ72" s="569"/>
      <c r="AK72" s="569"/>
      <c r="AL72" s="569"/>
      <c r="AM72" s="569"/>
      <c r="AN72" s="569"/>
    </row>
    <row r="73" spans="1:40" ht="21.75" customHeight="1" x14ac:dyDescent="0.2">
      <c r="A73" s="82">
        <f t="shared" si="7"/>
        <v>12.4</v>
      </c>
      <c r="B73" s="190"/>
      <c r="C73" s="190" t="s">
        <v>97</v>
      </c>
      <c r="D73" s="38" t="s">
        <v>61</v>
      </c>
      <c r="E73" s="38" t="s">
        <v>98</v>
      </c>
      <c r="F73" s="38">
        <f>F69*80</f>
        <v>208</v>
      </c>
      <c r="G73" s="38"/>
      <c r="H73" s="41">
        <f t="shared" si="10"/>
        <v>0</v>
      </c>
      <c r="I73" s="569"/>
      <c r="J73" s="570"/>
      <c r="K73" s="569"/>
      <c r="L73" s="569"/>
      <c r="M73" s="569"/>
      <c r="N73" s="569"/>
      <c r="O73" s="569"/>
      <c r="P73" s="585"/>
      <c r="Q73" s="569"/>
      <c r="R73" s="569"/>
      <c r="S73" s="569"/>
      <c r="T73" s="569"/>
      <c r="U73" s="569"/>
      <c r="V73" s="569"/>
      <c r="W73" s="569"/>
      <c r="X73" s="569"/>
      <c r="Y73" s="569"/>
      <c r="Z73" s="569"/>
      <c r="AA73" s="569"/>
      <c r="AB73" s="569"/>
      <c r="AC73" s="569"/>
      <c r="AD73" s="569"/>
      <c r="AE73" s="569"/>
      <c r="AF73" s="569"/>
      <c r="AG73" s="569"/>
      <c r="AH73" s="569"/>
      <c r="AI73" s="569"/>
      <c r="AJ73" s="569"/>
      <c r="AK73" s="569"/>
      <c r="AL73" s="569"/>
      <c r="AM73" s="569"/>
      <c r="AN73" s="569"/>
    </row>
    <row r="74" spans="1:40" ht="21.75" customHeight="1" x14ac:dyDescent="0.2">
      <c r="A74" s="82">
        <f t="shared" si="7"/>
        <v>12.5</v>
      </c>
      <c r="B74" s="190"/>
      <c r="C74" s="190" t="s">
        <v>99</v>
      </c>
      <c r="D74" s="190" t="s">
        <v>4</v>
      </c>
      <c r="E74" s="38">
        <v>1.37</v>
      </c>
      <c r="F74" s="38">
        <f>F69*E74</f>
        <v>3.56</v>
      </c>
      <c r="G74" s="38"/>
      <c r="H74" s="41">
        <f t="shared" si="10"/>
        <v>0</v>
      </c>
      <c r="I74" s="569"/>
      <c r="J74" s="570"/>
      <c r="K74" s="569"/>
      <c r="L74" s="569"/>
      <c r="M74" s="569"/>
      <c r="N74" s="569"/>
      <c r="O74" s="569"/>
      <c r="P74" s="585"/>
      <c r="Q74" s="569"/>
      <c r="R74" s="569"/>
      <c r="S74" s="569"/>
      <c r="T74" s="569"/>
      <c r="U74" s="569"/>
      <c r="V74" s="569"/>
      <c r="W74" s="569"/>
      <c r="X74" s="569"/>
      <c r="Y74" s="569"/>
      <c r="Z74" s="569"/>
      <c r="AA74" s="569"/>
      <c r="AB74" s="569"/>
      <c r="AC74" s="569"/>
      <c r="AD74" s="569"/>
      <c r="AE74" s="569"/>
      <c r="AF74" s="569"/>
      <c r="AG74" s="569"/>
      <c r="AH74" s="569"/>
      <c r="AI74" s="569"/>
      <c r="AJ74" s="569"/>
      <c r="AK74" s="569"/>
      <c r="AL74" s="569"/>
      <c r="AM74" s="569"/>
      <c r="AN74" s="569"/>
    </row>
    <row r="75" spans="1:40" ht="21.75" customHeight="1" x14ac:dyDescent="0.2">
      <c r="A75" s="82">
        <f t="shared" si="7"/>
        <v>12.6</v>
      </c>
      <c r="B75" s="190"/>
      <c r="C75" s="190" t="s">
        <v>100</v>
      </c>
      <c r="D75" s="190" t="s">
        <v>3</v>
      </c>
      <c r="E75" s="72">
        <v>3.6600000000000001E-2</v>
      </c>
      <c r="F75" s="38">
        <f>F69*E75</f>
        <v>0.1</v>
      </c>
      <c r="G75" s="38"/>
      <c r="H75" s="41">
        <f t="shared" si="10"/>
        <v>0</v>
      </c>
      <c r="I75" s="569"/>
      <c r="J75" s="570"/>
      <c r="K75" s="569"/>
      <c r="L75" s="569"/>
      <c r="M75" s="569"/>
      <c r="N75" s="569"/>
      <c r="O75" s="569"/>
      <c r="P75" s="569"/>
      <c r="Q75" s="569"/>
      <c r="R75" s="569"/>
      <c r="S75" s="569"/>
      <c r="T75" s="569"/>
      <c r="U75" s="569"/>
      <c r="V75" s="569"/>
      <c r="W75" s="569"/>
      <c r="X75" s="569"/>
      <c r="Y75" s="569"/>
      <c r="Z75" s="569"/>
      <c r="AA75" s="569"/>
      <c r="AB75" s="569"/>
      <c r="AC75" s="569"/>
      <c r="AD75" s="569"/>
      <c r="AE75" s="569"/>
      <c r="AF75" s="569"/>
      <c r="AG75" s="569"/>
      <c r="AH75" s="569"/>
      <c r="AI75" s="569"/>
      <c r="AJ75" s="569"/>
      <c r="AK75" s="569"/>
      <c r="AL75" s="569"/>
      <c r="AM75" s="569"/>
      <c r="AN75" s="569"/>
    </row>
    <row r="76" spans="1:40" ht="21.75" customHeight="1" x14ac:dyDescent="0.2">
      <c r="A76" s="82">
        <f t="shared" si="7"/>
        <v>12.7</v>
      </c>
      <c r="B76" s="190"/>
      <c r="C76" s="190" t="s">
        <v>8</v>
      </c>
      <c r="D76" s="190" t="s">
        <v>93</v>
      </c>
      <c r="E76" s="38">
        <v>0.39</v>
      </c>
      <c r="F76" s="38">
        <f>F69*E76</f>
        <v>1.01</v>
      </c>
      <c r="G76" s="38"/>
      <c r="H76" s="41">
        <f t="shared" si="10"/>
        <v>0</v>
      </c>
      <c r="I76" s="569"/>
      <c r="J76" s="570"/>
      <c r="K76" s="569"/>
      <c r="L76" s="569"/>
      <c r="M76" s="569"/>
      <c r="N76" s="569"/>
      <c r="O76" s="569"/>
      <c r="P76" s="569"/>
      <c r="Q76" s="569"/>
      <c r="R76" s="569"/>
      <c r="S76" s="569"/>
      <c r="T76" s="569"/>
      <c r="U76" s="569"/>
      <c r="V76" s="569"/>
      <c r="W76" s="569"/>
      <c r="X76" s="569"/>
      <c r="Y76" s="569"/>
      <c r="Z76" s="569"/>
      <c r="AA76" s="569"/>
      <c r="AB76" s="569"/>
      <c r="AC76" s="569"/>
      <c r="AD76" s="569"/>
      <c r="AE76" s="569"/>
      <c r="AF76" s="569"/>
      <c r="AG76" s="569"/>
      <c r="AH76" s="569"/>
      <c r="AI76" s="569"/>
      <c r="AJ76" s="569"/>
      <c r="AK76" s="569"/>
      <c r="AL76" s="569"/>
      <c r="AM76" s="569"/>
      <c r="AN76" s="569"/>
    </row>
    <row r="77" spans="1:40" s="375" customFormat="1" ht="61.5" customHeight="1" x14ac:dyDescent="0.2">
      <c r="A77" s="608">
        <v>13</v>
      </c>
      <c r="B77" s="390" t="s">
        <v>553</v>
      </c>
      <c r="C77" s="609" t="s">
        <v>569</v>
      </c>
      <c r="D77" s="609" t="s">
        <v>87</v>
      </c>
      <c r="E77" s="392"/>
      <c r="F77" s="609">
        <v>3.9</v>
      </c>
      <c r="G77" s="392"/>
      <c r="H77" s="610">
        <f>SUM(H78:H86)</f>
        <v>0</v>
      </c>
      <c r="I77" s="586"/>
      <c r="J77" s="586"/>
      <c r="K77" s="586"/>
      <c r="L77" s="586"/>
      <c r="M77" s="586"/>
      <c r="N77" s="586"/>
      <c r="O77" s="586"/>
      <c r="P77" s="586"/>
      <c r="Q77" s="586"/>
      <c r="R77" s="586"/>
      <c r="S77" s="586"/>
      <c r="T77" s="586"/>
      <c r="U77" s="586"/>
      <c r="V77" s="586"/>
      <c r="W77" s="586"/>
      <c r="X77" s="586"/>
      <c r="Y77" s="586"/>
      <c r="Z77" s="586"/>
      <c r="AA77" s="586"/>
      <c r="AB77" s="586"/>
      <c r="AC77" s="586"/>
      <c r="AD77" s="586"/>
      <c r="AE77" s="586"/>
      <c r="AF77" s="586"/>
      <c r="AG77" s="586"/>
      <c r="AH77" s="586"/>
      <c r="AI77" s="586"/>
      <c r="AJ77" s="586"/>
      <c r="AK77" s="586"/>
      <c r="AL77" s="586"/>
      <c r="AM77" s="586"/>
      <c r="AN77" s="586"/>
    </row>
    <row r="78" spans="1:40" s="375" customFormat="1" ht="17.25" customHeight="1" x14ac:dyDescent="0.2">
      <c r="A78" s="385">
        <f t="shared" ref="A78:A86" si="11">A77+0.1</f>
        <v>13.1</v>
      </c>
      <c r="B78" s="611"/>
      <c r="C78" s="612" t="s">
        <v>23</v>
      </c>
      <c r="D78" s="384" t="s">
        <v>24</v>
      </c>
      <c r="E78" s="384">
        <f>23.8</f>
        <v>23.8</v>
      </c>
      <c r="F78" s="384">
        <f>F77*E78</f>
        <v>92.82</v>
      </c>
      <c r="G78" s="384"/>
      <c r="H78" s="613">
        <f t="shared" ref="H78:H86" si="12">G78*F78</f>
        <v>0</v>
      </c>
      <c r="I78" s="586"/>
      <c r="J78" s="586"/>
      <c r="K78" s="586"/>
      <c r="L78" s="586"/>
      <c r="M78" s="586"/>
      <c r="N78" s="586"/>
      <c r="O78" s="586"/>
      <c r="P78" s="586"/>
      <c r="Q78" s="586"/>
      <c r="R78" s="586"/>
      <c r="S78" s="586"/>
      <c r="T78" s="586"/>
      <c r="U78" s="586"/>
      <c r="V78" s="586"/>
      <c r="W78" s="586"/>
      <c r="X78" s="586"/>
      <c r="Y78" s="586"/>
      <c r="Z78" s="586"/>
      <c r="AA78" s="586"/>
      <c r="AB78" s="586"/>
      <c r="AC78" s="586"/>
      <c r="AD78" s="586"/>
      <c r="AE78" s="586"/>
      <c r="AF78" s="586"/>
      <c r="AG78" s="586"/>
      <c r="AH78" s="586"/>
      <c r="AI78" s="586"/>
      <c r="AJ78" s="586"/>
      <c r="AK78" s="586"/>
      <c r="AL78" s="586"/>
      <c r="AM78" s="586"/>
      <c r="AN78" s="586"/>
    </row>
    <row r="79" spans="1:40" s="375" customFormat="1" ht="17.25" customHeight="1" x14ac:dyDescent="0.2">
      <c r="A79" s="385">
        <f t="shared" si="11"/>
        <v>13.2</v>
      </c>
      <c r="B79" s="386"/>
      <c r="C79" s="387" t="s">
        <v>554</v>
      </c>
      <c r="D79" s="387" t="s">
        <v>10</v>
      </c>
      <c r="E79" s="388">
        <f>2.1</f>
        <v>2.1</v>
      </c>
      <c r="F79" s="388">
        <f>F77*E79</f>
        <v>8.19</v>
      </c>
      <c r="G79" s="388"/>
      <c r="H79" s="389">
        <f t="shared" si="12"/>
        <v>0</v>
      </c>
      <c r="I79" s="586"/>
      <c r="J79" s="586"/>
      <c r="K79" s="586"/>
      <c r="L79" s="586"/>
      <c r="M79" s="586"/>
      <c r="N79" s="586"/>
      <c r="O79" s="586"/>
      <c r="P79" s="586"/>
      <c r="Q79" s="586"/>
      <c r="R79" s="586"/>
      <c r="S79" s="586"/>
      <c r="T79" s="586"/>
      <c r="U79" s="586"/>
      <c r="V79" s="586"/>
      <c r="W79" s="586"/>
      <c r="X79" s="586"/>
      <c r="Y79" s="586"/>
      <c r="Z79" s="586"/>
      <c r="AA79" s="586"/>
      <c r="AB79" s="586"/>
      <c r="AC79" s="586"/>
      <c r="AD79" s="586"/>
      <c r="AE79" s="586"/>
      <c r="AF79" s="586"/>
      <c r="AG79" s="586"/>
      <c r="AH79" s="586"/>
      <c r="AI79" s="586"/>
      <c r="AJ79" s="586"/>
      <c r="AK79" s="586"/>
      <c r="AL79" s="586"/>
      <c r="AM79" s="586"/>
      <c r="AN79" s="586"/>
    </row>
    <row r="80" spans="1:40" s="375" customFormat="1" ht="17.25" customHeight="1" x14ac:dyDescent="0.2">
      <c r="A80" s="385">
        <f t="shared" si="11"/>
        <v>13.3</v>
      </c>
      <c r="B80" s="390"/>
      <c r="C80" s="391" t="s">
        <v>555</v>
      </c>
      <c r="D80" s="392" t="s">
        <v>87</v>
      </c>
      <c r="E80" s="392">
        <v>1.05</v>
      </c>
      <c r="F80" s="392">
        <f>F77*E80</f>
        <v>4.0999999999999996</v>
      </c>
      <c r="G80" s="38"/>
      <c r="H80" s="393">
        <f t="shared" si="12"/>
        <v>0</v>
      </c>
      <c r="I80" s="586"/>
      <c r="J80" s="586"/>
      <c r="K80" s="586"/>
      <c r="L80" s="586"/>
      <c r="M80" s="586"/>
      <c r="N80" s="586"/>
      <c r="O80" s="586"/>
      <c r="P80" s="586"/>
      <c r="Q80" s="586"/>
      <c r="R80" s="586"/>
      <c r="S80" s="586"/>
      <c r="T80" s="586"/>
      <c r="U80" s="586"/>
      <c r="V80" s="586"/>
      <c r="W80" s="586"/>
      <c r="X80" s="586"/>
      <c r="Y80" s="586"/>
      <c r="Z80" s="586"/>
      <c r="AA80" s="586"/>
      <c r="AB80" s="586"/>
      <c r="AC80" s="586"/>
      <c r="AD80" s="586"/>
      <c r="AE80" s="586"/>
      <c r="AF80" s="586"/>
      <c r="AG80" s="586"/>
      <c r="AH80" s="586"/>
      <c r="AI80" s="586"/>
      <c r="AJ80" s="586"/>
      <c r="AK80" s="586"/>
      <c r="AL80" s="586"/>
      <c r="AM80" s="586"/>
      <c r="AN80" s="586"/>
    </row>
    <row r="81" spans="1:40" s="375" customFormat="1" ht="17.25" customHeight="1" x14ac:dyDescent="0.2">
      <c r="A81" s="385">
        <f t="shared" si="11"/>
        <v>13.4</v>
      </c>
      <c r="B81" s="390"/>
      <c r="C81" s="391" t="s">
        <v>556</v>
      </c>
      <c r="D81" s="392" t="s">
        <v>112</v>
      </c>
      <c r="E81" s="392">
        <v>1.96</v>
      </c>
      <c r="F81" s="392">
        <f>F77*E81</f>
        <v>7.64</v>
      </c>
      <c r="G81" s="392"/>
      <c r="H81" s="393">
        <f t="shared" si="12"/>
        <v>0</v>
      </c>
      <c r="I81" s="586"/>
      <c r="J81" s="586"/>
      <c r="K81" s="586"/>
      <c r="L81" s="586"/>
      <c r="M81" s="586"/>
      <c r="N81" s="586"/>
      <c r="O81" s="586"/>
      <c r="P81" s="586"/>
      <c r="Q81" s="586"/>
      <c r="R81" s="586"/>
      <c r="S81" s="586"/>
      <c r="T81" s="586"/>
      <c r="U81" s="586"/>
      <c r="V81" s="586"/>
      <c r="W81" s="586"/>
      <c r="X81" s="586"/>
      <c r="Y81" s="586"/>
      <c r="Z81" s="586"/>
      <c r="AA81" s="586"/>
      <c r="AB81" s="586"/>
      <c r="AC81" s="586"/>
      <c r="AD81" s="586"/>
      <c r="AE81" s="586"/>
      <c r="AF81" s="586"/>
      <c r="AG81" s="586"/>
      <c r="AH81" s="586"/>
      <c r="AI81" s="586"/>
      <c r="AJ81" s="586"/>
      <c r="AK81" s="586"/>
      <c r="AL81" s="586"/>
      <c r="AM81" s="586"/>
      <c r="AN81" s="586"/>
    </row>
    <row r="82" spans="1:40" s="375" customFormat="1" ht="17.25" customHeight="1" x14ac:dyDescent="0.2">
      <c r="A82" s="385">
        <f t="shared" si="11"/>
        <v>13.5</v>
      </c>
      <c r="B82" s="391"/>
      <c r="C82" s="391" t="s">
        <v>613</v>
      </c>
      <c r="D82" s="392" t="s">
        <v>110</v>
      </c>
      <c r="E82" s="392">
        <v>3.38</v>
      </c>
      <c r="F82" s="392">
        <f>F77*E82</f>
        <v>13.18</v>
      </c>
      <c r="G82" s="392"/>
      <c r="H82" s="393">
        <f t="shared" si="12"/>
        <v>0</v>
      </c>
      <c r="I82" s="586"/>
      <c r="J82" s="586"/>
      <c r="K82" s="586"/>
      <c r="L82" s="586"/>
      <c r="M82" s="586"/>
      <c r="N82" s="586"/>
      <c r="O82" s="586"/>
      <c r="P82" s="586"/>
      <c r="Q82" s="586"/>
      <c r="R82" s="586"/>
      <c r="S82" s="586"/>
      <c r="T82" s="586"/>
      <c r="U82" s="586"/>
      <c r="V82" s="586"/>
      <c r="W82" s="586"/>
      <c r="X82" s="586"/>
      <c r="Y82" s="586"/>
      <c r="Z82" s="586"/>
      <c r="AA82" s="586"/>
      <c r="AB82" s="586"/>
      <c r="AC82" s="586"/>
      <c r="AD82" s="586"/>
      <c r="AE82" s="586"/>
      <c r="AF82" s="586"/>
      <c r="AG82" s="586"/>
      <c r="AH82" s="586"/>
      <c r="AI82" s="586"/>
      <c r="AJ82" s="586"/>
      <c r="AK82" s="586"/>
      <c r="AL82" s="586"/>
      <c r="AM82" s="586"/>
      <c r="AN82" s="586"/>
    </row>
    <row r="83" spans="1:40" s="375" customFormat="1" ht="17.25" customHeight="1" x14ac:dyDescent="0.2">
      <c r="A83" s="385">
        <f t="shared" si="11"/>
        <v>13.6</v>
      </c>
      <c r="B83" s="391"/>
      <c r="C83" s="391" t="s">
        <v>557</v>
      </c>
      <c r="D83" s="392" t="s">
        <v>112</v>
      </c>
      <c r="E83" s="392">
        <v>4.38</v>
      </c>
      <c r="F83" s="392">
        <f>F77*E83</f>
        <v>17.079999999999998</v>
      </c>
      <c r="G83" s="392"/>
      <c r="H83" s="393">
        <f t="shared" si="12"/>
        <v>0</v>
      </c>
      <c r="I83" s="586"/>
      <c r="J83" s="586"/>
      <c r="K83" s="586"/>
      <c r="L83" s="586"/>
      <c r="M83" s="586"/>
      <c r="N83" s="586"/>
      <c r="O83" s="586"/>
      <c r="P83" s="586"/>
      <c r="Q83" s="586"/>
      <c r="R83" s="586"/>
      <c r="S83" s="586"/>
      <c r="T83" s="586"/>
      <c r="U83" s="586"/>
      <c r="V83" s="586"/>
      <c r="W83" s="586"/>
      <c r="X83" s="586"/>
      <c r="Y83" s="586"/>
      <c r="Z83" s="586"/>
      <c r="AA83" s="586"/>
      <c r="AB83" s="586"/>
      <c r="AC83" s="586"/>
      <c r="AD83" s="586"/>
      <c r="AE83" s="586"/>
      <c r="AF83" s="586"/>
      <c r="AG83" s="586"/>
      <c r="AH83" s="586"/>
      <c r="AI83" s="586"/>
      <c r="AJ83" s="586"/>
      <c r="AK83" s="586"/>
      <c r="AL83" s="586"/>
      <c r="AM83" s="586"/>
      <c r="AN83" s="586"/>
    </row>
    <row r="84" spans="1:40" s="375" customFormat="1" ht="17.25" customHeight="1" x14ac:dyDescent="0.2">
      <c r="A84" s="385">
        <f t="shared" si="11"/>
        <v>13.7</v>
      </c>
      <c r="B84" s="391"/>
      <c r="C84" s="391" t="s">
        <v>558</v>
      </c>
      <c r="D84" s="392" t="s">
        <v>112</v>
      </c>
      <c r="E84" s="392"/>
      <c r="F84" s="392">
        <v>30</v>
      </c>
      <c r="G84" s="392"/>
      <c r="H84" s="393">
        <f t="shared" si="12"/>
        <v>0</v>
      </c>
      <c r="I84" s="586"/>
      <c r="J84" s="586"/>
      <c r="K84" s="586"/>
      <c r="L84" s="586"/>
      <c r="M84" s="586"/>
      <c r="N84" s="586"/>
      <c r="O84" s="586"/>
      <c r="P84" s="586"/>
      <c r="Q84" s="586"/>
      <c r="R84" s="586"/>
      <c r="S84" s="586"/>
      <c r="T84" s="586"/>
      <c r="U84" s="586"/>
      <c r="V84" s="586"/>
      <c r="W84" s="586"/>
      <c r="X84" s="586"/>
      <c r="Y84" s="586"/>
      <c r="Z84" s="586"/>
      <c r="AA84" s="586"/>
      <c r="AB84" s="586"/>
      <c r="AC84" s="586"/>
      <c r="AD84" s="586"/>
      <c r="AE84" s="586"/>
      <c r="AF84" s="586"/>
      <c r="AG84" s="586"/>
      <c r="AH84" s="586"/>
      <c r="AI84" s="586"/>
      <c r="AJ84" s="586"/>
      <c r="AK84" s="586"/>
      <c r="AL84" s="586"/>
      <c r="AM84" s="586"/>
      <c r="AN84" s="586"/>
    </row>
    <row r="85" spans="1:40" s="375" customFormat="1" ht="17.25" customHeight="1" x14ac:dyDescent="0.2">
      <c r="A85" s="385">
        <f t="shared" si="11"/>
        <v>13.8</v>
      </c>
      <c r="B85" s="391"/>
      <c r="C85" s="391" t="s">
        <v>559</v>
      </c>
      <c r="D85" s="392" t="s">
        <v>112</v>
      </c>
      <c r="E85" s="392">
        <v>7.2</v>
      </c>
      <c r="F85" s="392">
        <f>F77*E85</f>
        <v>28.08</v>
      </c>
      <c r="G85" s="392"/>
      <c r="H85" s="393">
        <f t="shared" si="12"/>
        <v>0</v>
      </c>
      <c r="I85" s="586"/>
      <c r="J85" s="586"/>
      <c r="K85" s="586"/>
      <c r="L85" s="586"/>
      <c r="M85" s="586"/>
      <c r="N85" s="586"/>
      <c r="O85" s="586"/>
      <c r="P85" s="586"/>
      <c r="Q85" s="586"/>
      <c r="R85" s="586"/>
      <c r="S85" s="586"/>
      <c r="T85" s="586"/>
      <c r="U85" s="586"/>
      <c r="V85" s="586"/>
      <c r="W85" s="586"/>
      <c r="X85" s="586"/>
      <c r="Y85" s="586"/>
      <c r="Z85" s="586"/>
      <c r="AA85" s="586"/>
      <c r="AB85" s="586"/>
      <c r="AC85" s="586"/>
      <c r="AD85" s="586"/>
      <c r="AE85" s="586"/>
      <c r="AF85" s="586"/>
      <c r="AG85" s="586"/>
      <c r="AH85" s="586"/>
      <c r="AI85" s="586"/>
      <c r="AJ85" s="586"/>
      <c r="AK85" s="586"/>
      <c r="AL85" s="586"/>
      <c r="AM85" s="586"/>
      <c r="AN85" s="586"/>
    </row>
    <row r="86" spans="1:40" s="375" customFormat="1" ht="17.25" customHeight="1" x14ac:dyDescent="0.2">
      <c r="A86" s="385">
        <f t="shared" si="11"/>
        <v>13.9</v>
      </c>
      <c r="B86" s="391"/>
      <c r="C86" s="391" t="s">
        <v>560</v>
      </c>
      <c r="D86" s="392" t="s">
        <v>10</v>
      </c>
      <c r="E86" s="392">
        <v>3.44</v>
      </c>
      <c r="F86" s="392">
        <f>F77*E86</f>
        <v>13.42</v>
      </c>
      <c r="G86" s="392"/>
      <c r="H86" s="393">
        <f t="shared" si="12"/>
        <v>0</v>
      </c>
      <c r="I86" s="586"/>
      <c r="J86" s="586"/>
      <c r="K86" s="586"/>
      <c r="L86" s="586"/>
      <c r="M86" s="586"/>
      <c r="N86" s="586"/>
      <c r="O86" s="586"/>
      <c r="P86" s="586"/>
      <c r="Q86" s="586"/>
      <c r="R86" s="586"/>
      <c r="S86" s="586"/>
      <c r="T86" s="586"/>
      <c r="U86" s="586"/>
      <c r="V86" s="586"/>
      <c r="W86" s="586"/>
      <c r="X86" s="586"/>
      <c r="Y86" s="586"/>
      <c r="Z86" s="586"/>
      <c r="AA86" s="586"/>
      <c r="AB86" s="586"/>
      <c r="AC86" s="586"/>
      <c r="AD86" s="586"/>
      <c r="AE86" s="586"/>
      <c r="AF86" s="586"/>
      <c r="AG86" s="586"/>
      <c r="AH86" s="586"/>
      <c r="AI86" s="586"/>
      <c r="AJ86" s="586"/>
      <c r="AK86" s="586"/>
      <c r="AL86" s="586"/>
      <c r="AM86" s="586"/>
      <c r="AN86" s="586"/>
    </row>
    <row r="87" spans="1:40" s="375" customFormat="1" ht="35.25" customHeight="1" x14ac:dyDescent="0.2">
      <c r="A87" s="608">
        <f>A77+1</f>
        <v>14</v>
      </c>
      <c r="B87" s="390" t="s">
        <v>561</v>
      </c>
      <c r="C87" s="390" t="s">
        <v>562</v>
      </c>
      <c r="D87" s="390" t="s">
        <v>563</v>
      </c>
      <c r="E87" s="390"/>
      <c r="F87" s="609">
        <v>1.6</v>
      </c>
      <c r="G87" s="390"/>
      <c r="H87" s="610">
        <f>SUM(H88:H90)</f>
        <v>0</v>
      </c>
      <c r="I87" s="586"/>
      <c r="J87" s="586"/>
      <c r="K87" s="586"/>
      <c r="L87" s="586"/>
      <c r="M87" s="586"/>
      <c r="N87" s="586"/>
      <c r="O87" s="586"/>
      <c r="P87" s="586"/>
      <c r="Q87" s="586"/>
      <c r="R87" s="586"/>
      <c r="S87" s="586"/>
      <c r="T87" s="586"/>
      <c r="U87" s="586"/>
      <c r="V87" s="586"/>
      <c r="W87" s="586"/>
      <c r="X87" s="586"/>
      <c r="Y87" s="586"/>
      <c r="Z87" s="586"/>
      <c r="AA87" s="586"/>
      <c r="AB87" s="586"/>
      <c r="AC87" s="586"/>
      <c r="AD87" s="586"/>
      <c r="AE87" s="586"/>
      <c r="AF87" s="586"/>
      <c r="AG87" s="586"/>
      <c r="AH87" s="586"/>
      <c r="AI87" s="586"/>
      <c r="AJ87" s="586"/>
      <c r="AK87" s="586"/>
      <c r="AL87" s="586"/>
      <c r="AM87" s="586"/>
      <c r="AN87" s="586"/>
    </row>
    <row r="88" spans="1:40" s="375" customFormat="1" ht="20.25" customHeight="1" x14ac:dyDescent="0.2">
      <c r="A88" s="385">
        <f>A87+0.1</f>
        <v>14.1</v>
      </c>
      <c r="B88" s="611"/>
      <c r="C88" s="612" t="s">
        <v>23</v>
      </c>
      <c r="D88" s="384" t="s">
        <v>24</v>
      </c>
      <c r="E88" s="613">
        <f>4.24</f>
        <v>4.24</v>
      </c>
      <c r="F88" s="613">
        <f>F87*E88</f>
        <v>6.78</v>
      </c>
      <c r="G88" s="384"/>
      <c r="H88" s="613">
        <f>F88*G88</f>
        <v>0</v>
      </c>
      <c r="I88" s="586"/>
      <c r="J88" s="586"/>
      <c r="K88" s="586"/>
      <c r="L88" s="586"/>
      <c r="M88" s="586"/>
      <c r="N88" s="586"/>
      <c r="O88" s="586"/>
      <c r="P88" s="586"/>
      <c r="Q88" s="586"/>
      <c r="R88" s="586"/>
      <c r="S88" s="586"/>
      <c r="T88" s="586"/>
      <c r="U88" s="586"/>
      <c r="V88" s="586"/>
      <c r="W88" s="586"/>
      <c r="X88" s="586"/>
      <c r="Y88" s="586"/>
      <c r="Z88" s="586"/>
      <c r="AA88" s="586"/>
      <c r="AB88" s="586"/>
      <c r="AC88" s="586"/>
      <c r="AD88" s="586"/>
      <c r="AE88" s="586"/>
      <c r="AF88" s="586"/>
      <c r="AG88" s="586"/>
      <c r="AH88" s="586"/>
      <c r="AI88" s="586"/>
      <c r="AJ88" s="586"/>
      <c r="AK88" s="586"/>
      <c r="AL88" s="586"/>
      <c r="AM88" s="586"/>
      <c r="AN88" s="586"/>
    </row>
    <row r="89" spans="1:40" s="375" customFormat="1" ht="20.25" customHeight="1" x14ac:dyDescent="0.2">
      <c r="A89" s="385">
        <f>A88+0.1</f>
        <v>14.2</v>
      </c>
      <c r="B89" s="386"/>
      <c r="C89" s="387" t="s">
        <v>554</v>
      </c>
      <c r="D89" s="387" t="s">
        <v>10</v>
      </c>
      <c r="E89" s="394">
        <f>0.21</f>
        <v>0.21</v>
      </c>
      <c r="F89" s="394">
        <f>F87*E89</f>
        <v>0.34</v>
      </c>
      <c r="G89" s="394"/>
      <c r="H89" s="395">
        <f>G89*F89</f>
        <v>0</v>
      </c>
      <c r="I89" s="586"/>
      <c r="J89" s="586"/>
      <c r="K89" s="586"/>
      <c r="L89" s="586"/>
      <c r="M89" s="586"/>
      <c r="N89" s="586"/>
      <c r="O89" s="586"/>
      <c r="P89" s="586"/>
      <c r="Q89" s="586"/>
      <c r="R89" s="586"/>
      <c r="S89" s="586"/>
      <c r="T89" s="586"/>
      <c r="U89" s="586"/>
      <c r="V89" s="586"/>
      <c r="W89" s="586"/>
      <c r="X89" s="586"/>
      <c r="Y89" s="586"/>
      <c r="Z89" s="586"/>
      <c r="AA89" s="586"/>
      <c r="AB89" s="586"/>
      <c r="AC89" s="586"/>
      <c r="AD89" s="586"/>
      <c r="AE89" s="586"/>
      <c r="AF89" s="586"/>
      <c r="AG89" s="586"/>
      <c r="AH89" s="586"/>
      <c r="AI89" s="586"/>
      <c r="AJ89" s="586"/>
      <c r="AK89" s="586"/>
      <c r="AL89" s="586"/>
      <c r="AM89" s="586"/>
      <c r="AN89" s="586"/>
    </row>
    <row r="90" spans="1:40" s="375" customFormat="1" ht="20.25" customHeight="1" x14ac:dyDescent="0.2">
      <c r="A90" s="385">
        <f>A89+0.1</f>
        <v>14.3</v>
      </c>
      <c r="B90" s="391"/>
      <c r="C90" s="391" t="s">
        <v>564</v>
      </c>
      <c r="D90" s="391" t="s">
        <v>112</v>
      </c>
      <c r="E90" s="392">
        <v>150</v>
      </c>
      <c r="F90" s="392">
        <f>F87*E90</f>
        <v>240</v>
      </c>
      <c r="G90" s="392"/>
      <c r="H90" s="393">
        <f>G90*F90</f>
        <v>0</v>
      </c>
      <c r="I90" s="586"/>
      <c r="J90" s="586"/>
      <c r="K90" s="586"/>
      <c r="L90" s="586"/>
      <c r="M90" s="586"/>
      <c r="N90" s="586"/>
      <c r="O90" s="586"/>
      <c r="P90" s="586"/>
      <c r="Q90" s="586"/>
      <c r="R90" s="586"/>
      <c r="S90" s="586"/>
      <c r="T90" s="586"/>
      <c r="U90" s="586"/>
      <c r="V90" s="586"/>
      <c r="W90" s="586"/>
      <c r="X90" s="586"/>
      <c r="Y90" s="586"/>
      <c r="Z90" s="586"/>
      <c r="AA90" s="586"/>
      <c r="AB90" s="586"/>
      <c r="AC90" s="586"/>
      <c r="AD90" s="586"/>
      <c r="AE90" s="586"/>
      <c r="AF90" s="586"/>
      <c r="AG90" s="586"/>
      <c r="AH90" s="586"/>
      <c r="AI90" s="586"/>
      <c r="AJ90" s="586"/>
      <c r="AK90" s="586"/>
      <c r="AL90" s="586"/>
      <c r="AM90" s="586"/>
      <c r="AN90" s="586"/>
    </row>
    <row r="91" spans="1:40" s="375" customFormat="1" ht="57.75" customHeight="1" x14ac:dyDescent="0.2">
      <c r="A91" s="390">
        <f>A87+1</f>
        <v>15</v>
      </c>
      <c r="B91" s="390" t="s">
        <v>565</v>
      </c>
      <c r="C91" s="390" t="s">
        <v>566</v>
      </c>
      <c r="D91" s="390" t="s">
        <v>567</v>
      </c>
      <c r="E91" s="390"/>
      <c r="F91" s="609">
        <v>1.6</v>
      </c>
      <c r="G91" s="390"/>
      <c r="H91" s="610">
        <f>SUM(H92:H94)</f>
        <v>0</v>
      </c>
      <c r="I91" s="586"/>
      <c r="J91" s="586"/>
      <c r="K91" s="586"/>
      <c r="L91" s="586"/>
      <c r="M91" s="586"/>
      <c r="N91" s="586"/>
      <c r="O91" s="586"/>
      <c r="P91" s="586"/>
      <c r="Q91" s="586"/>
      <c r="R91" s="586"/>
      <c r="S91" s="586"/>
      <c r="T91" s="586"/>
      <c r="U91" s="586"/>
      <c r="V91" s="586"/>
      <c r="W91" s="586"/>
      <c r="X91" s="586"/>
      <c r="Y91" s="586"/>
      <c r="Z91" s="586"/>
      <c r="AA91" s="586"/>
      <c r="AB91" s="586"/>
      <c r="AC91" s="586"/>
      <c r="AD91" s="586"/>
      <c r="AE91" s="586"/>
      <c r="AF91" s="586"/>
      <c r="AG91" s="586"/>
      <c r="AH91" s="586"/>
      <c r="AI91" s="586"/>
      <c r="AJ91" s="586"/>
      <c r="AK91" s="586"/>
      <c r="AL91" s="586"/>
      <c r="AM91" s="586"/>
      <c r="AN91" s="586"/>
    </row>
    <row r="92" spans="1:40" s="375" customFormat="1" ht="18.75" customHeight="1" x14ac:dyDescent="0.2">
      <c r="A92" s="385">
        <f>A91+0.1</f>
        <v>15.1</v>
      </c>
      <c r="B92" s="611"/>
      <c r="C92" s="612" t="s">
        <v>23</v>
      </c>
      <c r="D92" s="384" t="s">
        <v>24</v>
      </c>
      <c r="E92" s="613">
        <f>3.03</f>
        <v>3.03</v>
      </c>
      <c r="F92" s="613">
        <f>F91*E92</f>
        <v>4.8499999999999996</v>
      </c>
      <c r="G92" s="384"/>
      <c r="H92" s="613">
        <f>F92*G92</f>
        <v>0</v>
      </c>
      <c r="I92" s="586"/>
      <c r="J92" s="586"/>
      <c r="K92" s="586"/>
      <c r="L92" s="586"/>
      <c r="M92" s="586"/>
      <c r="N92" s="586"/>
      <c r="O92" s="586"/>
      <c r="P92" s="586"/>
      <c r="Q92" s="586"/>
      <c r="R92" s="586"/>
      <c r="S92" s="586"/>
      <c r="T92" s="586"/>
      <c r="U92" s="586"/>
      <c r="V92" s="586"/>
      <c r="W92" s="586"/>
      <c r="X92" s="586"/>
      <c r="Y92" s="586"/>
      <c r="Z92" s="586"/>
      <c r="AA92" s="586"/>
      <c r="AB92" s="586"/>
      <c r="AC92" s="586"/>
      <c r="AD92" s="586"/>
      <c r="AE92" s="586"/>
      <c r="AF92" s="586"/>
      <c r="AG92" s="586"/>
      <c r="AH92" s="586"/>
      <c r="AI92" s="586"/>
      <c r="AJ92" s="586"/>
      <c r="AK92" s="586"/>
      <c r="AL92" s="586"/>
      <c r="AM92" s="586"/>
      <c r="AN92" s="586"/>
    </row>
    <row r="93" spans="1:40" s="375" customFormat="1" ht="18.75" customHeight="1" x14ac:dyDescent="0.2">
      <c r="A93" s="385">
        <f>A92+0.1</f>
        <v>15.2</v>
      </c>
      <c r="B93" s="386"/>
      <c r="C93" s="387" t="s">
        <v>554</v>
      </c>
      <c r="D93" s="387" t="s">
        <v>10</v>
      </c>
      <c r="E93" s="395">
        <f>0.41</f>
        <v>0.41</v>
      </c>
      <c r="F93" s="395">
        <f>F91*E93</f>
        <v>0.66</v>
      </c>
      <c r="G93" s="395"/>
      <c r="H93" s="395">
        <f>F93*G93</f>
        <v>0</v>
      </c>
      <c r="I93" s="586"/>
      <c r="J93" s="586"/>
      <c r="K93" s="586"/>
      <c r="L93" s="586"/>
      <c r="M93" s="586"/>
      <c r="N93" s="586"/>
      <c r="O93" s="586"/>
      <c r="P93" s="586"/>
      <c r="Q93" s="586"/>
      <c r="R93" s="586"/>
      <c r="S93" s="586"/>
      <c r="T93" s="586"/>
      <c r="U93" s="586"/>
      <c r="V93" s="586"/>
      <c r="W93" s="586"/>
      <c r="X93" s="586"/>
      <c r="Y93" s="586"/>
      <c r="Z93" s="586"/>
      <c r="AA93" s="586"/>
      <c r="AB93" s="586"/>
      <c r="AC93" s="586"/>
      <c r="AD93" s="586"/>
      <c r="AE93" s="586"/>
      <c r="AF93" s="586"/>
      <c r="AG93" s="586"/>
      <c r="AH93" s="586"/>
      <c r="AI93" s="586"/>
      <c r="AJ93" s="586"/>
      <c r="AK93" s="586"/>
      <c r="AL93" s="586"/>
      <c r="AM93" s="586"/>
      <c r="AN93" s="586"/>
    </row>
    <row r="94" spans="1:40" s="375" customFormat="1" ht="18.75" customHeight="1" x14ac:dyDescent="0.2">
      <c r="A94" s="385">
        <f>A93+0.1</f>
        <v>15.3</v>
      </c>
      <c r="B94" s="391"/>
      <c r="C94" s="391" t="s">
        <v>568</v>
      </c>
      <c r="D94" s="391" t="s">
        <v>112</v>
      </c>
      <c r="E94" s="393">
        <v>32.4</v>
      </c>
      <c r="F94" s="393">
        <f>E94*F91</f>
        <v>51.84</v>
      </c>
      <c r="G94" s="393"/>
      <c r="H94" s="393">
        <f>F94*G94</f>
        <v>0</v>
      </c>
      <c r="I94" s="586"/>
      <c r="J94" s="586"/>
      <c r="K94" s="586"/>
      <c r="L94" s="586"/>
      <c r="M94" s="586"/>
      <c r="N94" s="586"/>
      <c r="O94" s="586"/>
      <c r="P94" s="586"/>
      <c r="Q94" s="586"/>
      <c r="R94" s="586"/>
      <c r="S94" s="586"/>
      <c r="T94" s="586"/>
      <c r="U94" s="586"/>
      <c r="V94" s="586"/>
      <c r="W94" s="586"/>
      <c r="X94" s="586"/>
      <c r="Y94" s="586"/>
      <c r="Z94" s="586"/>
      <c r="AA94" s="586"/>
      <c r="AB94" s="586"/>
      <c r="AC94" s="586"/>
      <c r="AD94" s="586"/>
      <c r="AE94" s="586"/>
      <c r="AF94" s="586"/>
      <c r="AG94" s="586"/>
      <c r="AH94" s="586"/>
      <c r="AI94" s="586"/>
      <c r="AJ94" s="586"/>
      <c r="AK94" s="586"/>
      <c r="AL94" s="586"/>
      <c r="AM94" s="586"/>
      <c r="AN94" s="586"/>
    </row>
    <row r="95" spans="1:40" ht="60" customHeight="1" x14ac:dyDescent="0.2">
      <c r="A95" s="8">
        <f>A91+1</f>
        <v>16</v>
      </c>
      <c r="B95" s="4" t="s">
        <v>104</v>
      </c>
      <c r="C95" s="4" t="s">
        <v>582</v>
      </c>
      <c r="D95" s="4" t="s">
        <v>4</v>
      </c>
      <c r="E95" s="38"/>
      <c r="F95" s="11">
        <v>160</v>
      </c>
      <c r="G95" s="11"/>
      <c r="H95" s="8">
        <f>SUM(H96:H103)</f>
        <v>0</v>
      </c>
      <c r="I95" s="582"/>
      <c r="J95" s="569"/>
      <c r="K95" s="569"/>
      <c r="L95" s="569"/>
      <c r="M95" s="569"/>
      <c r="N95" s="569"/>
      <c r="O95" s="569"/>
      <c r="P95" s="569"/>
      <c r="Q95" s="569"/>
      <c r="R95" s="569"/>
      <c r="S95" s="569"/>
      <c r="T95" s="569"/>
      <c r="U95" s="569"/>
      <c r="V95" s="569"/>
      <c r="W95" s="569"/>
      <c r="X95" s="569"/>
      <c r="Y95" s="569"/>
      <c r="Z95" s="569"/>
      <c r="AA95" s="569"/>
      <c r="AB95" s="569"/>
      <c r="AC95" s="569"/>
      <c r="AD95" s="569"/>
      <c r="AE95" s="569"/>
      <c r="AF95" s="569"/>
      <c r="AG95" s="569"/>
      <c r="AH95" s="569"/>
      <c r="AI95" s="569"/>
      <c r="AJ95" s="569"/>
      <c r="AK95" s="569"/>
      <c r="AL95" s="569"/>
      <c r="AM95" s="569"/>
      <c r="AN95" s="569"/>
    </row>
    <row r="96" spans="1:40" ht="16.5" x14ac:dyDescent="0.2">
      <c r="A96" s="82">
        <f t="shared" ref="A96:A103" si="13">A95+0.1</f>
        <v>16.100000000000001</v>
      </c>
      <c r="B96" s="190"/>
      <c r="C96" s="50" t="s">
        <v>92</v>
      </c>
      <c r="D96" s="191" t="s">
        <v>1</v>
      </c>
      <c r="E96" s="614">
        <f>43.9/100</f>
        <v>0.439</v>
      </c>
      <c r="F96" s="605">
        <f>F95*E96</f>
        <v>70.239999999999995</v>
      </c>
      <c r="G96" s="615"/>
      <c r="H96" s="606">
        <f t="shared" ref="H96:H103" si="14">G96*F96</f>
        <v>0</v>
      </c>
      <c r="I96" s="582"/>
      <c r="J96" s="569"/>
      <c r="K96" s="569"/>
      <c r="L96" s="569"/>
      <c r="M96" s="569"/>
      <c r="N96" s="569"/>
      <c r="O96" s="569"/>
      <c r="P96" s="569"/>
      <c r="Q96" s="569"/>
      <c r="R96" s="569"/>
      <c r="S96" s="569"/>
      <c r="T96" s="569"/>
      <c r="U96" s="569"/>
      <c r="V96" s="569"/>
      <c r="W96" s="569"/>
      <c r="X96" s="569"/>
      <c r="Y96" s="569"/>
      <c r="Z96" s="569"/>
      <c r="AA96" s="569"/>
      <c r="AB96" s="569"/>
      <c r="AC96" s="569"/>
      <c r="AD96" s="569"/>
      <c r="AE96" s="569"/>
      <c r="AF96" s="569"/>
      <c r="AG96" s="569"/>
      <c r="AH96" s="569"/>
      <c r="AI96" s="569"/>
      <c r="AJ96" s="569"/>
      <c r="AK96" s="569"/>
      <c r="AL96" s="569"/>
      <c r="AM96" s="569"/>
      <c r="AN96" s="569"/>
    </row>
    <row r="97" spans="1:40" ht="16.5" x14ac:dyDescent="0.2">
      <c r="A97" s="82">
        <f t="shared" si="13"/>
        <v>16.2</v>
      </c>
      <c r="B97" s="190"/>
      <c r="C97" s="83" t="s">
        <v>2</v>
      </c>
      <c r="D97" s="199" t="s">
        <v>93</v>
      </c>
      <c r="E97" s="199">
        <f>0.035</f>
        <v>0.04</v>
      </c>
      <c r="F97" s="199">
        <f>F95*E97</f>
        <v>6.4</v>
      </c>
      <c r="G97" s="199"/>
      <c r="H97" s="616">
        <f t="shared" si="14"/>
        <v>0</v>
      </c>
      <c r="I97" s="582"/>
      <c r="J97" s="569"/>
      <c r="K97" s="569"/>
      <c r="L97" s="569"/>
      <c r="M97" s="569"/>
      <c r="N97" s="569"/>
      <c r="O97" s="569"/>
      <c r="P97" s="569"/>
      <c r="Q97" s="569"/>
      <c r="R97" s="569"/>
      <c r="S97" s="569"/>
      <c r="T97" s="569"/>
      <c r="U97" s="569"/>
      <c r="V97" s="569"/>
      <c r="W97" s="569"/>
      <c r="X97" s="569"/>
      <c r="Y97" s="569"/>
      <c r="Z97" s="569"/>
      <c r="AA97" s="569"/>
      <c r="AB97" s="569"/>
      <c r="AC97" s="569"/>
      <c r="AD97" s="569"/>
      <c r="AE97" s="569"/>
      <c r="AF97" s="569"/>
      <c r="AG97" s="569"/>
      <c r="AH97" s="569"/>
      <c r="AI97" s="569"/>
      <c r="AJ97" s="569"/>
      <c r="AK97" s="569"/>
      <c r="AL97" s="569"/>
      <c r="AM97" s="569"/>
      <c r="AN97" s="569"/>
    </row>
    <row r="98" spans="1:40" ht="27" x14ac:dyDescent="0.2">
      <c r="A98" s="82">
        <f t="shared" si="13"/>
        <v>16.3</v>
      </c>
      <c r="B98" s="190"/>
      <c r="C98" s="190" t="s">
        <v>368</v>
      </c>
      <c r="D98" s="38" t="s">
        <v>4</v>
      </c>
      <c r="E98" s="38">
        <v>1.2</v>
      </c>
      <c r="F98" s="43">
        <f>F95*E98</f>
        <v>192</v>
      </c>
      <c r="G98" s="38"/>
      <c r="H98" s="41">
        <f t="shared" si="14"/>
        <v>0</v>
      </c>
      <c r="I98" s="582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9"/>
      <c r="AL98" s="569"/>
      <c r="AM98" s="569"/>
      <c r="AN98" s="569"/>
    </row>
    <row r="99" spans="1:40" ht="16.5" x14ac:dyDescent="0.2">
      <c r="A99" s="82"/>
      <c r="B99" s="190"/>
      <c r="C99" s="190" t="s">
        <v>32</v>
      </c>
      <c r="D99" s="38" t="s">
        <v>3</v>
      </c>
      <c r="E99" s="72">
        <f>1.19/100</f>
        <v>1.1900000000000001E-2</v>
      </c>
      <c r="F99" s="43">
        <f>F95*E99</f>
        <v>1.9</v>
      </c>
      <c r="G99" s="38"/>
      <c r="H99" s="41">
        <f t="shared" si="14"/>
        <v>0</v>
      </c>
      <c r="I99" s="582"/>
      <c r="J99" s="569"/>
      <c r="K99" s="569"/>
      <c r="L99" s="569"/>
      <c r="M99" s="569"/>
      <c r="N99" s="569"/>
      <c r="O99" s="569"/>
      <c r="P99" s="569"/>
      <c r="Q99" s="569"/>
      <c r="R99" s="569"/>
      <c r="S99" s="569"/>
      <c r="T99" s="569"/>
      <c r="U99" s="569"/>
      <c r="V99" s="569"/>
      <c r="W99" s="569"/>
      <c r="X99" s="569"/>
      <c r="Y99" s="569"/>
      <c r="Z99" s="569"/>
      <c r="AA99" s="569"/>
      <c r="AB99" s="569"/>
      <c r="AC99" s="569"/>
      <c r="AD99" s="569"/>
      <c r="AE99" s="569"/>
      <c r="AF99" s="569"/>
      <c r="AG99" s="569"/>
      <c r="AH99" s="569"/>
      <c r="AI99" s="569"/>
      <c r="AJ99" s="569"/>
      <c r="AK99" s="569"/>
      <c r="AL99" s="569"/>
      <c r="AM99" s="569"/>
      <c r="AN99" s="569"/>
    </row>
    <row r="100" spans="1:40" ht="16.5" x14ac:dyDescent="0.2">
      <c r="A100" s="82">
        <f>A98+0.1</f>
        <v>16.399999999999999</v>
      </c>
      <c r="B100" s="190"/>
      <c r="C100" s="190" t="s">
        <v>105</v>
      </c>
      <c r="D100" s="38" t="s">
        <v>61</v>
      </c>
      <c r="E100" s="38">
        <v>0.15</v>
      </c>
      <c r="F100" s="38">
        <f>F95*E100</f>
        <v>24</v>
      </c>
      <c r="G100" s="43"/>
      <c r="H100" s="41">
        <f t="shared" si="14"/>
        <v>0</v>
      </c>
      <c r="I100" s="582"/>
      <c r="J100" s="569"/>
      <c r="K100" s="569"/>
      <c r="L100" s="569"/>
      <c r="M100" s="569"/>
      <c r="N100" s="569"/>
      <c r="O100" s="569"/>
      <c r="P100" s="569"/>
      <c r="Q100" s="569"/>
      <c r="R100" s="569"/>
      <c r="S100" s="569"/>
      <c r="T100" s="569"/>
      <c r="U100" s="569"/>
      <c r="V100" s="569"/>
      <c r="W100" s="569"/>
      <c r="X100" s="569"/>
      <c r="Y100" s="569"/>
      <c r="Z100" s="569"/>
      <c r="AA100" s="569"/>
      <c r="AB100" s="569"/>
      <c r="AC100" s="569"/>
      <c r="AD100" s="569"/>
      <c r="AE100" s="569"/>
      <c r="AF100" s="569"/>
      <c r="AG100" s="569"/>
      <c r="AH100" s="569"/>
      <c r="AI100" s="569"/>
      <c r="AJ100" s="569"/>
      <c r="AK100" s="569"/>
      <c r="AL100" s="569"/>
      <c r="AM100" s="569"/>
      <c r="AN100" s="569"/>
    </row>
    <row r="101" spans="1:40" ht="27" x14ac:dyDescent="0.2">
      <c r="A101" s="82">
        <f t="shared" si="13"/>
        <v>16.5</v>
      </c>
      <c r="B101" s="190"/>
      <c r="C101" s="190" t="s">
        <v>106</v>
      </c>
      <c r="D101" s="38" t="s">
        <v>65</v>
      </c>
      <c r="E101" s="38" t="s">
        <v>98</v>
      </c>
      <c r="F101" s="82">
        <f>F95*6</f>
        <v>960</v>
      </c>
      <c r="G101" s="38"/>
      <c r="H101" s="41">
        <f t="shared" si="14"/>
        <v>0</v>
      </c>
      <c r="I101" s="582"/>
      <c r="J101" s="569"/>
      <c r="K101" s="569"/>
      <c r="L101" s="569"/>
      <c r="M101" s="569"/>
      <c r="N101" s="569"/>
      <c r="O101" s="569"/>
      <c r="P101" s="569"/>
      <c r="Q101" s="569"/>
      <c r="R101" s="569"/>
      <c r="S101" s="569"/>
      <c r="T101" s="569"/>
      <c r="U101" s="569"/>
      <c r="V101" s="569"/>
      <c r="W101" s="569"/>
      <c r="X101" s="569"/>
      <c r="Y101" s="569"/>
      <c r="Z101" s="569"/>
      <c r="AA101" s="569"/>
      <c r="AB101" s="569"/>
      <c r="AC101" s="569"/>
      <c r="AD101" s="569"/>
      <c r="AE101" s="569"/>
      <c r="AF101" s="569"/>
      <c r="AG101" s="569"/>
      <c r="AH101" s="569"/>
      <c r="AI101" s="569"/>
      <c r="AJ101" s="569"/>
      <c r="AK101" s="569"/>
      <c r="AL101" s="569"/>
      <c r="AM101" s="569"/>
      <c r="AN101" s="569"/>
    </row>
    <row r="102" spans="1:40" ht="16.5" x14ac:dyDescent="0.2">
      <c r="A102" s="82">
        <f t="shared" si="13"/>
        <v>16.600000000000001</v>
      </c>
      <c r="B102" s="190"/>
      <c r="C102" s="190" t="s">
        <v>107</v>
      </c>
      <c r="D102" s="38" t="s">
        <v>61</v>
      </c>
      <c r="E102" s="38"/>
      <c r="F102" s="82">
        <v>35</v>
      </c>
      <c r="G102" s="38"/>
      <c r="H102" s="41">
        <f t="shared" si="14"/>
        <v>0</v>
      </c>
      <c r="I102" s="582"/>
      <c r="J102" s="569"/>
      <c r="K102" s="569"/>
      <c r="L102" s="569"/>
      <c r="M102" s="569"/>
      <c r="N102" s="569"/>
      <c r="O102" s="569"/>
      <c r="P102" s="569"/>
      <c r="Q102" s="569"/>
      <c r="R102" s="569"/>
      <c r="S102" s="569"/>
      <c r="T102" s="569"/>
      <c r="U102" s="569"/>
      <c r="V102" s="569"/>
      <c r="W102" s="569"/>
      <c r="X102" s="569"/>
      <c r="Y102" s="569"/>
      <c r="Z102" s="569"/>
      <c r="AA102" s="569"/>
      <c r="AB102" s="569"/>
      <c r="AC102" s="569"/>
      <c r="AD102" s="569"/>
      <c r="AE102" s="569"/>
      <c r="AF102" s="569"/>
      <c r="AG102" s="569"/>
      <c r="AH102" s="569"/>
      <c r="AI102" s="569"/>
      <c r="AJ102" s="569"/>
      <c r="AK102" s="569"/>
      <c r="AL102" s="569"/>
      <c r="AM102" s="569"/>
      <c r="AN102" s="569"/>
    </row>
    <row r="103" spans="1:40" ht="16.5" x14ac:dyDescent="0.2">
      <c r="A103" s="82">
        <f t="shared" si="13"/>
        <v>16.7</v>
      </c>
      <c r="B103" s="190"/>
      <c r="C103" s="190" t="s">
        <v>8</v>
      </c>
      <c r="D103" s="38" t="s">
        <v>93</v>
      </c>
      <c r="E103" s="72">
        <f>8.16/100</f>
        <v>8.1600000000000006E-2</v>
      </c>
      <c r="F103" s="38">
        <f>F95*E103</f>
        <v>13.06</v>
      </c>
      <c r="G103" s="38"/>
      <c r="H103" s="41">
        <f t="shared" si="14"/>
        <v>0</v>
      </c>
      <c r="I103" s="582"/>
      <c r="J103" s="569"/>
      <c r="K103" s="569"/>
      <c r="L103" s="569"/>
      <c r="M103" s="569"/>
      <c r="N103" s="569"/>
      <c r="O103" s="569"/>
      <c r="P103" s="569"/>
      <c r="Q103" s="569"/>
      <c r="R103" s="569"/>
      <c r="S103" s="569"/>
      <c r="T103" s="569"/>
      <c r="U103" s="569"/>
      <c r="V103" s="569"/>
      <c r="W103" s="569"/>
      <c r="X103" s="569"/>
      <c r="Y103" s="569"/>
      <c r="Z103" s="569"/>
      <c r="AA103" s="569"/>
      <c r="AB103" s="569"/>
      <c r="AC103" s="569"/>
      <c r="AD103" s="569"/>
      <c r="AE103" s="569"/>
      <c r="AF103" s="569"/>
      <c r="AG103" s="569"/>
      <c r="AH103" s="569"/>
      <c r="AI103" s="569"/>
      <c r="AJ103" s="569"/>
      <c r="AK103" s="569"/>
      <c r="AL103" s="569"/>
      <c r="AM103" s="569"/>
      <c r="AN103" s="569"/>
    </row>
    <row r="104" spans="1:40" ht="64.5" customHeight="1" x14ac:dyDescent="0.2">
      <c r="A104" s="8">
        <f>A95+1</f>
        <v>17</v>
      </c>
      <c r="B104" s="4" t="s">
        <v>104</v>
      </c>
      <c r="C104" s="4" t="s">
        <v>552</v>
      </c>
      <c r="D104" s="4" t="s">
        <v>4</v>
      </c>
      <c r="E104" s="38"/>
      <c r="F104" s="11">
        <v>9</v>
      </c>
      <c r="G104" s="11"/>
      <c r="H104" s="8">
        <f>H105+H106+H107+H108+H109+H110+H111+H112+H113</f>
        <v>0</v>
      </c>
      <c r="I104" s="569"/>
      <c r="J104" s="570"/>
      <c r="K104" s="569"/>
      <c r="L104" s="569"/>
      <c r="M104" s="569"/>
      <c r="N104" s="569"/>
      <c r="O104" s="569"/>
      <c r="P104" s="569"/>
      <c r="Q104" s="569"/>
      <c r="R104" s="569"/>
      <c r="S104" s="569"/>
      <c r="T104" s="569"/>
      <c r="U104" s="569"/>
      <c r="V104" s="569"/>
      <c r="W104" s="569"/>
      <c r="X104" s="569"/>
      <c r="Y104" s="569"/>
      <c r="Z104" s="569"/>
      <c r="AA104" s="569"/>
      <c r="AB104" s="569"/>
      <c r="AC104" s="569"/>
      <c r="AD104" s="569"/>
      <c r="AE104" s="569"/>
      <c r="AF104" s="569"/>
      <c r="AG104" s="569"/>
      <c r="AH104" s="569"/>
      <c r="AI104" s="569"/>
      <c r="AJ104" s="569"/>
      <c r="AK104" s="569"/>
      <c r="AL104" s="569"/>
      <c r="AM104" s="569"/>
      <c r="AN104" s="569"/>
    </row>
    <row r="105" spans="1:40" ht="22.5" customHeight="1" x14ac:dyDescent="0.2">
      <c r="A105" s="82">
        <f>A104+0.1</f>
        <v>17.100000000000001</v>
      </c>
      <c r="B105" s="190"/>
      <c r="C105" s="50" t="s">
        <v>92</v>
      </c>
      <c r="D105" s="191" t="s">
        <v>1</v>
      </c>
      <c r="E105" s="191">
        <v>0.81</v>
      </c>
      <c r="F105" s="605">
        <f>F104*E105</f>
        <v>7.29</v>
      </c>
      <c r="G105" s="615"/>
      <c r="H105" s="606">
        <f>G105*F105</f>
        <v>0</v>
      </c>
      <c r="I105" s="569"/>
      <c r="J105" s="570"/>
      <c r="K105" s="569"/>
      <c r="L105" s="569"/>
      <c r="M105" s="569"/>
      <c r="N105" s="569"/>
      <c r="O105" s="569"/>
      <c r="P105" s="569"/>
      <c r="Q105" s="569"/>
      <c r="R105" s="569"/>
      <c r="S105" s="569"/>
      <c r="T105" s="569"/>
      <c r="U105" s="569"/>
      <c r="V105" s="569"/>
      <c r="W105" s="569"/>
      <c r="X105" s="569"/>
      <c r="Y105" s="569"/>
      <c r="Z105" s="569"/>
      <c r="AA105" s="569"/>
      <c r="AB105" s="569"/>
      <c r="AC105" s="569"/>
      <c r="AD105" s="569"/>
      <c r="AE105" s="569"/>
      <c r="AF105" s="569"/>
      <c r="AG105" s="569"/>
      <c r="AH105" s="569"/>
      <c r="AI105" s="569"/>
      <c r="AJ105" s="569"/>
      <c r="AK105" s="569"/>
      <c r="AL105" s="569"/>
      <c r="AM105" s="569"/>
      <c r="AN105" s="569"/>
    </row>
    <row r="106" spans="1:40" ht="22.5" customHeight="1" x14ac:dyDescent="0.2">
      <c r="A106" s="82">
        <f t="shared" ref="A106:A113" si="15">A105+0.1</f>
        <v>17.2</v>
      </c>
      <c r="B106" s="190"/>
      <c r="C106" s="83" t="s">
        <v>2</v>
      </c>
      <c r="D106" s="199" t="s">
        <v>93</v>
      </c>
      <c r="E106" s="199">
        <f>0.035</f>
        <v>0.04</v>
      </c>
      <c r="F106" s="199">
        <f>F104*E106</f>
        <v>0.36</v>
      </c>
      <c r="G106" s="199"/>
      <c r="H106" s="616">
        <f>G106*F106</f>
        <v>0</v>
      </c>
      <c r="I106" s="569"/>
      <c r="J106" s="570"/>
      <c r="K106" s="569"/>
      <c r="L106" s="569"/>
      <c r="M106" s="569"/>
      <c r="N106" s="569"/>
      <c r="O106" s="569"/>
      <c r="P106" s="569"/>
      <c r="Q106" s="569"/>
      <c r="R106" s="569"/>
      <c r="S106" s="569"/>
      <c r="T106" s="569"/>
      <c r="U106" s="569"/>
      <c r="V106" s="569"/>
      <c r="W106" s="569"/>
      <c r="X106" s="569"/>
      <c r="Y106" s="569"/>
      <c r="Z106" s="569"/>
      <c r="AA106" s="569"/>
      <c r="AB106" s="569"/>
      <c r="AC106" s="569"/>
      <c r="AD106" s="569"/>
      <c r="AE106" s="569"/>
      <c r="AF106" s="569"/>
      <c r="AG106" s="569"/>
      <c r="AH106" s="569"/>
      <c r="AI106" s="569"/>
      <c r="AJ106" s="569"/>
      <c r="AK106" s="569"/>
      <c r="AL106" s="569"/>
      <c r="AM106" s="569"/>
      <c r="AN106" s="569"/>
    </row>
    <row r="107" spans="1:40" ht="22.5" customHeight="1" x14ac:dyDescent="0.2">
      <c r="A107" s="82">
        <f t="shared" si="15"/>
        <v>17.3</v>
      </c>
      <c r="B107" s="190"/>
      <c r="C107" s="190" t="s">
        <v>381</v>
      </c>
      <c r="D107" s="38" t="s">
        <v>4</v>
      </c>
      <c r="E107" s="38">
        <v>1.1200000000000001</v>
      </c>
      <c r="F107" s="43">
        <f>F104*E107</f>
        <v>10.08</v>
      </c>
      <c r="G107" s="38"/>
      <c r="H107" s="41">
        <f>G107*F107</f>
        <v>0</v>
      </c>
      <c r="I107" s="569"/>
      <c r="J107" s="570"/>
      <c r="K107" s="569"/>
      <c r="L107" s="569"/>
      <c r="M107" s="569"/>
      <c r="N107" s="569"/>
      <c r="O107" s="569"/>
      <c r="P107" s="569"/>
      <c r="Q107" s="569"/>
      <c r="R107" s="569"/>
      <c r="S107" s="569"/>
      <c r="T107" s="569"/>
      <c r="U107" s="569"/>
      <c r="V107" s="569"/>
      <c r="W107" s="569"/>
      <c r="X107" s="569"/>
      <c r="Y107" s="569"/>
      <c r="Z107" s="569"/>
      <c r="AA107" s="569"/>
      <c r="AB107" s="569"/>
      <c r="AC107" s="569"/>
      <c r="AD107" s="569"/>
      <c r="AE107" s="569"/>
      <c r="AF107" s="569"/>
      <c r="AG107" s="569"/>
      <c r="AH107" s="569"/>
      <c r="AI107" s="569"/>
      <c r="AJ107" s="569"/>
      <c r="AK107" s="569"/>
      <c r="AL107" s="569"/>
      <c r="AM107" s="569"/>
      <c r="AN107" s="569"/>
    </row>
    <row r="108" spans="1:40" ht="22.5" customHeight="1" x14ac:dyDescent="0.2">
      <c r="A108" s="82">
        <f t="shared" si="15"/>
        <v>17.399999999999999</v>
      </c>
      <c r="B108" s="190"/>
      <c r="C108" s="190" t="s">
        <v>32</v>
      </c>
      <c r="D108" s="38" t="s">
        <v>3</v>
      </c>
      <c r="E108" s="72">
        <f>1.19/100</f>
        <v>1.1900000000000001E-2</v>
      </c>
      <c r="F108" s="43">
        <f>F104*E108</f>
        <v>0.11</v>
      </c>
      <c r="G108" s="38"/>
      <c r="H108" s="41">
        <f>G108*F108</f>
        <v>0</v>
      </c>
      <c r="I108" s="569"/>
      <c r="J108" s="570"/>
      <c r="K108" s="569"/>
      <c r="L108" s="569"/>
      <c r="M108" s="569"/>
      <c r="N108" s="569"/>
      <c r="O108" s="569"/>
      <c r="P108" s="569"/>
      <c r="Q108" s="569"/>
      <c r="R108" s="569"/>
      <c r="S108" s="569"/>
      <c r="T108" s="569"/>
      <c r="U108" s="569"/>
      <c r="V108" s="569"/>
      <c r="W108" s="569"/>
      <c r="X108" s="569"/>
      <c r="Y108" s="569"/>
      <c r="Z108" s="569"/>
      <c r="AA108" s="569"/>
      <c r="AB108" s="569"/>
      <c r="AC108" s="569"/>
      <c r="AD108" s="569"/>
      <c r="AE108" s="569"/>
      <c r="AF108" s="569"/>
      <c r="AG108" s="569"/>
      <c r="AH108" s="569"/>
      <c r="AI108" s="569"/>
      <c r="AJ108" s="569"/>
      <c r="AK108" s="569"/>
      <c r="AL108" s="569"/>
      <c r="AM108" s="569"/>
      <c r="AN108" s="569"/>
    </row>
    <row r="109" spans="1:40" ht="22.5" customHeight="1" x14ac:dyDescent="0.2">
      <c r="A109" s="82"/>
      <c r="B109" s="190"/>
      <c r="C109" s="190"/>
      <c r="D109" s="38"/>
      <c r="E109" s="72"/>
      <c r="F109" s="38"/>
      <c r="G109" s="82"/>
      <c r="H109" s="41"/>
      <c r="I109" s="569"/>
      <c r="J109" s="570"/>
      <c r="K109" s="569"/>
      <c r="L109" s="569"/>
      <c r="M109" s="569"/>
      <c r="N109" s="569"/>
      <c r="O109" s="569"/>
      <c r="P109" s="569"/>
      <c r="Q109" s="569"/>
      <c r="R109" s="569"/>
      <c r="S109" s="569"/>
      <c r="T109" s="569"/>
      <c r="U109" s="569"/>
      <c r="V109" s="569"/>
      <c r="W109" s="569"/>
      <c r="X109" s="569"/>
      <c r="Y109" s="569"/>
      <c r="Z109" s="569"/>
      <c r="AA109" s="569"/>
      <c r="AB109" s="569"/>
      <c r="AC109" s="569"/>
      <c r="AD109" s="569"/>
      <c r="AE109" s="569"/>
      <c r="AF109" s="569"/>
      <c r="AG109" s="569"/>
      <c r="AH109" s="569"/>
      <c r="AI109" s="569"/>
      <c r="AJ109" s="569"/>
      <c r="AK109" s="569"/>
      <c r="AL109" s="569"/>
      <c r="AM109" s="569"/>
      <c r="AN109" s="569"/>
    </row>
    <row r="110" spans="1:40" ht="22.5" customHeight="1" x14ac:dyDescent="0.2">
      <c r="A110" s="82">
        <f>A108+0.1</f>
        <v>17.5</v>
      </c>
      <c r="B110" s="190"/>
      <c r="C110" s="190" t="s">
        <v>105</v>
      </c>
      <c r="D110" s="38" t="s">
        <v>61</v>
      </c>
      <c r="E110" s="38">
        <v>0.15</v>
      </c>
      <c r="F110" s="38">
        <f>F104*E110</f>
        <v>1.35</v>
      </c>
      <c r="G110" s="43"/>
      <c r="H110" s="41">
        <f>G110*F110</f>
        <v>0</v>
      </c>
      <c r="I110" s="569"/>
      <c r="J110" s="570"/>
      <c r="K110" s="569"/>
      <c r="L110" s="569"/>
      <c r="M110" s="569"/>
      <c r="N110" s="569"/>
      <c r="O110" s="569"/>
      <c r="P110" s="569"/>
      <c r="Q110" s="569"/>
      <c r="R110" s="569"/>
      <c r="S110" s="569"/>
      <c r="T110" s="569"/>
      <c r="U110" s="569"/>
      <c r="V110" s="569"/>
      <c r="W110" s="569"/>
      <c r="X110" s="569"/>
      <c r="Y110" s="569"/>
      <c r="Z110" s="569"/>
      <c r="AA110" s="569"/>
      <c r="AB110" s="569"/>
      <c r="AC110" s="569"/>
      <c r="AD110" s="569"/>
      <c r="AE110" s="569"/>
      <c r="AF110" s="569"/>
      <c r="AG110" s="569"/>
      <c r="AH110" s="569"/>
      <c r="AI110" s="569"/>
      <c r="AJ110" s="569"/>
      <c r="AK110" s="569"/>
      <c r="AL110" s="569"/>
      <c r="AM110" s="569"/>
      <c r="AN110" s="569"/>
    </row>
    <row r="111" spans="1:40" ht="22.5" customHeight="1" x14ac:dyDescent="0.2">
      <c r="A111" s="82">
        <f t="shared" si="15"/>
        <v>17.600000000000001</v>
      </c>
      <c r="B111" s="190"/>
      <c r="C111" s="190" t="s">
        <v>106</v>
      </c>
      <c r="D111" s="38" t="s">
        <v>65</v>
      </c>
      <c r="E111" s="38" t="s">
        <v>98</v>
      </c>
      <c r="F111" s="82">
        <f>F104*6</f>
        <v>54</v>
      </c>
      <c r="G111" s="38"/>
      <c r="H111" s="41">
        <f>G111*F111</f>
        <v>0</v>
      </c>
      <c r="I111" s="569"/>
      <c r="J111" s="570"/>
      <c r="K111" s="569"/>
      <c r="L111" s="569"/>
      <c r="M111" s="569"/>
      <c r="N111" s="569"/>
      <c r="O111" s="569"/>
      <c r="P111" s="569"/>
      <c r="Q111" s="569"/>
      <c r="R111" s="569"/>
      <c r="S111" s="569"/>
      <c r="T111" s="569"/>
      <c r="U111" s="569"/>
      <c r="V111" s="569"/>
      <c r="W111" s="569"/>
      <c r="X111" s="569"/>
      <c r="Y111" s="569"/>
      <c r="Z111" s="569"/>
      <c r="AA111" s="569"/>
      <c r="AB111" s="569"/>
      <c r="AC111" s="569"/>
      <c r="AD111" s="569"/>
      <c r="AE111" s="569"/>
      <c r="AF111" s="569"/>
      <c r="AG111" s="569"/>
      <c r="AH111" s="569"/>
      <c r="AI111" s="569"/>
      <c r="AJ111" s="569"/>
      <c r="AK111" s="569"/>
      <c r="AL111" s="569"/>
      <c r="AM111" s="569"/>
      <c r="AN111" s="569"/>
    </row>
    <row r="112" spans="1:40" ht="22.5" customHeight="1" x14ac:dyDescent="0.2">
      <c r="A112" s="82">
        <f t="shared" si="15"/>
        <v>17.7</v>
      </c>
      <c r="B112" s="190"/>
      <c r="C112" s="190"/>
      <c r="D112" s="38"/>
      <c r="E112" s="38"/>
      <c r="F112" s="82"/>
      <c r="G112" s="38"/>
      <c r="H112" s="41"/>
      <c r="I112" s="569"/>
      <c r="J112" s="570"/>
      <c r="K112" s="569"/>
      <c r="L112" s="569"/>
      <c r="M112" s="569"/>
      <c r="N112" s="569"/>
      <c r="O112" s="569"/>
      <c r="P112" s="569"/>
      <c r="Q112" s="569"/>
      <c r="R112" s="569"/>
      <c r="S112" s="569"/>
      <c r="T112" s="569"/>
      <c r="U112" s="569"/>
      <c r="V112" s="569"/>
      <c r="W112" s="569"/>
      <c r="X112" s="569"/>
      <c r="Y112" s="569"/>
      <c r="Z112" s="569"/>
      <c r="AA112" s="569"/>
      <c r="AB112" s="569"/>
      <c r="AC112" s="569"/>
      <c r="AD112" s="569"/>
      <c r="AE112" s="569"/>
      <c r="AF112" s="569"/>
      <c r="AG112" s="569"/>
      <c r="AH112" s="569"/>
      <c r="AI112" s="569"/>
      <c r="AJ112" s="569"/>
      <c r="AK112" s="569"/>
      <c r="AL112" s="569"/>
      <c r="AM112" s="569"/>
      <c r="AN112" s="569"/>
    </row>
    <row r="113" spans="1:40" ht="22.5" customHeight="1" x14ac:dyDescent="0.2">
      <c r="A113" s="82">
        <f t="shared" si="15"/>
        <v>17.8</v>
      </c>
      <c r="B113" s="190"/>
      <c r="C113" s="190" t="s">
        <v>8</v>
      </c>
      <c r="D113" s="38" t="s">
        <v>93</v>
      </c>
      <c r="E113" s="72">
        <f>8.16/100</f>
        <v>8.1600000000000006E-2</v>
      </c>
      <c r="F113" s="38">
        <f>F104*E113</f>
        <v>0.73</v>
      </c>
      <c r="G113" s="38"/>
      <c r="H113" s="41">
        <f>G113*F113</f>
        <v>0</v>
      </c>
      <c r="I113" s="569"/>
      <c r="J113" s="570"/>
      <c r="K113" s="569"/>
      <c r="L113" s="569"/>
      <c r="M113" s="569"/>
      <c r="N113" s="569"/>
      <c r="O113" s="569"/>
      <c r="P113" s="569"/>
      <c r="Q113" s="569"/>
      <c r="R113" s="569"/>
      <c r="S113" s="569"/>
      <c r="T113" s="569"/>
      <c r="U113" s="569"/>
      <c r="V113" s="569"/>
      <c r="W113" s="569"/>
      <c r="X113" s="569"/>
      <c r="Y113" s="569"/>
      <c r="Z113" s="569"/>
      <c r="AA113" s="569"/>
      <c r="AB113" s="569"/>
      <c r="AC113" s="569"/>
      <c r="AD113" s="569"/>
      <c r="AE113" s="569"/>
      <c r="AF113" s="569"/>
      <c r="AG113" s="569"/>
      <c r="AH113" s="569"/>
      <c r="AI113" s="569"/>
      <c r="AJ113" s="569"/>
      <c r="AK113" s="569"/>
      <c r="AL113" s="569"/>
      <c r="AM113" s="569"/>
      <c r="AN113" s="569"/>
    </row>
    <row r="114" spans="1:40" ht="15.75" customHeight="1" x14ac:dyDescent="0.2">
      <c r="A114" s="660" t="s">
        <v>200</v>
      </c>
      <c r="B114" s="660"/>
      <c r="C114" s="660"/>
      <c r="D114" s="660"/>
      <c r="E114" s="660"/>
      <c r="F114" s="660"/>
      <c r="G114" s="660"/>
      <c r="H114" s="660"/>
      <c r="I114" s="569"/>
      <c r="J114" s="570"/>
      <c r="K114" s="569"/>
      <c r="L114" s="569"/>
      <c r="M114" s="569"/>
      <c r="N114" s="569"/>
      <c r="O114" s="569"/>
      <c r="P114" s="569"/>
      <c r="Q114" s="569"/>
      <c r="R114" s="569"/>
      <c r="S114" s="569"/>
      <c r="T114" s="569"/>
      <c r="U114" s="569"/>
      <c r="V114" s="569"/>
      <c r="W114" s="569"/>
      <c r="X114" s="569"/>
      <c r="Y114" s="569"/>
      <c r="Z114" s="569"/>
      <c r="AA114" s="569"/>
      <c r="AB114" s="569"/>
      <c r="AC114" s="569"/>
      <c r="AD114" s="569"/>
      <c r="AE114" s="569"/>
      <c r="AF114" s="569"/>
      <c r="AG114" s="569"/>
      <c r="AH114" s="569"/>
      <c r="AI114" s="569"/>
      <c r="AJ114" s="569"/>
      <c r="AK114" s="569"/>
      <c r="AL114" s="569"/>
      <c r="AM114" s="569"/>
      <c r="AN114" s="569"/>
    </row>
    <row r="115" spans="1:40" ht="50.25" customHeight="1" x14ac:dyDescent="0.2">
      <c r="A115" s="8">
        <v>17</v>
      </c>
      <c r="B115" s="4" t="s">
        <v>181</v>
      </c>
      <c r="C115" s="4" t="s">
        <v>182</v>
      </c>
      <c r="D115" s="4" t="s">
        <v>87</v>
      </c>
      <c r="E115" s="4"/>
      <c r="F115" s="7">
        <v>1.3</v>
      </c>
      <c r="G115" s="7"/>
      <c r="H115" s="8">
        <f>SUM(H116:H122)</f>
        <v>0</v>
      </c>
      <c r="I115" s="569"/>
      <c r="J115" s="570"/>
      <c r="K115" s="569"/>
      <c r="L115" s="569"/>
      <c r="M115" s="569"/>
      <c r="N115" s="569"/>
      <c r="O115" s="569"/>
      <c r="P115" s="569"/>
      <c r="Q115" s="569"/>
      <c r="R115" s="569"/>
      <c r="S115" s="569"/>
      <c r="T115" s="569"/>
      <c r="U115" s="569"/>
      <c r="V115" s="569"/>
      <c r="W115" s="569"/>
      <c r="X115" s="569"/>
      <c r="Y115" s="569"/>
      <c r="Z115" s="569"/>
      <c r="AA115" s="569"/>
      <c r="AB115" s="569"/>
      <c r="AC115" s="569"/>
      <c r="AD115" s="569"/>
      <c r="AE115" s="569"/>
      <c r="AF115" s="569"/>
      <c r="AG115" s="569"/>
      <c r="AH115" s="569"/>
      <c r="AI115" s="569"/>
      <c r="AJ115" s="569"/>
      <c r="AK115" s="569"/>
      <c r="AL115" s="569"/>
      <c r="AM115" s="569"/>
      <c r="AN115" s="569"/>
    </row>
    <row r="116" spans="1:40" ht="18.75" customHeight="1" x14ac:dyDescent="0.2">
      <c r="A116" s="190">
        <f>A115+0.1</f>
        <v>17.100000000000001</v>
      </c>
      <c r="B116" s="190"/>
      <c r="C116" s="383" t="s">
        <v>92</v>
      </c>
      <c r="D116" s="383" t="s">
        <v>1</v>
      </c>
      <c r="E116" s="50">
        <v>13.5</v>
      </c>
      <c r="F116" s="605">
        <f>F115*E116</f>
        <v>17.55</v>
      </c>
      <c r="G116" s="605"/>
      <c r="H116" s="606">
        <f t="shared" ref="H116:H122" si="16">F116*G116</f>
        <v>0</v>
      </c>
      <c r="I116" s="569"/>
      <c r="J116" s="570"/>
      <c r="K116" s="569"/>
      <c r="L116" s="569"/>
      <c r="M116" s="569"/>
      <c r="N116" s="569"/>
      <c r="O116" s="569"/>
      <c r="P116" s="569"/>
      <c r="Q116" s="569"/>
      <c r="R116" s="569"/>
      <c r="S116" s="569"/>
      <c r="T116" s="569"/>
      <c r="U116" s="569"/>
      <c r="V116" s="569"/>
      <c r="W116" s="569"/>
      <c r="X116" s="569"/>
      <c r="Y116" s="569"/>
      <c r="Z116" s="569"/>
      <c r="AA116" s="569"/>
      <c r="AB116" s="569"/>
      <c r="AC116" s="569"/>
      <c r="AD116" s="569"/>
      <c r="AE116" s="569"/>
      <c r="AF116" s="569"/>
      <c r="AG116" s="569"/>
      <c r="AH116" s="569"/>
      <c r="AI116" s="569"/>
      <c r="AJ116" s="569"/>
      <c r="AK116" s="569"/>
      <c r="AL116" s="569"/>
      <c r="AM116" s="569"/>
      <c r="AN116" s="569"/>
    </row>
    <row r="117" spans="1:40" ht="18.75" customHeight="1" x14ac:dyDescent="0.2">
      <c r="A117" s="190">
        <f t="shared" ref="A117:A122" si="17">A116+0.1</f>
        <v>17.2</v>
      </c>
      <c r="B117" s="190"/>
      <c r="C117" s="68" t="s">
        <v>28</v>
      </c>
      <c r="D117" s="68" t="s">
        <v>59</v>
      </c>
      <c r="E117" s="68">
        <v>1.1200000000000001</v>
      </c>
      <c r="F117" s="92">
        <f>F115*E117</f>
        <v>1.46</v>
      </c>
      <c r="G117" s="92"/>
      <c r="H117" s="70">
        <f t="shared" si="16"/>
        <v>0</v>
      </c>
      <c r="I117" s="569"/>
      <c r="J117" s="570"/>
      <c r="K117" s="569"/>
      <c r="L117" s="569"/>
      <c r="M117" s="569"/>
      <c r="N117" s="569"/>
      <c r="O117" s="569"/>
      <c r="P117" s="569"/>
      <c r="Q117" s="569"/>
      <c r="R117" s="569"/>
      <c r="S117" s="569"/>
      <c r="T117" s="569"/>
      <c r="U117" s="569"/>
      <c r="V117" s="569"/>
      <c r="W117" s="569"/>
      <c r="X117" s="569"/>
      <c r="Y117" s="569"/>
      <c r="Z117" s="569"/>
      <c r="AA117" s="569"/>
      <c r="AB117" s="569"/>
      <c r="AC117" s="569"/>
      <c r="AD117" s="569"/>
      <c r="AE117" s="569"/>
      <c r="AF117" s="569"/>
      <c r="AG117" s="569"/>
      <c r="AH117" s="569"/>
      <c r="AI117" s="569"/>
      <c r="AJ117" s="569"/>
      <c r="AK117" s="569"/>
      <c r="AL117" s="569"/>
      <c r="AM117" s="569"/>
      <c r="AN117" s="569"/>
    </row>
    <row r="118" spans="1:40" ht="18.75" customHeight="1" x14ac:dyDescent="0.2">
      <c r="A118" s="190">
        <v>17.3</v>
      </c>
      <c r="B118" s="190"/>
      <c r="C118" s="190" t="s">
        <v>111</v>
      </c>
      <c r="D118" s="190" t="s">
        <v>95</v>
      </c>
      <c r="E118" s="190">
        <v>1.0149999999999999</v>
      </c>
      <c r="F118" s="43">
        <f>E118*F115</f>
        <v>1.32</v>
      </c>
      <c r="G118" s="38"/>
      <c r="H118" s="41">
        <f t="shared" si="16"/>
        <v>0</v>
      </c>
      <c r="I118" s="569"/>
      <c r="J118" s="570"/>
      <c r="K118" s="569"/>
      <c r="L118" s="569"/>
      <c r="M118" s="569"/>
      <c r="N118" s="569"/>
      <c r="O118" s="569"/>
      <c r="P118" s="569"/>
      <c r="Q118" s="569"/>
      <c r="R118" s="569"/>
      <c r="S118" s="569"/>
      <c r="T118" s="569"/>
      <c r="U118" s="569"/>
      <c r="V118" s="569"/>
      <c r="W118" s="569"/>
      <c r="X118" s="569"/>
      <c r="Y118" s="569"/>
      <c r="Z118" s="569"/>
      <c r="AA118" s="569"/>
      <c r="AB118" s="569"/>
      <c r="AC118" s="569"/>
      <c r="AD118" s="569"/>
      <c r="AE118" s="569"/>
      <c r="AF118" s="569"/>
      <c r="AG118" s="569"/>
      <c r="AH118" s="569"/>
      <c r="AI118" s="569"/>
      <c r="AJ118" s="569"/>
      <c r="AK118" s="569"/>
      <c r="AL118" s="569"/>
      <c r="AM118" s="569"/>
      <c r="AN118" s="569"/>
    </row>
    <row r="119" spans="1:40" ht="18.75" customHeight="1" x14ac:dyDescent="0.2">
      <c r="A119" s="190">
        <f t="shared" si="17"/>
        <v>17.399999999999999</v>
      </c>
      <c r="B119" s="190"/>
      <c r="C119" s="190" t="s">
        <v>133</v>
      </c>
      <c r="D119" s="190" t="s">
        <v>61</v>
      </c>
      <c r="E119" s="190" t="s">
        <v>98</v>
      </c>
      <c r="F119" s="190">
        <f>F115*120</f>
        <v>156</v>
      </c>
      <c r="G119" s="43"/>
      <c r="H119" s="41">
        <f t="shared" si="16"/>
        <v>0</v>
      </c>
      <c r="I119" s="569"/>
      <c r="J119" s="570"/>
      <c r="K119" s="569"/>
      <c r="L119" s="569"/>
      <c r="M119" s="569"/>
      <c r="N119" s="569"/>
      <c r="O119" s="569"/>
      <c r="P119" s="569"/>
      <c r="Q119" s="569"/>
      <c r="R119" s="569"/>
      <c r="S119" s="569"/>
      <c r="T119" s="569"/>
      <c r="U119" s="569"/>
      <c r="V119" s="569"/>
      <c r="W119" s="569"/>
      <c r="X119" s="569"/>
      <c r="Y119" s="569"/>
      <c r="Z119" s="569"/>
      <c r="AA119" s="569"/>
      <c r="AB119" s="569"/>
      <c r="AC119" s="569"/>
      <c r="AD119" s="569"/>
      <c r="AE119" s="569"/>
      <c r="AF119" s="569"/>
      <c r="AG119" s="569"/>
      <c r="AH119" s="569"/>
      <c r="AI119" s="569"/>
      <c r="AJ119" s="569"/>
      <c r="AK119" s="569"/>
      <c r="AL119" s="569"/>
      <c r="AM119" s="569"/>
      <c r="AN119" s="569"/>
    </row>
    <row r="120" spans="1:40" ht="18.75" customHeight="1" x14ac:dyDescent="0.2">
      <c r="A120" s="190">
        <f t="shared" si="17"/>
        <v>17.5</v>
      </c>
      <c r="B120" s="190"/>
      <c r="C120" s="190" t="s">
        <v>183</v>
      </c>
      <c r="D120" s="190" t="s">
        <v>135</v>
      </c>
      <c r="E120" s="190">
        <v>2.9</v>
      </c>
      <c r="F120" s="43">
        <f>E120*F115</f>
        <v>3.77</v>
      </c>
      <c r="G120" s="43"/>
      <c r="H120" s="41">
        <f t="shared" si="16"/>
        <v>0</v>
      </c>
      <c r="I120" s="569"/>
      <c r="J120" s="570"/>
      <c r="K120" s="569"/>
      <c r="L120" s="569"/>
      <c r="M120" s="569"/>
      <c r="N120" s="569"/>
      <c r="O120" s="569"/>
      <c r="P120" s="569"/>
      <c r="Q120" s="569"/>
      <c r="R120" s="569"/>
      <c r="S120" s="569"/>
      <c r="T120" s="569"/>
      <c r="U120" s="569"/>
      <c r="V120" s="569"/>
      <c r="W120" s="569"/>
      <c r="X120" s="569"/>
      <c r="Y120" s="569"/>
      <c r="Z120" s="569"/>
      <c r="AA120" s="569"/>
      <c r="AB120" s="569"/>
      <c r="AC120" s="569"/>
      <c r="AD120" s="569"/>
      <c r="AE120" s="569"/>
      <c r="AF120" s="569"/>
      <c r="AG120" s="569"/>
      <c r="AH120" s="569"/>
      <c r="AI120" s="569"/>
      <c r="AJ120" s="569"/>
      <c r="AK120" s="569"/>
      <c r="AL120" s="569"/>
      <c r="AM120" s="569"/>
      <c r="AN120" s="569"/>
    </row>
    <row r="121" spans="1:40" ht="18.75" customHeight="1" x14ac:dyDescent="0.2">
      <c r="A121" s="190">
        <f t="shared" si="17"/>
        <v>17.600000000000001</v>
      </c>
      <c r="B121" s="190"/>
      <c r="C121" s="190" t="s">
        <v>134</v>
      </c>
      <c r="D121" s="190" t="s">
        <v>95</v>
      </c>
      <c r="E121" s="190">
        <f>3.78/100</f>
        <v>3.78E-2</v>
      </c>
      <c r="F121" s="43">
        <f>E121*F115</f>
        <v>0.05</v>
      </c>
      <c r="G121" s="43"/>
      <c r="H121" s="41">
        <f t="shared" si="16"/>
        <v>0</v>
      </c>
      <c r="I121" s="569"/>
      <c r="J121" s="570"/>
      <c r="K121" s="569"/>
      <c r="L121" s="569"/>
      <c r="M121" s="569"/>
      <c r="N121" s="569"/>
      <c r="O121" s="569"/>
      <c r="P121" s="569"/>
      <c r="Q121" s="569"/>
      <c r="R121" s="569"/>
      <c r="S121" s="569"/>
      <c r="T121" s="569"/>
      <c r="U121" s="569"/>
      <c r="V121" s="569"/>
      <c r="W121" s="569"/>
      <c r="X121" s="569"/>
      <c r="Y121" s="569"/>
      <c r="Z121" s="569"/>
      <c r="AA121" s="569"/>
      <c r="AB121" s="569"/>
      <c r="AC121" s="569"/>
      <c r="AD121" s="569"/>
      <c r="AE121" s="569"/>
      <c r="AF121" s="569"/>
      <c r="AG121" s="569"/>
      <c r="AH121" s="569"/>
      <c r="AI121" s="569"/>
      <c r="AJ121" s="569"/>
      <c r="AK121" s="569"/>
      <c r="AL121" s="569"/>
      <c r="AM121" s="569"/>
      <c r="AN121" s="569"/>
    </row>
    <row r="122" spans="1:40" ht="18.75" customHeight="1" x14ac:dyDescent="0.2">
      <c r="A122" s="190">
        <f t="shared" si="17"/>
        <v>17.7</v>
      </c>
      <c r="B122" s="190"/>
      <c r="C122" s="190" t="s">
        <v>69</v>
      </c>
      <c r="D122" s="190" t="s">
        <v>67</v>
      </c>
      <c r="E122" s="190">
        <f>2.3/100</f>
        <v>2.3E-2</v>
      </c>
      <c r="F122" s="43">
        <f>E122*F115</f>
        <v>0.03</v>
      </c>
      <c r="G122" s="43"/>
      <c r="H122" s="41">
        <f t="shared" si="16"/>
        <v>0</v>
      </c>
      <c r="I122" s="569"/>
      <c r="J122" s="570"/>
      <c r="K122" s="569"/>
      <c r="L122" s="569"/>
      <c r="M122" s="569"/>
      <c r="N122" s="569"/>
      <c r="O122" s="569"/>
      <c r="P122" s="569"/>
      <c r="Q122" s="569"/>
      <c r="R122" s="569"/>
      <c r="S122" s="569"/>
      <c r="T122" s="569"/>
      <c r="U122" s="569"/>
      <c r="V122" s="569"/>
      <c r="W122" s="569"/>
      <c r="X122" s="569"/>
      <c r="Y122" s="569"/>
      <c r="Z122" s="569"/>
      <c r="AA122" s="569"/>
      <c r="AB122" s="569"/>
      <c r="AC122" s="569"/>
      <c r="AD122" s="569"/>
      <c r="AE122" s="569"/>
      <c r="AF122" s="569"/>
      <c r="AG122" s="569"/>
      <c r="AH122" s="569"/>
      <c r="AI122" s="569"/>
      <c r="AJ122" s="569"/>
      <c r="AK122" s="569"/>
      <c r="AL122" s="569"/>
      <c r="AM122" s="569"/>
      <c r="AN122" s="569"/>
    </row>
    <row r="123" spans="1:40" ht="50.25" customHeight="1" x14ac:dyDescent="0.2">
      <c r="A123" s="8">
        <v>18</v>
      </c>
      <c r="B123" s="4" t="s">
        <v>201</v>
      </c>
      <c r="C123" s="4" t="s">
        <v>366</v>
      </c>
      <c r="D123" s="4" t="s">
        <v>3</v>
      </c>
      <c r="E123" s="11"/>
      <c r="F123" s="11">
        <v>6</v>
      </c>
      <c r="G123" s="11"/>
      <c r="H123" s="8">
        <f>SUM(H124:H128)</f>
        <v>0</v>
      </c>
      <c r="I123" s="569"/>
      <c r="J123" s="570"/>
      <c r="K123" s="569"/>
      <c r="L123" s="569"/>
      <c r="M123" s="569"/>
      <c r="N123" s="569"/>
      <c r="O123" s="569"/>
      <c r="P123" s="569"/>
      <c r="Q123" s="569"/>
      <c r="R123" s="569"/>
      <c r="S123" s="569"/>
      <c r="T123" s="569"/>
      <c r="U123" s="569"/>
      <c r="V123" s="569"/>
      <c r="W123" s="569"/>
      <c r="X123" s="569"/>
      <c r="Y123" s="569"/>
      <c r="Z123" s="569"/>
      <c r="AA123" s="569"/>
      <c r="AB123" s="569"/>
      <c r="AC123" s="569"/>
      <c r="AD123" s="569"/>
      <c r="AE123" s="569"/>
      <c r="AF123" s="569"/>
      <c r="AG123" s="569"/>
      <c r="AH123" s="569"/>
      <c r="AI123" s="569"/>
      <c r="AJ123" s="569"/>
      <c r="AK123" s="569"/>
      <c r="AL123" s="569"/>
      <c r="AM123" s="569"/>
      <c r="AN123" s="569"/>
    </row>
    <row r="124" spans="1:40" ht="20.25" customHeight="1" x14ac:dyDescent="0.2">
      <c r="A124" s="82">
        <f>A123+0.1</f>
        <v>18.100000000000001</v>
      </c>
      <c r="B124" s="190"/>
      <c r="C124" s="50" t="s">
        <v>92</v>
      </c>
      <c r="D124" s="50" t="s">
        <v>1</v>
      </c>
      <c r="E124" s="191">
        <v>3.36</v>
      </c>
      <c r="F124" s="605">
        <f>F123*E124</f>
        <v>20.16</v>
      </c>
      <c r="G124" s="191"/>
      <c r="H124" s="606">
        <f>G124*F124</f>
        <v>0</v>
      </c>
      <c r="I124" s="569"/>
      <c r="J124" s="570"/>
      <c r="K124" s="569"/>
      <c r="L124" s="569"/>
      <c r="M124" s="569"/>
      <c r="N124" s="569"/>
      <c r="O124" s="569"/>
      <c r="P124" s="569"/>
      <c r="Q124" s="569"/>
      <c r="R124" s="569"/>
      <c r="S124" s="569"/>
      <c r="T124" s="569"/>
      <c r="U124" s="569"/>
      <c r="V124" s="569"/>
      <c r="W124" s="569"/>
      <c r="X124" s="569"/>
      <c r="Y124" s="569"/>
      <c r="Z124" s="569"/>
      <c r="AA124" s="569"/>
      <c r="AB124" s="569"/>
      <c r="AC124" s="569"/>
      <c r="AD124" s="569"/>
      <c r="AE124" s="569"/>
      <c r="AF124" s="569"/>
      <c r="AG124" s="569"/>
      <c r="AH124" s="569"/>
      <c r="AI124" s="569"/>
      <c r="AJ124" s="569"/>
      <c r="AK124" s="569"/>
      <c r="AL124" s="569"/>
      <c r="AM124" s="569"/>
      <c r="AN124" s="569"/>
    </row>
    <row r="125" spans="1:40" ht="20.25" customHeight="1" x14ac:dyDescent="0.2">
      <c r="A125" s="82">
        <f>A124+0.1</f>
        <v>18.2</v>
      </c>
      <c r="B125" s="190"/>
      <c r="C125" s="65" t="s">
        <v>2</v>
      </c>
      <c r="D125" s="65" t="s">
        <v>93</v>
      </c>
      <c r="E125" s="66">
        <f>0.92*1.15</f>
        <v>1.06</v>
      </c>
      <c r="F125" s="66">
        <f>F123*E125</f>
        <v>6.36</v>
      </c>
      <c r="G125" s="66"/>
      <c r="H125" s="67">
        <f>G125*F125</f>
        <v>0</v>
      </c>
      <c r="I125" s="569"/>
      <c r="J125" s="570"/>
      <c r="K125" s="569"/>
      <c r="L125" s="569"/>
      <c r="M125" s="569"/>
      <c r="N125" s="569"/>
      <c r="O125" s="569"/>
      <c r="P125" s="569"/>
      <c r="Q125" s="569"/>
      <c r="R125" s="569"/>
      <c r="S125" s="569"/>
      <c r="T125" s="569"/>
      <c r="U125" s="569"/>
      <c r="V125" s="569"/>
      <c r="W125" s="569"/>
      <c r="X125" s="569"/>
      <c r="Y125" s="569"/>
      <c r="Z125" s="569"/>
      <c r="AA125" s="569"/>
      <c r="AB125" s="569"/>
      <c r="AC125" s="569"/>
      <c r="AD125" s="569"/>
      <c r="AE125" s="569"/>
      <c r="AF125" s="569"/>
      <c r="AG125" s="569"/>
      <c r="AH125" s="569"/>
      <c r="AI125" s="569"/>
      <c r="AJ125" s="569"/>
      <c r="AK125" s="569"/>
      <c r="AL125" s="569"/>
      <c r="AM125" s="569"/>
      <c r="AN125" s="569"/>
    </row>
    <row r="126" spans="1:40" ht="20.25" customHeight="1" x14ac:dyDescent="0.2">
      <c r="A126" s="82">
        <f>A125+0.1</f>
        <v>18.3</v>
      </c>
      <c r="B126" s="190"/>
      <c r="C126" s="190" t="s">
        <v>202</v>
      </c>
      <c r="D126" s="190" t="s">
        <v>3</v>
      </c>
      <c r="E126" s="38">
        <v>0.11</v>
      </c>
      <c r="F126" s="38">
        <f>F123*E126</f>
        <v>0.66</v>
      </c>
      <c r="G126" s="38"/>
      <c r="H126" s="41">
        <f>G126*F126</f>
        <v>0</v>
      </c>
      <c r="I126" s="569"/>
      <c r="J126" s="570"/>
      <c r="K126" s="569"/>
      <c r="L126" s="569"/>
      <c r="M126" s="569"/>
      <c r="N126" s="569"/>
      <c r="O126" s="569"/>
      <c r="P126" s="569"/>
      <c r="Q126" s="569"/>
      <c r="R126" s="569"/>
      <c r="S126" s="569"/>
      <c r="T126" s="569"/>
      <c r="U126" s="569"/>
      <c r="V126" s="569"/>
      <c r="W126" s="569"/>
      <c r="X126" s="569"/>
      <c r="Y126" s="569"/>
      <c r="Z126" s="569"/>
      <c r="AA126" s="569"/>
      <c r="AB126" s="569"/>
      <c r="AC126" s="569"/>
      <c r="AD126" s="569"/>
      <c r="AE126" s="569"/>
      <c r="AF126" s="569"/>
      <c r="AG126" s="569"/>
      <c r="AH126" s="569"/>
      <c r="AI126" s="569"/>
      <c r="AJ126" s="569"/>
      <c r="AK126" s="569"/>
      <c r="AL126" s="569"/>
      <c r="AM126" s="569"/>
      <c r="AN126" s="569"/>
    </row>
    <row r="127" spans="1:40" ht="20.25" customHeight="1" x14ac:dyDescent="0.2">
      <c r="A127" s="82">
        <f>A126+0.1</f>
        <v>18.399999999999999</v>
      </c>
      <c r="B127" s="190"/>
      <c r="C127" s="190" t="s">
        <v>203</v>
      </c>
      <c r="D127" s="190" t="s">
        <v>65</v>
      </c>
      <c r="E127" s="43">
        <v>62.5</v>
      </c>
      <c r="F127" s="43">
        <f>F123*E127</f>
        <v>375</v>
      </c>
      <c r="G127" s="38"/>
      <c r="H127" s="41">
        <f>G127*F127</f>
        <v>0</v>
      </c>
      <c r="I127" s="569"/>
      <c r="J127" s="570"/>
      <c r="K127" s="569"/>
      <c r="L127" s="569"/>
      <c r="M127" s="569"/>
      <c r="N127" s="569"/>
      <c r="O127" s="569"/>
      <c r="P127" s="569"/>
      <c r="Q127" s="569"/>
      <c r="R127" s="569"/>
      <c r="S127" s="569"/>
      <c r="T127" s="569"/>
      <c r="U127" s="569"/>
      <c r="V127" s="569"/>
      <c r="W127" s="569"/>
      <c r="X127" s="569"/>
      <c r="Y127" s="569"/>
      <c r="Z127" s="569"/>
      <c r="AA127" s="569"/>
      <c r="AB127" s="569"/>
      <c r="AC127" s="569"/>
      <c r="AD127" s="569"/>
      <c r="AE127" s="569"/>
      <c r="AF127" s="569"/>
      <c r="AG127" s="569"/>
      <c r="AH127" s="569"/>
      <c r="AI127" s="569"/>
      <c r="AJ127" s="569"/>
      <c r="AK127" s="569"/>
      <c r="AL127" s="569"/>
      <c r="AM127" s="569"/>
      <c r="AN127" s="569"/>
    </row>
    <row r="128" spans="1:40" ht="20.25" customHeight="1" x14ac:dyDescent="0.2">
      <c r="A128" s="82">
        <f>A127+0.1</f>
        <v>18.5</v>
      </c>
      <c r="B128" s="190"/>
      <c r="C128" s="190" t="s">
        <v>8</v>
      </c>
      <c r="D128" s="190" t="s">
        <v>6</v>
      </c>
      <c r="E128" s="38">
        <v>0.16</v>
      </c>
      <c r="F128" s="38">
        <f>F123*E128</f>
        <v>0.96</v>
      </c>
      <c r="G128" s="38"/>
      <c r="H128" s="41">
        <f>G128*F128</f>
        <v>0</v>
      </c>
      <c r="I128" s="569"/>
      <c r="J128" s="570"/>
      <c r="K128" s="569"/>
      <c r="L128" s="569"/>
      <c r="M128" s="569"/>
      <c r="N128" s="569"/>
      <c r="O128" s="569"/>
      <c r="P128" s="569"/>
      <c r="Q128" s="569"/>
      <c r="R128" s="569"/>
      <c r="S128" s="569"/>
      <c r="T128" s="569"/>
      <c r="U128" s="569"/>
      <c r="V128" s="569"/>
      <c r="W128" s="569"/>
      <c r="X128" s="569"/>
      <c r="Y128" s="569"/>
      <c r="Z128" s="569"/>
      <c r="AA128" s="569"/>
      <c r="AB128" s="569"/>
      <c r="AC128" s="569"/>
      <c r="AD128" s="569"/>
      <c r="AE128" s="569"/>
      <c r="AF128" s="569"/>
      <c r="AG128" s="569"/>
      <c r="AH128" s="569"/>
      <c r="AI128" s="569"/>
      <c r="AJ128" s="569"/>
      <c r="AK128" s="569"/>
      <c r="AL128" s="569"/>
      <c r="AM128" s="569"/>
      <c r="AN128" s="569"/>
    </row>
    <row r="129" spans="1:40" ht="48.75" customHeight="1" x14ac:dyDescent="0.2">
      <c r="A129" s="8">
        <v>19</v>
      </c>
      <c r="B129" s="4" t="s">
        <v>201</v>
      </c>
      <c r="C129" s="4" t="s">
        <v>572</v>
      </c>
      <c r="D129" s="4" t="s">
        <v>3</v>
      </c>
      <c r="E129" s="11"/>
      <c r="F129" s="11">
        <v>18.2</v>
      </c>
      <c r="G129" s="11"/>
      <c r="H129" s="8">
        <f>SUM(H130:H134)</f>
        <v>0</v>
      </c>
      <c r="I129" s="569"/>
      <c r="J129" s="570"/>
      <c r="K129" s="569"/>
      <c r="L129" s="569"/>
      <c r="M129" s="569"/>
      <c r="N129" s="569"/>
      <c r="O129" s="569"/>
      <c r="P129" s="569"/>
      <c r="Q129" s="569"/>
      <c r="R129" s="569"/>
      <c r="S129" s="569"/>
      <c r="T129" s="569"/>
      <c r="U129" s="569"/>
      <c r="V129" s="569"/>
      <c r="W129" s="569"/>
      <c r="X129" s="569"/>
      <c r="Y129" s="569"/>
      <c r="Z129" s="569"/>
      <c r="AA129" s="569"/>
      <c r="AB129" s="569"/>
      <c r="AC129" s="569"/>
      <c r="AD129" s="569"/>
      <c r="AE129" s="569"/>
      <c r="AF129" s="569"/>
      <c r="AG129" s="569"/>
      <c r="AH129" s="569"/>
      <c r="AI129" s="569"/>
      <c r="AJ129" s="569"/>
      <c r="AK129" s="569"/>
      <c r="AL129" s="569"/>
      <c r="AM129" s="569"/>
      <c r="AN129" s="569"/>
    </row>
    <row r="130" spans="1:40" ht="20.25" customHeight="1" x14ac:dyDescent="0.2">
      <c r="A130" s="82">
        <f>A129+0.1</f>
        <v>19.100000000000001</v>
      </c>
      <c r="B130" s="190"/>
      <c r="C130" s="50" t="s">
        <v>92</v>
      </c>
      <c r="D130" s="50" t="s">
        <v>1</v>
      </c>
      <c r="E130" s="191">
        <v>3.36</v>
      </c>
      <c r="F130" s="605">
        <f>F129*E130</f>
        <v>61.15</v>
      </c>
      <c r="G130" s="191"/>
      <c r="H130" s="606">
        <f>G130*F130</f>
        <v>0</v>
      </c>
      <c r="I130" s="569"/>
      <c r="J130" s="570"/>
      <c r="K130" s="569"/>
      <c r="L130" s="569"/>
      <c r="M130" s="569"/>
      <c r="N130" s="569"/>
      <c r="O130" s="569"/>
      <c r="P130" s="569"/>
      <c r="Q130" s="569"/>
      <c r="R130" s="569"/>
      <c r="S130" s="569"/>
      <c r="T130" s="569"/>
      <c r="U130" s="569"/>
      <c r="V130" s="569"/>
      <c r="W130" s="569"/>
      <c r="X130" s="569"/>
      <c r="Y130" s="569"/>
      <c r="Z130" s="569"/>
      <c r="AA130" s="569"/>
      <c r="AB130" s="569"/>
      <c r="AC130" s="569"/>
      <c r="AD130" s="569"/>
      <c r="AE130" s="569"/>
      <c r="AF130" s="569"/>
      <c r="AG130" s="569"/>
      <c r="AH130" s="569"/>
      <c r="AI130" s="569"/>
      <c r="AJ130" s="569"/>
      <c r="AK130" s="569"/>
      <c r="AL130" s="569"/>
      <c r="AM130" s="569"/>
      <c r="AN130" s="569"/>
    </row>
    <row r="131" spans="1:40" ht="20.25" customHeight="1" x14ac:dyDescent="0.2">
      <c r="A131" s="82">
        <f>A130+0.1</f>
        <v>19.2</v>
      </c>
      <c r="B131" s="190"/>
      <c r="C131" s="65" t="s">
        <v>2</v>
      </c>
      <c r="D131" s="65" t="s">
        <v>93</v>
      </c>
      <c r="E131" s="66">
        <f>0.92*1.15</f>
        <v>1.06</v>
      </c>
      <c r="F131" s="66">
        <f>F129*E131</f>
        <v>19.29</v>
      </c>
      <c r="G131" s="66"/>
      <c r="H131" s="67">
        <f>G131*F131</f>
        <v>0</v>
      </c>
      <c r="I131" s="569"/>
      <c r="J131" s="570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569"/>
      <c r="AD131" s="569"/>
      <c r="AE131" s="569"/>
      <c r="AF131" s="569"/>
      <c r="AG131" s="569"/>
      <c r="AH131" s="569"/>
      <c r="AI131" s="569"/>
      <c r="AJ131" s="569"/>
      <c r="AK131" s="569"/>
      <c r="AL131" s="569"/>
      <c r="AM131" s="569"/>
      <c r="AN131" s="569"/>
    </row>
    <row r="132" spans="1:40" ht="20.25" customHeight="1" x14ac:dyDescent="0.2">
      <c r="A132" s="82">
        <f>A131+0.1</f>
        <v>19.3</v>
      </c>
      <c r="B132" s="190"/>
      <c r="C132" s="190" t="s">
        <v>202</v>
      </c>
      <c r="D132" s="190" t="s">
        <v>3</v>
      </c>
      <c r="E132" s="38">
        <v>0.11</v>
      </c>
      <c r="F132" s="38">
        <f>F129*E132</f>
        <v>2</v>
      </c>
      <c r="G132" s="38"/>
      <c r="H132" s="41">
        <f>G132*F132</f>
        <v>0</v>
      </c>
      <c r="I132" s="569"/>
      <c r="J132" s="570"/>
      <c r="K132" s="569"/>
      <c r="L132" s="569"/>
      <c r="M132" s="569"/>
      <c r="N132" s="569"/>
      <c r="O132" s="569"/>
      <c r="P132" s="569"/>
      <c r="Q132" s="569"/>
      <c r="R132" s="569"/>
      <c r="S132" s="569"/>
      <c r="T132" s="569"/>
      <c r="U132" s="569"/>
      <c r="V132" s="569"/>
      <c r="W132" s="569"/>
      <c r="X132" s="569"/>
      <c r="Y132" s="569"/>
      <c r="Z132" s="569"/>
      <c r="AA132" s="569"/>
      <c r="AB132" s="569"/>
      <c r="AC132" s="569"/>
      <c r="AD132" s="569"/>
      <c r="AE132" s="569"/>
      <c r="AF132" s="569"/>
      <c r="AG132" s="569"/>
      <c r="AH132" s="569"/>
      <c r="AI132" s="569"/>
      <c r="AJ132" s="569"/>
      <c r="AK132" s="569"/>
      <c r="AL132" s="569"/>
      <c r="AM132" s="569"/>
      <c r="AN132" s="569"/>
    </row>
    <row r="133" spans="1:40" ht="20.25" customHeight="1" x14ac:dyDescent="0.2">
      <c r="A133" s="82">
        <f>A132+0.1</f>
        <v>19.399999999999999</v>
      </c>
      <c r="B133" s="190"/>
      <c r="C133" s="190" t="s">
        <v>573</v>
      </c>
      <c r="D133" s="190" t="s">
        <v>65</v>
      </c>
      <c r="E133" s="43">
        <v>42</v>
      </c>
      <c r="F133" s="43">
        <f>F129*E133</f>
        <v>764.4</v>
      </c>
      <c r="G133" s="38"/>
      <c r="H133" s="41">
        <f>G133*F133</f>
        <v>0</v>
      </c>
      <c r="I133" s="569"/>
      <c r="J133" s="570"/>
      <c r="K133" s="569"/>
      <c r="L133" s="569"/>
      <c r="M133" s="569"/>
      <c r="N133" s="569"/>
      <c r="O133" s="569"/>
      <c r="P133" s="569"/>
      <c r="Q133" s="569"/>
      <c r="R133" s="569"/>
      <c r="S133" s="569"/>
      <c r="T133" s="569"/>
      <c r="U133" s="569"/>
      <c r="V133" s="569"/>
      <c r="W133" s="569"/>
      <c r="X133" s="569"/>
      <c r="Y133" s="569"/>
      <c r="Z133" s="569"/>
      <c r="AA133" s="569"/>
      <c r="AB133" s="569"/>
      <c r="AC133" s="569"/>
      <c r="AD133" s="569"/>
      <c r="AE133" s="569"/>
      <c r="AF133" s="569"/>
      <c r="AG133" s="569"/>
      <c r="AH133" s="569"/>
      <c r="AI133" s="569"/>
      <c r="AJ133" s="569"/>
      <c r="AK133" s="569"/>
      <c r="AL133" s="569"/>
      <c r="AM133" s="569"/>
      <c r="AN133" s="569"/>
    </row>
    <row r="134" spans="1:40" ht="20.25" customHeight="1" x14ac:dyDescent="0.2">
      <c r="A134" s="82">
        <f>A133+0.1</f>
        <v>19.5</v>
      </c>
      <c r="B134" s="190"/>
      <c r="C134" s="190" t="s">
        <v>8</v>
      </c>
      <c r="D134" s="190" t="s">
        <v>6</v>
      </c>
      <c r="E134" s="38">
        <v>0.16</v>
      </c>
      <c r="F134" s="38">
        <f>F129*E134</f>
        <v>2.91</v>
      </c>
      <c r="G134" s="38"/>
      <c r="H134" s="41">
        <f>G134*F134</f>
        <v>0</v>
      </c>
      <c r="I134" s="569"/>
      <c r="J134" s="570"/>
      <c r="K134" s="569"/>
      <c r="L134" s="569"/>
      <c r="M134" s="569"/>
      <c r="N134" s="569"/>
      <c r="O134" s="569"/>
      <c r="P134" s="569"/>
      <c r="Q134" s="569"/>
      <c r="R134" s="569"/>
      <c r="S134" s="569"/>
      <c r="T134" s="569"/>
      <c r="U134" s="569"/>
      <c r="V134" s="569"/>
      <c r="W134" s="569"/>
      <c r="X134" s="569"/>
      <c r="Y134" s="569"/>
      <c r="Z134" s="569"/>
      <c r="AA134" s="569"/>
      <c r="AB134" s="569"/>
      <c r="AC134" s="569"/>
      <c r="AD134" s="569"/>
      <c r="AE134" s="569"/>
      <c r="AF134" s="569"/>
      <c r="AG134" s="569"/>
      <c r="AH134" s="569"/>
      <c r="AI134" s="569"/>
      <c r="AJ134" s="569"/>
      <c r="AK134" s="569"/>
      <c r="AL134" s="569"/>
      <c r="AM134" s="569"/>
      <c r="AN134" s="569"/>
    </row>
    <row r="135" spans="1:40" ht="50.25" customHeight="1" x14ac:dyDescent="0.2">
      <c r="A135" s="8">
        <v>20</v>
      </c>
      <c r="B135" s="4" t="s">
        <v>201</v>
      </c>
      <c r="C135" s="4" t="s">
        <v>204</v>
      </c>
      <c r="D135" s="4" t="s">
        <v>3</v>
      </c>
      <c r="E135" s="11"/>
      <c r="F135" s="11">
        <v>3</v>
      </c>
      <c r="G135" s="11"/>
      <c r="H135" s="8">
        <f>SUM(H136:H140)</f>
        <v>0</v>
      </c>
      <c r="I135" s="569"/>
      <c r="J135" s="570"/>
      <c r="K135" s="569"/>
      <c r="L135" s="569"/>
      <c r="M135" s="569"/>
      <c r="N135" s="569"/>
      <c r="O135" s="569"/>
      <c r="P135" s="569"/>
      <c r="Q135" s="569"/>
      <c r="R135" s="569"/>
      <c r="S135" s="569"/>
      <c r="T135" s="569"/>
      <c r="U135" s="569"/>
      <c r="V135" s="569"/>
      <c r="W135" s="569"/>
      <c r="X135" s="569"/>
      <c r="Y135" s="569"/>
      <c r="Z135" s="569"/>
      <c r="AA135" s="569"/>
      <c r="AB135" s="569"/>
      <c r="AC135" s="569"/>
      <c r="AD135" s="569"/>
      <c r="AE135" s="569"/>
      <c r="AF135" s="569"/>
      <c r="AG135" s="569"/>
      <c r="AH135" s="569"/>
      <c r="AI135" s="569"/>
      <c r="AJ135" s="569"/>
      <c r="AK135" s="569"/>
      <c r="AL135" s="569"/>
      <c r="AM135" s="569"/>
      <c r="AN135" s="569"/>
    </row>
    <row r="136" spans="1:40" ht="21" customHeight="1" x14ac:dyDescent="0.2">
      <c r="A136" s="82">
        <f>A135+0.1</f>
        <v>20.100000000000001</v>
      </c>
      <c r="B136" s="190"/>
      <c r="C136" s="50" t="s">
        <v>92</v>
      </c>
      <c r="D136" s="50" t="s">
        <v>1</v>
      </c>
      <c r="E136" s="191">
        <v>3.36</v>
      </c>
      <c r="F136" s="605">
        <f>F135*E136</f>
        <v>10.08</v>
      </c>
      <c r="G136" s="191"/>
      <c r="H136" s="606">
        <f>G136*F136</f>
        <v>0</v>
      </c>
      <c r="I136" s="569"/>
      <c r="J136" s="570"/>
      <c r="K136" s="569"/>
      <c r="L136" s="569"/>
      <c r="M136" s="569"/>
      <c r="N136" s="569"/>
      <c r="O136" s="569"/>
      <c r="P136" s="569"/>
      <c r="Q136" s="569"/>
      <c r="R136" s="569"/>
      <c r="S136" s="569"/>
      <c r="T136" s="569"/>
      <c r="U136" s="569"/>
      <c r="V136" s="569"/>
      <c r="W136" s="569"/>
      <c r="X136" s="569"/>
      <c r="Y136" s="569"/>
      <c r="Z136" s="569"/>
      <c r="AA136" s="569"/>
      <c r="AB136" s="569"/>
      <c r="AC136" s="569"/>
      <c r="AD136" s="569"/>
      <c r="AE136" s="569"/>
      <c r="AF136" s="569"/>
      <c r="AG136" s="569"/>
      <c r="AH136" s="569"/>
      <c r="AI136" s="569"/>
      <c r="AJ136" s="569"/>
      <c r="AK136" s="569"/>
      <c r="AL136" s="569"/>
      <c r="AM136" s="569"/>
      <c r="AN136" s="569"/>
    </row>
    <row r="137" spans="1:40" ht="21" customHeight="1" x14ac:dyDescent="0.2">
      <c r="A137" s="82">
        <f>A136+0.1</f>
        <v>20.2</v>
      </c>
      <c r="B137" s="190"/>
      <c r="C137" s="65" t="s">
        <v>2</v>
      </c>
      <c r="D137" s="65" t="s">
        <v>93</v>
      </c>
      <c r="E137" s="66">
        <f>0.92*1.15</f>
        <v>1.06</v>
      </c>
      <c r="F137" s="66">
        <f>F135*E137</f>
        <v>3.18</v>
      </c>
      <c r="G137" s="66"/>
      <c r="H137" s="67">
        <f>G137*F137</f>
        <v>0</v>
      </c>
      <c r="I137" s="569"/>
      <c r="J137" s="570"/>
      <c r="K137" s="569"/>
      <c r="L137" s="569"/>
      <c r="M137" s="569"/>
      <c r="N137" s="569"/>
      <c r="O137" s="569"/>
      <c r="P137" s="569"/>
      <c r="Q137" s="569"/>
      <c r="R137" s="569"/>
      <c r="S137" s="569"/>
      <c r="T137" s="569"/>
      <c r="U137" s="569"/>
      <c r="V137" s="569"/>
      <c r="W137" s="569"/>
      <c r="X137" s="569"/>
      <c r="Y137" s="569"/>
      <c r="Z137" s="569"/>
      <c r="AA137" s="569"/>
      <c r="AB137" s="569"/>
      <c r="AC137" s="569"/>
      <c r="AD137" s="569"/>
      <c r="AE137" s="569"/>
      <c r="AF137" s="569"/>
      <c r="AG137" s="569"/>
      <c r="AH137" s="569"/>
      <c r="AI137" s="569"/>
      <c r="AJ137" s="569"/>
      <c r="AK137" s="569"/>
      <c r="AL137" s="569"/>
      <c r="AM137" s="569"/>
      <c r="AN137" s="569"/>
    </row>
    <row r="138" spans="1:40" ht="21" customHeight="1" x14ac:dyDescent="0.2">
      <c r="A138" s="82">
        <f>A137+0.1</f>
        <v>20.3</v>
      </c>
      <c r="B138" s="190"/>
      <c r="C138" s="190" t="s">
        <v>202</v>
      </c>
      <c r="D138" s="190" t="s">
        <v>3</v>
      </c>
      <c r="E138" s="38">
        <v>0.11</v>
      </c>
      <c r="F138" s="38">
        <f>F135*E138</f>
        <v>0.33</v>
      </c>
      <c r="G138" s="38"/>
      <c r="H138" s="41">
        <f>G138*F138</f>
        <v>0</v>
      </c>
      <c r="I138" s="569"/>
      <c r="J138" s="570"/>
      <c r="K138" s="569"/>
      <c r="L138" s="569"/>
      <c r="M138" s="569"/>
      <c r="N138" s="569"/>
      <c r="O138" s="569"/>
      <c r="P138" s="569"/>
      <c r="Q138" s="569"/>
      <c r="R138" s="569"/>
      <c r="S138" s="569"/>
      <c r="T138" s="569"/>
      <c r="U138" s="569"/>
      <c r="V138" s="569"/>
      <c r="W138" s="569"/>
      <c r="X138" s="569"/>
      <c r="Y138" s="569"/>
      <c r="Z138" s="569"/>
      <c r="AA138" s="569"/>
      <c r="AB138" s="569"/>
      <c r="AC138" s="569"/>
      <c r="AD138" s="569"/>
      <c r="AE138" s="569"/>
      <c r="AF138" s="569"/>
      <c r="AG138" s="569"/>
      <c r="AH138" s="569"/>
      <c r="AI138" s="569"/>
      <c r="AJ138" s="569"/>
      <c r="AK138" s="569"/>
      <c r="AL138" s="569"/>
      <c r="AM138" s="569"/>
      <c r="AN138" s="569"/>
    </row>
    <row r="139" spans="1:40" ht="21" customHeight="1" x14ac:dyDescent="0.2">
      <c r="A139" s="82">
        <f>A138+0.1</f>
        <v>20.399999999999999</v>
      </c>
      <c r="B139" s="190"/>
      <c r="C139" s="190" t="s">
        <v>205</v>
      </c>
      <c r="D139" s="190" t="s">
        <v>65</v>
      </c>
      <c r="E139" s="43">
        <v>125</v>
      </c>
      <c r="F139" s="43">
        <f>F135*E139</f>
        <v>375</v>
      </c>
      <c r="G139" s="38"/>
      <c r="H139" s="41">
        <f>G139*F139</f>
        <v>0</v>
      </c>
      <c r="I139" s="569"/>
      <c r="J139" s="570"/>
      <c r="K139" s="569"/>
      <c r="L139" s="569"/>
      <c r="M139" s="569"/>
      <c r="N139" s="569"/>
      <c r="O139" s="569"/>
      <c r="P139" s="569"/>
      <c r="Q139" s="569"/>
      <c r="R139" s="569"/>
      <c r="S139" s="569"/>
      <c r="T139" s="569"/>
      <c r="U139" s="569"/>
      <c r="V139" s="569"/>
      <c r="W139" s="569"/>
      <c r="X139" s="569"/>
      <c r="Y139" s="569"/>
      <c r="Z139" s="569"/>
      <c r="AA139" s="569"/>
      <c r="AB139" s="569"/>
      <c r="AC139" s="569"/>
      <c r="AD139" s="569"/>
      <c r="AE139" s="569"/>
      <c r="AF139" s="569"/>
      <c r="AG139" s="569"/>
      <c r="AH139" s="569"/>
      <c r="AI139" s="569"/>
      <c r="AJ139" s="569"/>
      <c r="AK139" s="569"/>
      <c r="AL139" s="569"/>
      <c r="AM139" s="569"/>
      <c r="AN139" s="569"/>
    </row>
    <row r="140" spans="1:40" ht="21" customHeight="1" x14ac:dyDescent="0.2">
      <c r="A140" s="82">
        <f>A139+0.1</f>
        <v>20.5</v>
      </c>
      <c r="B140" s="190"/>
      <c r="C140" s="190" t="s">
        <v>8</v>
      </c>
      <c r="D140" s="190" t="s">
        <v>6</v>
      </c>
      <c r="E140" s="38">
        <v>0.16</v>
      </c>
      <c r="F140" s="38">
        <f>F135*E140</f>
        <v>0.48</v>
      </c>
      <c r="G140" s="38"/>
      <c r="H140" s="41">
        <f>G140*F140</f>
        <v>0</v>
      </c>
      <c r="I140" s="569"/>
      <c r="J140" s="570"/>
      <c r="K140" s="569"/>
      <c r="L140" s="569"/>
      <c r="M140" s="569"/>
      <c r="N140" s="569"/>
      <c r="O140" s="569"/>
      <c r="P140" s="569"/>
      <c r="Q140" s="569"/>
      <c r="R140" s="569"/>
      <c r="S140" s="569"/>
      <c r="T140" s="569"/>
      <c r="U140" s="569"/>
      <c r="V140" s="569"/>
      <c r="W140" s="569"/>
      <c r="X140" s="569"/>
      <c r="Y140" s="569"/>
      <c r="Z140" s="569"/>
      <c r="AA140" s="569"/>
      <c r="AB140" s="569"/>
      <c r="AC140" s="569"/>
      <c r="AD140" s="569"/>
      <c r="AE140" s="569"/>
      <c r="AF140" s="569"/>
      <c r="AG140" s="569"/>
      <c r="AH140" s="569"/>
      <c r="AI140" s="569"/>
      <c r="AJ140" s="569"/>
      <c r="AK140" s="569"/>
      <c r="AL140" s="569"/>
      <c r="AM140" s="569"/>
      <c r="AN140" s="569"/>
    </row>
    <row r="141" spans="1:40" ht="16.5" customHeight="1" x14ac:dyDescent="0.2">
      <c r="A141" s="656" t="s">
        <v>108</v>
      </c>
      <c r="B141" s="656"/>
      <c r="C141" s="656"/>
      <c r="D141" s="656"/>
      <c r="E141" s="656"/>
      <c r="F141" s="656"/>
      <c r="G141" s="656"/>
      <c r="H141" s="656"/>
      <c r="I141" s="569"/>
      <c r="J141" s="570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69"/>
      <c r="Y141" s="569"/>
      <c r="Z141" s="569"/>
      <c r="AA141" s="569"/>
      <c r="AB141" s="569"/>
      <c r="AC141" s="569"/>
      <c r="AD141" s="569"/>
      <c r="AE141" s="569"/>
      <c r="AF141" s="569"/>
      <c r="AG141" s="569"/>
      <c r="AH141" s="569"/>
      <c r="AI141" s="569"/>
      <c r="AJ141" s="569"/>
      <c r="AK141" s="569"/>
      <c r="AL141" s="569"/>
      <c r="AM141" s="569"/>
      <c r="AN141" s="569"/>
    </row>
    <row r="142" spans="1:40" ht="102.75" customHeight="1" x14ac:dyDescent="0.2">
      <c r="A142" s="553">
        <f>A135+1</f>
        <v>21</v>
      </c>
      <c r="B142" s="540" t="s">
        <v>37</v>
      </c>
      <c r="C142" s="540" t="s">
        <v>365</v>
      </c>
      <c r="D142" s="617" t="s">
        <v>4</v>
      </c>
      <c r="E142" s="617"/>
      <c r="F142" s="617">
        <f>19.8+2.1</f>
        <v>21.9</v>
      </c>
      <c r="G142" s="617"/>
      <c r="H142" s="553">
        <f t="shared" ref="H142" si="18">G142*F142</f>
        <v>0</v>
      </c>
      <c r="I142" s="569"/>
      <c r="J142" s="571"/>
      <c r="K142" s="569"/>
      <c r="L142" s="574"/>
      <c r="M142" s="569"/>
      <c r="N142" s="569"/>
      <c r="O142" s="569"/>
      <c r="P142" s="569"/>
      <c r="Q142" s="569"/>
      <c r="R142" s="569"/>
      <c r="S142" s="569"/>
      <c r="T142" s="569"/>
      <c r="U142" s="569"/>
      <c r="V142" s="569"/>
      <c r="W142" s="569"/>
      <c r="X142" s="569"/>
      <c r="Y142" s="569"/>
      <c r="Z142" s="569"/>
      <c r="AA142" s="569"/>
      <c r="AB142" s="569"/>
      <c r="AC142" s="569"/>
      <c r="AD142" s="569"/>
      <c r="AE142" s="569"/>
      <c r="AF142" s="569"/>
      <c r="AG142" s="569"/>
      <c r="AH142" s="569"/>
      <c r="AI142" s="569"/>
      <c r="AJ142" s="569"/>
      <c r="AK142" s="569"/>
      <c r="AL142" s="569"/>
      <c r="AM142" s="569"/>
      <c r="AN142" s="569"/>
    </row>
    <row r="143" spans="1:40" ht="13.5" x14ac:dyDescent="0.2">
      <c r="A143" s="658" t="s">
        <v>109</v>
      </c>
      <c r="B143" s="658"/>
      <c r="C143" s="658"/>
      <c r="D143" s="658"/>
      <c r="E143" s="658"/>
      <c r="F143" s="658"/>
      <c r="G143" s="658"/>
      <c r="H143" s="658"/>
      <c r="I143" s="569"/>
      <c r="J143" s="570"/>
      <c r="K143" s="569"/>
      <c r="L143" s="569"/>
      <c r="M143" s="569"/>
      <c r="N143" s="569"/>
      <c r="O143" s="569"/>
      <c r="P143" s="569"/>
      <c r="Q143" s="569"/>
      <c r="R143" s="569"/>
      <c r="S143" s="569"/>
      <c r="T143" s="569"/>
      <c r="U143" s="569"/>
      <c r="V143" s="569"/>
      <c r="W143" s="569"/>
      <c r="X143" s="569"/>
      <c r="Y143" s="569"/>
      <c r="Z143" s="569"/>
      <c r="AA143" s="569"/>
      <c r="AB143" s="569"/>
      <c r="AC143" s="569"/>
      <c r="AD143" s="569"/>
      <c r="AE143" s="569"/>
      <c r="AF143" s="569"/>
      <c r="AG143" s="569"/>
      <c r="AH143" s="569"/>
      <c r="AI143" s="569"/>
      <c r="AJ143" s="569"/>
      <c r="AK143" s="569"/>
      <c r="AL143" s="569"/>
      <c r="AM143" s="569"/>
      <c r="AN143" s="569"/>
    </row>
    <row r="144" spans="1:40" ht="52.5" customHeight="1" x14ac:dyDescent="0.2">
      <c r="A144" s="553">
        <f>A142+1</f>
        <v>22</v>
      </c>
      <c r="B144" s="618" t="s">
        <v>189</v>
      </c>
      <c r="C144" s="540" t="s">
        <v>190</v>
      </c>
      <c r="D144" s="540" t="s">
        <v>3</v>
      </c>
      <c r="E144" s="617"/>
      <c r="F144" s="617">
        <v>11.4</v>
      </c>
      <c r="G144" s="617"/>
      <c r="H144" s="553">
        <f>H148+H147+H146+H145</f>
        <v>0</v>
      </c>
      <c r="I144" s="569"/>
      <c r="J144" s="569"/>
      <c r="K144" s="569"/>
      <c r="L144" s="569"/>
      <c r="M144" s="569"/>
      <c r="N144" s="569"/>
      <c r="O144" s="569"/>
      <c r="P144" s="569"/>
      <c r="Q144" s="569"/>
      <c r="R144" s="569"/>
      <c r="S144" s="569"/>
      <c r="T144" s="569"/>
      <c r="U144" s="569"/>
      <c r="V144" s="569"/>
      <c r="W144" s="569"/>
      <c r="X144" s="569"/>
      <c r="Y144" s="569"/>
      <c r="Z144" s="569"/>
      <c r="AA144" s="569"/>
      <c r="AB144" s="569"/>
      <c r="AC144" s="569"/>
      <c r="AD144" s="569"/>
      <c r="AE144" s="569"/>
      <c r="AF144" s="569"/>
      <c r="AG144" s="569"/>
      <c r="AH144" s="569"/>
      <c r="AI144" s="569"/>
      <c r="AJ144" s="569"/>
      <c r="AK144" s="569"/>
      <c r="AL144" s="569"/>
      <c r="AM144" s="569"/>
      <c r="AN144" s="569"/>
    </row>
    <row r="145" spans="1:40" ht="18.75" customHeight="1" x14ac:dyDescent="0.2">
      <c r="A145" s="518">
        <f>A144+0.1</f>
        <v>22.1</v>
      </c>
      <c r="B145" s="520"/>
      <c r="C145" s="619" t="s">
        <v>92</v>
      </c>
      <c r="D145" s="620" t="s">
        <v>1</v>
      </c>
      <c r="E145" s="619">
        <v>3.52</v>
      </c>
      <c r="F145" s="619">
        <f>F144*E145</f>
        <v>40.128</v>
      </c>
      <c r="G145" s="620"/>
      <c r="H145" s="546">
        <f>G145*F145</f>
        <v>0</v>
      </c>
      <c r="I145" s="569"/>
      <c r="J145" s="569"/>
      <c r="K145" s="569"/>
      <c r="L145" s="569"/>
      <c r="M145" s="569"/>
      <c r="N145" s="569"/>
      <c r="O145" s="569"/>
      <c r="P145" s="569"/>
      <c r="Q145" s="569"/>
      <c r="R145" s="569"/>
      <c r="S145" s="569"/>
      <c r="T145" s="569"/>
      <c r="U145" s="569"/>
      <c r="V145" s="569"/>
      <c r="W145" s="569"/>
      <c r="X145" s="569"/>
      <c r="Y145" s="569"/>
      <c r="Z145" s="569"/>
      <c r="AA145" s="569"/>
      <c r="AB145" s="569"/>
      <c r="AC145" s="569"/>
      <c r="AD145" s="569"/>
      <c r="AE145" s="569"/>
      <c r="AF145" s="569"/>
      <c r="AG145" s="569"/>
      <c r="AH145" s="569"/>
      <c r="AI145" s="569"/>
      <c r="AJ145" s="569"/>
      <c r="AK145" s="569"/>
      <c r="AL145" s="569"/>
      <c r="AM145" s="569"/>
      <c r="AN145" s="569"/>
    </row>
    <row r="146" spans="1:40" ht="18.75" customHeight="1" x14ac:dyDescent="0.2">
      <c r="A146" s="518">
        <f>A145+0.1</f>
        <v>22.2</v>
      </c>
      <c r="B146" s="520"/>
      <c r="C146" s="521" t="s">
        <v>2</v>
      </c>
      <c r="D146" s="522" t="s">
        <v>93</v>
      </c>
      <c r="E146" s="521">
        <v>1.06</v>
      </c>
      <c r="F146" s="523">
        <f>F144*E146</f>
        <v>12.08</v>
      </c>
      <c r="G146" s="521"/>
      <c r="H146" s="524">
        <f>G146*F146</f>
        <v>0</v>
      </c>
      <c r="I146" s="569"/>
      <c r="J146" s="569"/>
      <c r="K146" s="569"/>
      <c r="L146" s="569"/>
      <c r="M146" s="569"/>
      <c r="N146" s="569"/>
      <c r="O146" s="569"/>
      <c r="P146" s="569"/>
      <c r="Q146" s="569"/>
      <c r="R146" s="569"/>
      <c r="S146" s="569"/>
      <c r="T146" s="569"/>
      <c r="U146" s="569"/>
      <c r="V146" s="569"/>
      <c r="W146" s="569"/>
      <c r="X146" s="569"/>
      <c r="Y146" s="569"/>
      <c r="Z146" s="569"/>
      <c r="AA146" s="569"/>
      <c r="AB146" s="569"/>
      <c r="AC146" s="569"/>
      <c r="AD146" s="569"/>
      <c r="AE146" s="569"/>
      <c r="AF146" s="569"/>
      <c r="AG146" s="569"/>
      <c r="AH146" s="569"/>
      <c r="AI146" s="569"/>
      <c r="AJ146" s="569"/>
      <c r="AK146" s="569"/>
      <c r="AL146" s="569"/>
      <c r="AM146" s="569"/>
      <c r="AN146" s="569"/>
    </row>
    <row r="147" spans="1:40" ht="18.75" customHeight="1" x14ac:dyDescent="0.2">
      <c r="A147" s="518">
        <f>A146+0.1</f>
        <v>22.3</v>
      </c>
      <c r="B147" s="520"/>
      <c r="C147" s="516" t="s">
        <v>66</v>
      </c>
      <c r="D147" s="516" t="s">
        <v>3</v>
      </c>
      <c r="E147" s="516">
        <f>0.97+0.09+0.18</f>
        <v>1.24</v>
      </c>
      <c r="F147" s="516">
        <f>F144*E147</f>
        <v>14.135999999999999</v>
      </c>
      <c r="G147" s="516"/>
      <c r="H147" s="517">
        <f>G147*F147</f>
        <v>0</v>
      </c>
      <c r="I147" s="569"/>
      <c r="J147" s="569"/>
      <c r="K147" s="569"/>
      <c r="L147" s="569"/>
      <c r="M147" s="569"/>
      <c r="N147" s="569"/>
      <c r="O147" s="569"/>
      <c r="P147" s="569"/>
      <c r="Q147" s="569"/>
      <c r="R147" s="569"/>
      <c r="S147" s="569"/>
      <c r="T147" s="569"/>
      <c r="U147" s="569"/>
      <c r="V147" s="569"/>
      <c r="W147" s="569"/>
      <c r="X147" s="569"/>
      <c r="Y147" s="569"/>
      <c r="Z147" s="569"/>
      <c r="AA147" s="569"/>
      <c r="AB147" s="569"/>
      <c r="AC147" s="569"/>
      <c r="AD147" s="569"/>
      <c r="AE147" s="569"/>
      <c r="AF147" s="569"/>
      <c r="AG147" s="569"/>
      <c r="AH147" s="569"/>
      <c r="AI147" s="569"/>
      <c r="AJ147" s="569"/>
      <c r="AK147" s="569"/>
      <c r="AL147" s="569"/>
      <c r="AM147" s="569"/>
      <c r="AN147" s="569"/>
    </row>
    <row r="148" spans="1:40" ht="18.75" customHeight="1" x14ac:dyDescent="0.2">
      <c r="A148" s="518">
        <f>A147+0.1</f>
        <v>22.4</v>
      </c>
      <c r="B148" s="520"/>
      <c r="C148" s="516" t="s">
        <v>8</v>
      </c>
      <c r="D148" s="516" t="s">
        <v>93</v>
      </c>
      <c r="E148" s="516">
        <v>0.02</v>
      </c>
      <c r="F148" s="516">
        <f>F144*E148</f>
        <v>0.22800000000000001</v>
      </c>
      <c r="G148" s="516"/>
      <c r="H148" s="517">
        <f>G148*F148</f>
        <v>0</v>
      </c>
      <c r="I148" s="569"/>
      <c r="J148" s="569"/>
      <c r="K148" s="569"/>
      <c r="L148" s="569"/>
      <c r="M148" s="569"/>
      <c r="N148" s="569"/>
      <c r="O148" s="569"/>
      <c r="P148" s="569"/>
      <c r="Q148" s="569"/>
      <c r="R148" s="569"/>
      <c r="S148" s="569"/>
      <c r="T148" s="569"/>
      <c r="U148" s="569"/>
      <c r="V148" s="569"/>
      <c r="W148" s="569"/>
      <c r="X148" s="569"/>
      <c r="Y148" s="569"/>
      <c r="Z148" s="569"/>
      <c r="AA148" s="569"/>
      <c r="AB148" s="569"/>
      <c r="AC148" s="569"/>
      <c r="AD148" s="569"/>
      <c r="AE148" s="569"/>
      <c r="AF148" s="569"/>
      <c r="AG148" s="569"/>
      <c r="AH148" s="569"/>
      <c r="AI148" s="569"/>
      <c r="AJ148" s="569"/>
      <c r="AK148" s="569"/>
      <c r="AL148" s="569"/>
      <c r="AM148" s="569"/>
      <c r="AN148" s="569"/>
    </row>
    <row r="149" spans="1:40" ht="32.25" customHeight="1" x14ac:dyDescent="0.2">
      <c r="A149" s="553">
        <v>23</v>
      </c>
      <c r="B149" s="540" t="s">
        <v>113</v>
      </c>
      <c r="C149" s="540" t="s">
        <v>207</v>
      </c>
      <c r="D149" s="617" t="s">
        <v>110</v>
      </c>
      <c r="E149" s="617"/>
      <c r="F149" s="617">
        <f>76+35</f>
        <v>111</v>
      </c>
      <c r="G149" s="617"/>
      <c r="H149" s="553">
        <f>SUM(H150:H153)</f>
        <v>0</v>
      </c>
      <c r="I149" s="569"/>
      <c r="J149" s="571"/>
      <c r="K149" s="574"/>
      <c r="L149" s="569"/>
      <c r="M149" s="569"/>
      <c r="N149" s="569"/>
      <c r="O149" s="569"/>
      <c r="P149" s="569"/>
      <c r="Q149" s="569"/>
      <c r="R149" s="569"/>
      <c r="S149" s="569"/>
      <c r="T149" s="569"/>
      <c r="U149" s="569"/>
      <c r="V149" s="569"/>
      <c r="W149" s="569"/>
      <c r="X149" s="569"/>
      <c r="Y149" s="569"/>
      <c r="Z149" s="569"/>
      <c r="AA149" s="569"/>
      <c r="AB149" s="569"/>
      <c r="AC149" s="569"/>
      <c r="AD149" s="569"/>
      <c r="AE149" s="569"/>
      <c r="AF149" s="569"/>
      <c r="AG149" s="569"/>
      <c r="AH149" s="569"/>
      <c r="AI149" s="569"/>
      <c r="AJ149" s="569"/>
      <c r="AK149" s="569"/>
      <c r="AL149" s="569"/>
      <c r="AM149" s="569"/>
      <c r="AN149" s="569"/>
    </row>
    <row r="150" spans="1:40" ht="15.75" customHeight="1" x14ac:dyDescent="0.2">
      <c r="A150" s="518">
        <f>A149+0.1</f>
        <v>23.1</v>
      </c>
      <c r="B150" s="525"/>
      <c r="C150" s="619" t="s">
        <v>92</v>
      </c>
      <c r="D150" s="620" t="s">
        <v>1</v>
      </c>
      <c r="E150" s="621">
        <f>(18.8+0.34*4)/100</f>
        <v>0.20200000000000001</v>
      </c>
      <c r="F150" s="620">
        <f>F149*E150</f>
        <v>22.42</v>
      </c>
      <c r="G150" s="619"/>
      <c r="H150" s="546">
        <f>G150*F150</f>
        <v>0</v>
      </c>
      <c r="I150" s="569"/>
      <c r="J150" s="570"/>
      <c r="K150" s="569"/>
      <c r="L150" s="569"/>
      <c r="M150" s="569"/>
      <c r="N150" s="569"/>
      <c r="O150" s="569"/>
      <c r="P150" s="569"/>
      <c r="Q150" s="569"/>
      <c r="R150" s="569"/>
      <c r="S150" s="569"/>
      <c r="T150" s="569"/>
      <c r="U150" s="569"/>
      <c r="V150" s="569"/>
      <c r="W150" s="569"/>
      <c r="X150" s="569"/>
      <c r="Y150" s="569"/>
      <c r="Z150" s="569"/>
      <c r="AA150" s="569"/>
      <c r="AB150" s="569"/>
      <c r="AC150" s="569"/>
      <c r="AD150" s="569"/>
      <c r="AE150" s="569"/>
      <c r="AF150" s="569"/>
      <c r="AG150" s="569"/>
      <c r="AH150" s="569"/>
      <c r="AI150" s="569"/>
      <c r="AJ150" s="569"/>
      <c r="AK150" s="569"/>
      <c r="AL150" s="569"/>
      <c r="AM150" s="569"/>
      <c r="AN150" s="569"/>
    </row>
    <row r="151" spans="1:40" ht="15.75" customHeight="1" x14ac:dyDescent="0.2">
      <c r="A151" s="518">
        <f>A150+0.1</f>
        <v>23.2</v>
      </c>
      <c r="B151" s="525"/>
      <c r="C151" s="521" t="s">
        <v>2</v>
      </c>
      <c r="D151" s="522" t="s">
        <v>93</v>
      </c>
      <c r="E151" s="522">
        <f>(0.95+0.23*4)/100</f>
        <v>0.02</v>
      </c>
      <c r="F151" s="522">
        <f>F149*E151</f>
        <v>2.2200000000000002</v>
      </c>
      <c r="G151" s="522"/>
      <c r="H151" s="524">
        <f>G151*F151</f>
        <v>0</v>
      </c>
      <c r="I151" s="569"/>
      <c r="J151" s="570"/>
      <c r="K151" s="569"/>
      <c r="L151" s="569"/>
      <c r="M151" s="569"/>
      <c r="N151" s="569"/>
      <c r="O151" s="569"/>
      <c r="P151" s="569"/>
      <c r="Q151" s="569"/>
      <c r="R151" s="569"/>
      <c r="S151" s="569"/>
      <c r="T151" s="569"/>
      <c r="U151" s="569"/>
      <c r="V151" s="569"/>
      <c r="W151" s="569"/>
      <c r="X151" s="569"/>
      <c r="Y151" s="569"/>
      <c r="Z151" s="569"/>
      <c r="AA151" s="569"/>
      <c r="AB151" s="569"/>
      <c r="AC151" s="569"/>
      <c r="AD151" s="569"/>
      <c r="AE151" s="569"/>
      <c r="AF151" s="569"/>
      <c r="AG151" s="569"/>
      <c r="AH151" s="569"/>
      <c r="AI151" s="569"/>
      <c r="AJ151" s="569"/>
      <c r="AK151" s="569"/>
      <c r="AL151" s="569"/>
      <c r="AM151" s="569"/>
      <c r="AN151" s="569"/>
    </row>
    <row r="152" spans="1:40" ht="15.75" customHeight="1" x14ac:dyDescent="0.2">
      <c r="A152" s="518">
        <f>A151+0.1</f>
        <v>23.3</v>
      </c>
      <c r="B152" s="525"/>
      <c r="C152" s="516" t="s">
        <v>114</v>
      </c>
      <c r="D152" s="527" t="s">
        <v>3</v>
      </c>
      <c r="E152" s="526">
        <f>(2.04+0.51*4)/100</f>
        <v>4.0800000000000003E-2</v>
      </c>
      <c r="F152" s="527">
        <f>F149*E152</f>
        <v>4.53</v>
      </c>
      <c r="G152" s="527"/>
      <c r="H152" s="517">
        <f>G152*F152</f>
        <v>0</v>
      </c>
      <c r="I152" s="569"/>
      <c r="J152" s="570"/>
      <c r="K152" s="569"/>
      <c r="L152" s="569"/>
      <c r="M152" s="569"/>
      <c r="N152" s="569"/>
      <c r="O152" s="569"/>
      <c r="P152" s="569"/>
      <c r="Q152" s="569"/>
      <c r="R152" s="569"/>
      <c r="S152" s="569"/>
      <c r="T152" s="569"/>
      <c r="U152" s="569"/>
      <c r="V152" s="569"/>
      <c r="W152" s="569"/>
      <c r="X152" s="569"/>
      <c r="Y152" s="569"/>
      <c r="Z152" s="569"/>
      <c r="AA152" s="569"/>
      <c r="AB152" s="569"/>
      <c r="AC152" s="569"/>
      <c r="AD152" s="569"/>
      <c r="AE152" s="569"/>
      <c r="AF152" s="569"/>
      <c r="AG152" s="569"/>
      <c r="AH152" s="569"/>
      <c r="AI152" s="569"/>
      <c r="AJ152" s="569"/>
      <c r="AK152" s="569"/>
      <c r="AL152" s="569"/>
      <c r="AM152" s="569"/>
      <c r="AN152" s="569"/>
    </row>
    <row r="153" spans="1:40" ht="15.75" customHeight="1" x14ac:dyDescent="0.2">
      <c r="A153" s="518">
        <f>A152+0.1</f>
        <v>23.4</v>
      </c>
      <c r="B153" s="525"/>
      <c r="C153" s="516" t="s">
        <v>8</v>
      </c>
      <c r="D153" s="527" t="s">
        <v>93</v>
      </c>
      <c r="E153" s="526">
        <f>6.36/100</f>
        <v>6.3600000000000004E-2</v>
      </c>
      <c r="F153" s="527">
        <f>F149*E153</f>
        <v>7.06</v>
      </c>
      <c r="G153" s="527"/>
      <c r="H153" s="517">
        <f>G153*F153</f>
        <v>0</v>
      </c>
      <c r="I153" s="569"/>
      <c r="J153" s="570"/>
      <c r="K153" s="569"/>
      <c r="L153" s="569"/>
      <c r="M153" s="569"/>
      <c r="N153" s="569"/>
      <c r="O153" s="569"/>
      <c r="P153" s="569"/>
      <c r="Q153" s="569"/>
      <c r="R153" s="569"/>
      <c r="S153" s="569"/>
      <c r="T153" s="569"/>
      <c r="U153" s="569"/>
      <c r="V153" s="569"/>
      <c r="W153" s="569"/>
      <c r="X153" s="569"/>
      <c r="Y153" s="569"/>
      <c r="Z153" s="569"/>
      <c r="AA153" s="569"/>
      <c r="AB153" s="569"/>
      <c r="AC153" s="569"/>
      <c r="AD153" s="569"/>
      <c r="AE153" s="569"/>
      <c r="AF153" s="569"/>
      <c r="AG153" s="569"/>
      <c r="AH153" s="569"/>
      <c r="AI153" s="569"/>
      <c r="AJ153" s="569"/>
      <c r="AK153" s="569"/>
      <c r="AL153" s="569"/>
      <c r="AM153" s="569"/>
      <c r="AN153" s="569"/>
    </row>
    <row r="154" spans="1:40" ht="63" customHeight="1" x14ac:dyDescent="0.2">
      <c r="A154" s="553">
        <f>A149+1</f>
        <v>24</v>
      </c>
      <c r="B154" s="540" t="s">
        <v>208</v>
      </c>
      <c r="C154" s="540" t="s">
        <v>209</v>
      </c>
      <c r="D154" s="617" t="s">
        <v>110</v>
      </c>
      <c r="E154" s="617"/>
      <c r="F154" s="617">
        <f>76-32.2</f>
        <v>43.8</v>
      </c>
      <c r="G154" s="617"/>
      <c r="H154" s="553">
        <f>SUM(H155:H159)</f>
        <v>0</v>
      </c>
      <c r="I154" s="569"/>
      <c r="J154" s="570"/>
      <c r="K154" s="569"/>
      <c r="L154" s="569"/>
      <c r="M154" s="569"/>
      <c r="N154" s="569"/>
      <c r="O154" s="569"/>
      <c r="P154" s="569"/>
      <c r="Q154" s="569"/>
      <c r="R154" s="569"/>
      <c r="S154" s="569"/>
      <c r="T154" s="569"/>
      <c r="U154" s="569"/>
      <c r="V154" s="569"/>
      <c r="W154" s="569"/>
      <c r="X154" s="569"/>
      <c r="Y154" s="569"/>
      <c r="Z154" s="569"/>
      <c r="AA154" s="569"/>
      <c r="AB154" s="569"/>
      <c r="AC154" s="569"/>
      <c r="AD154" s="569"/>
      <c r="AE154" s="569"/>
      <c r="AF154" s="569"/>
      <c r="AG154" s="569"/>
      <c r="AH154" s="569"/>
      <c r="AI154" s="569"/>
      <c r="AJ154" s="569"/>
      <c r="AK154" s="569"/>
      <c r="AL154" s="569"/>
      <c r="AM154" s="569"/>
      <c r="AN154" s="569"/>
    </row>
    <row r="155" spans="1:40" ht="20.25" customHeight="1" x14ac:dyDescent="0.2">
      <c r="A155" s="516">
        <f>A154+0.1</f>
        <v>24.1</v>
      </c>
      <c r="B155" s="619" t="s">
        <v>37</v>
      </c>
      <c r="C155" s="619" t="s">
        <v>92</v>
      </c>
      <c r="D155" s="620" t="s">
        <v>1</v>
      </c>
      <c r="E155" s="622">
        <v>1.08</v>
      </c>
      <c r="F155" s="622">
        <f>F154*E155</f>
        <v>47.3</v>
      </c>
      <c r="G155" s="619"/>
      <c r="H155" s="546">
        <f>G155*F155</f>
        <v>0</v>
      </c>
      <c r="I155" s="569"/>
      <c r="J155" s="570"/>
      <c r="K155" s="569"/>
      <c r="L155" s="569"/>
      <c r="M155" s="569"/>
      <c r="N155" s="569"/>
      <c r="O155" s="569"/>
      <c r="P155" s="569"/>
      <c r="Q155" s="569"/>
      <c r="R155" s="569"/>
      <c r="S155" s="569"/>
      <c r="T155" s="569"/>
      <c r="U155" s="569"/>
      <c r="V155" s="569"/>
      <c r="W155" s="569"/>
      <c r="X155" s="569"/>
      <c r="Y155" s="569"/>
      <c r="Z155" s="569"/>
      <c r="AA155" s="569"/>
      <c r="AB155" s="569"/>
      <c r="AC155" s="569"/>
      <c r="AD155" s="569"/>
      <c r="AE155" s="569"/>
      <c r="AF155" s="569"/>
      <c r="AG155" s="569"/>
      <c r="AH155" s="569"/>
      <c r="AI155" s="569"/>
      <c r="AJ155" s="569"/>
      <c r="AK155" s="569"/>
      <c r="AL155" s="569"/>
      <c r="AM155" s="569"/>
      <c r="AN155" s="569"/>
    </row>
    <row r="156" spans="1:40" ht="20.25" customHeight="1" x14ac:dyDescent="0.2">
      <c r="A156" s="516">
        <f>A155+0.1</f>
        <v>24.2</v>
      </c>
      <c r="B156" s="521"/>
      <c r="C156" s="528" t="s">
        <v>2</v>
      </c>
      <c r="D156" s="529" t="s">
        <v>93</v>
      </c>
      <c r="E156" s="529">
        <f>4.52/100</f>
        <v>0.05</v>
      </c>
      <c r="F156" s="529">
        <f>F154*E156</f>
        <v>2.19</v>
      </c>
      <c r="G156" s="529"/>
      <c r="H156" s="530">
        <f>G156*F156</f>
        <v>0</v>
      </c>
      <c r="I156" s="569"/>
      <c r="J156" s="570"/>
      <c r="K156" s="569"/>
      <c r="L156" s="569"/>
      <c r="M156" s="569"/>
      <c r="N156" s="569"/>
      <c r="O156" s="569"/>
      <c r="P156" s="569"/>
      <c r="Q156" s="569"/>
      <c r="R156" s="569"/>
      <c r="S156" s="569"/>
      <c r="T156" s="569"/>
      <c r="U156" s="569"/>
      <c r="V156" s="569"/>
      <c r="W156" s="569"/>
      <c r="X156" s="569"/>
      <c r="Y156" s="569"/>
      <c r="Z156" s="569"/>
      <c r="AA156" s="569"/>
      <c r="AB156" s="569"/>
      <c r="AC156" s="569"/>
      <c r="AD156" s="569"/>
      <c r="AE156" s="569"/>
      <c r="AF156" s="569"/>
      <c r="AG156" s="569"/>
      <c r="AH156" s="569"/>
      <c r="AI156" s="569"/>
      <c r="AJ156" s="569"/>
      <c r="AK156" s="569"/>
      <c r="AL156" s="569"/>
      <c r="AM156" s="569"/>
      <c r="AN156" s="569"/>
    </row>
    <row r="157" spans="1:40" ht="34.5" customHeight="1" x14ac:dyDescent="0.2">
      <c r="A157" s="516">
        <f>A156+0.1</f>
        <v>24.3</v>
      </c>
      <c r="B157" s="516"/>
      <c r="C157" s="516" t="s">
        <v>210</v>
      </c>
      <c r="D157" s="527" t="s">
        <v>4</v>
      </c>
      <c r="E157" s="527">
        <v>1.02</v>
      </c>
      <c r="F157" s="527">
        <f>F154*E157</f>
        <v>44.68</v>
      </c>
      <c r="G157" s="527"/>
      <c r="H157" s="517">
        <f>G157*F157</f>
        <v>0</v>
      </c>
      <c r="I157" s="569"/>
      <c r="J157" s="570"/>
      <c r="K157" s="569"/>
      <c r="L157" s="569"/>
      <c r="M157" s="569"/>
      <c r="N157" s="569"/>
      <c r="O157" s="569"/>
      <c r="P157" s="569"/>
      <c r="Q157" s="569"/>
      <c r="R157" s="569"/>
      <c r="S157" s="569"/>
      <c r="T157" s="569"/>
      <c r="U157" s="569"/>
      <c r="V157" s="569"/>
      <c r="W157" s="569"/>
      <c r="X157" s="569"/>
      <c r="Y157" s="569"/>
      <c r="Z157" s="569"/>
      <c r="AA157" s="569"/>
      <c r="AB157" s="569"/>
      <c r="AC157" s="569"/>
      <c r="AD157" s="569"/>
      <c r="AE157" s="569"/>
      <c r="AF157" s="569"/>
      <c r="AG157" s="569"/>
      <c r="AH157" s="569"/>
      <c r="AI157" s="569"/>
      <c r="AJ157" s="569"/>
      <c r="AK157" s="569"/>
      <c r="AL157" s="569"/>
      <c r="AM157" s="569"/>
      <c r="AN157" s="569"/>
    </row>
    <row r="158" spans="1:40" ht="20.25" customHeight="1" x14ac:dyDescent="0.2">
      <c r="A158" s="516">
        <f>A157+0.1</f>
        <v>24.4</v>
      </c>
      <c r="B158" s="516"/>
      <c r="C158" s="516" t="s">
        <v>117</v>
      </c>
      <c r="D158" s="527" t="s">
        <v>61</v>
      </c>
      <c r="E158" s="527" t="s">
        <v>98</v>
      </c>
      <c r="F158" s="527">
        <f>F154*7</f>
        <v>306.60000000000002</v>
      </c>
      <c r="G158" s="527"/>
      <c r="H158" s="517">
        <f>G158*F158</f>
        <v>0</v>
      </c>
      <c r="I158" s="569"/>
      <c r="J158" s="570"/>
      <c r="K158" s="569"/>
      <c r="L158" s="574"/>
      <c r="M158" s="569"/>
      <c r="N158" s="569"/>
      <c r="O158" s="569"/>
      <c r="P158" s="569"/>
      <c r="Q158" s="569"/>
      <c r="R158" s="569"/>
      <c r="S158" s="569"/>
      <c r="T158" s="569"/>
      <c r="U158" s="569"/>
      <c r="V158" s="569"/>
      <c r="W158" s="569"/>
      <c r="X158" s="569"/>
      <c r="Y158" s="569"/>
      <c r="Z158" s="569"/>
      <c r="AA158" s="569"/>
      <c r="AB158" s="569"/>
      <c r="AC158" s="569"/>
      <c r="AD158" s="569"/>
      <c r="AE158" s="569"/>
      <c r="AF158" s="569"/>
      <c r="AG158" s="569"/>
      <c r="AH158" s="569"/>
      <c r="AI158" s="569"/>
      <c r="AJ158" s="569"/>
      <c r="AK158" s="569"/>
      <c r="AL158" s="569"/>
      <c r="AM158" s="569"/>
      <c r="AN158" s="569"/>
    </row>
    <row r="159" spans="1:40" ht="20.25" customHeight="1" x14ac:dyDescent="0.2">
      <c r="A159" s="516">
        <f>A158+0.1</f>
        <v>24.5</v>
      </c>
      <c r="B159" s="516"/>
      <c r="C159" s="516" t="s">
        <v>8</v>
      </c>
      <c r="D159" s="527" t="s">
        <v>93</v>
      </c>
      <c r="E159" s="526">
        <f>4.66/100</f>
        <v>4.6600000000000003E-2</v>
      </c>
      <c r="F159" s="527">
        <f>F154*E159</f>
        <v>2.04</v>
      </c>
      <c r="G159" s="527"/>
      <c r="H159" s="517">
        <f>G159*F159</f>
        <v>0</v>
      </c>
      <c r="I159" s="569"/>
      <c r="J159" s="570"/>
      <c r="K159" s="569"/>
      <c r="L159" s="569"/>
      <c r="M159" s="569"/>
      <c r="N159" s="569"/>
      <c r="O159" s="569"/>
      <c r="P159" s="569"/>
      <c r="Q159" s="569"/>
      <c r="R159" s="569"/>
      <c r="S159" s="569"/>
      <c r="T159" s="569"/>
      <c r="U159" s="569"/>
      <c r="V159" s="569"/>
      <c r="W159" s="569"/>
      <c r="X159" s="569"/>
      <c r="Y159" s="569"/>
      <c r="Z159" s="569"/>
      <c r="AA159" s="569"/>
      <c r="AB159" s="569"/>
      <c r="AC159" s="569"/>
      <c r="AD159" s="569"/>
      <c r="AE159" s="569"/>
      <c r="AF159" s="569"/>
      <c r="AG159" s="569"/>
      <c r="AH159" s="569"/>
      <c r="AI159" s="569"/>
      <c r="AJ159" s="569"/>
      <c r="AK159" s="569"/>
      <c r="AL159" s="569"/>
      <c r="AM159" s="569"/>
      <c r="AN159" s="569"/>
    </row>
    <row r="160" spans="1:40" ht="42.75" customHeight="1" x14ac:dyDescent="0.2">
      <c r="A160" s="553">
        <v>25</v>
      </c>
      <c r="B160" s="618" t="s">
        <v>115</v>
      </c>
      <c r="C160" s="540" t="s">
        <v>212</v>
      </c>
      <c r="D160" s="540" t="s">
        <v>116</v>
      </c>
      <c r="E160" s="540"/>
      <c r="F160" s="617">
        <v>89</v>
      </c>
      <c r="G160" s="531"/>
      <c r="H160" s="553">
        <f>H161+H162+H163+H164</f>
        <v>0</v>
      </c>
      <c r="I160" s="569"/>
      <c r="J160" s="570"/>
      <c r="K160" s="569"/>
      <c r="L160" s="569"/>
      <c r="M160" s="569"/>
      <c r="N160" s="569"/>
      <c r="O160" s="569"/>
      <c r="P160" s="569"/>
      <c r="Q160" s="569"/>
      <c r="R160" s="569"/>
      <c r="S160" s="569"/>
      <c r="T160" s="569"/>
      <c r="U160" s="569"/>
      <c r="V160" s="569"/>
      <c r="W160" s="569"/>
      <c r="X160" s="569"/>
      <c r="Y160" s="569"/>
      <c r="Z160" s="569"/>
      <c r="AA160" s="569"/>
      <c r="AB160" s="569"/>
      <c r="AC160" s="569"/>
      <c r="AD160" s="569"/>
      <c r="AE160" s="569"/>
      <c r="AF160" s="569"/>
      <c r="AG160" s="569"/>
      <c r="AH160" s="569"/>
      <c r="AI160" s="569"/>
      <c r="AJ160" s="569"/>
      <c r="AK160" s="569"/>
      <c r="AL160" s="569"/>
      <c r="AM160" s="569"/>
      <c r="AN160" s="569"/>
    </row>
    <row r="161" spans="1:40" ht="16.5" x14ac:dyDescent="0.2">
      <c r="A161" s="516">
        <f>A160+0.1</f>
        <v>25.1</v>
      </c>
      <c r="B161" s="531"/>
      <c r="C161" s="619" t="s">
        <v>92</v>
      </c>
      <c r="D161" s="620" t="s">
        <v>1</v>
      </c>
      <c r="E161" s="623">
        <f>26.9/100</f>
        <v>0.26900000000000002</v>
      </c>
      <c r="F161" s="624">
        <f>F160*E161</f>
        <v>23.940999999999999</v>
      </c>
      <c r="G161" s="619"/>
      <c r="H161" s="625">
        <f>G161*F161</f>
        <v>0</v>
      </c>
      <c r="I161" s="569"/>
      <c r="J161" s="570"/>
      <c r="K161" s="569"/>
      <c r="L161" s="569"/>
      <c r="M161" s="569"/>
      <c r="N161" s="569"/>
      <c r="O161" s="569"/>
      <c r="P161" s="569"/>
      <c r="Q161" s="569"/>
      <c r="R161" s="569"/>
      <c r="S161" s="569"/>
      <c r="T161" s="569"/>
      <c r="U161" s="569"/>
      <c r="V161" s="569"/>
      <c r="W161" s="569"/>
      <c r="X161" s="569"/>
      <c r="Y161" s="569"/>
      <c r="Z161" s="569"/>
      <c r="AA161" s="569"/>
      <c r="AB161" s="569"/>
      <c r="AC161" s="569"/>
      <c r="AD161" s="569"/>
      <c r="AE161" s="569"/>
      <c r="AF161" s="569"/>
      <c r="AG161" s="569"/>
      <c r="AH161" s="569"/>
      <c r="AI161" s="569"/>
      <c r="AJ161" s="569"/>
      <c r="AK161" s="569"/>
      <c r="AL161" s="569"/>
      <c r="AM161" s="569"/>
      <c r="AN161" s="569"/>
    </row>
    <row r="162" spans="1:40" ht="16.5" x14ac:dyDescent="0.2">
      <c r="A162" s="516">
        <f>A161+0.1</f>
        <v>25.2</v>
      </c>
      <c r="B162" s="531"/>
      <c r="C162" s="528" t="s">
        <v>2</v>
      </c>
      <c r="D162" s="529" t="s">
        <v>93</v>
      </c>
      <c r="E162" s="532">
        <f>1.16/100</f>
        <v>1.1599999999999999E-2</v>
      </c>
      <c r="F162" s="528">
        <f>F160*E162</f>
        <v>1.0324</v>
      </c>
      <c r="G162" s="528"/>
      <c r="H162" s="530">
        <f>G162*F162</f>
        <v>0</v>
      </c>
      <c r="I162" s="569"/>
      <c r="J162" s="570"/>
      <c r="K162" s="569"/>
      <c r="L162" s="569"/>
      <c r="M162" s="569"/>
      <c r="N162" s="569"/>
      <c r="O162" s="569"/>
      <c r="P162" s="569"/>
      <c r="Q162" s="569"/>
      <c r="R162" s="569"/>
      <c r="S162" s="569"/>
      <c r="T162" s="569"/>
      <c r="U162" s="569"/>
      <c r="V162" s="569"/>
      <c r="W162" s="569"/>
      <c r="X162" s="569"/>
      <c r="Y162" s="569"/>
      <c r="Z162" s="569"/>
      <c r="AA162" s="569"/>
      <c r="AB162" s="569"/>
      <c r="AC162" s="569"/>
      <c r="AD162" s="569"/>
      <c r="AE162" s="569"/>
      <c r="AF162" s="569"/>
      <c r="AG162" s="569"/>
      <c r="AH162" s="569"/>
      <c r="AI162" s="569"/>
      <c r="AJ162" s="569"/>
      <c r="AK162" s="569"/>
      <c r="AL162" s="569"/>
      <c r="AM162" s="569"/>
      <c r="AN162" s="569"/>
    </row>
    <row r="163" spans="1:40" ht="16.5" x14ac:dyDescent="0.2">
      <c r="A163" s="516">
        <f>A162+0.1</f>
        <v>25.3</v>
      </c>
      <c r="B163" s="531"/>
      <c r="C163" s="516" t="s">
        <v>213</v>
      </c>
      <c r="D163" s="516" t="s">
        <v>4</v>
      </c>
      <c r="E163" s="533" t="s">
        <v>98</v>
      </c>
      <c r="F163" s="516">
        <f>F160*0.1*1.05</f>
        <v>9.3450000000000006</v>
      </c>
      <c r="G163" s="534"/>
      <c r="H163" s="516">
        <f>G163*F163</f>
        <v>0</v>
      </c>
      <c r="I163" s="569"/>
      <c r="J163" s="570"/>
      <c r="K163" s="569"/>
      <c r="L163" s="569"/>
      <c r="M163" s="569"/>
      <c r="N163" s="569"/>
      <c r="O163" s="569"/>
      <c r="P163" s="569"/>
      <c r="Q163" s="569"/>
      <c r="R163" s="569"/>
      <c r="S163" s="569"/>
      <c r="T163" s="569"/>
      <c r="U163" s="569"/>
      <c r="V163" s="569"/>
      <c r="W163" s="569"/>
      <c r="X163" s="569"/>
      <c r="Y163" s="569"/>
      <c r="Z163" s="569"/>
      <c r="AA163" s="569"/>
      <c r="AB163" s="569"/>
      <c r="AC163" s="569"/>
      <c r="AD163" s="569"/>
      <c r="AE163" s="569"/>
      <c r="AF163" s="569"/>
      <c r="AG163" s="569"/>
      <c r="AH163" s="569"/>
      <c r="AI163" s="569"/>
      <c r="AJ163" s="569"/>
      <c r="AK163" s="569"/>
      <c r="AL163" s="569"/>
      <c r="AM163" s="569"/>
      <c r="AN163" s="569"/>
    </row>
    <row r="164" spans="1:40" ht="16.5" x14ac:dyDescent="0.2">
      <c r="A164" s="516">
        <f>A163+0.1</f>
        <v>25.4</v>
      </c>
      <c r="B164" s="531"/>
      <c r="C164" s="516" t="s">
        <v>117</v>
      </c>
      <c r="D164" s="527" t="s">
        <v>61</v>
      </c>
      <c r="E164" s="527" t="s">
        <v>98</v>
      </c>
      <c r="F164" s="527">
        <f>F163*7</f>
        <v>65.42</v>
      </c>
      <c r="G164" s="527"/>
      <c r="H164" s="517">
        <f>G164*F164</f>
        <v>0</v>
      </c>
      <c r="I164" s="569"/>
      <c r="J164" s="570"/>
      <c r="K164" s="569"/>
      <c r="L164" s="569"/>
      <c r="M164" s="569"/>
      <c r="N164" s="569"/>
      <c r="O164" s="569"/>
      <c r="P164" s="569"/>
      <c r="Q164" s="569"/>
      <c r="R164" s="569"/>
      <c r="S164" s="569"/>
      <c r="T164" s="569"/>
      <c r="U164" s="569"/>
      <c r="V164" s="569"/>
      <c r="W164" s="569"/>
      <c r="X164" s="569"/>
      <c r="Y164" s="569"/>
      <c r="Z164" s="569"/>
      <c r="AA164" s="569"/>
      <c r="AB164" s="569"/>
      <c r="AC164" s="569"/>
      <c r="AD164" s="569"/>
      <c r="AE164" s="569"/>
      <c r="AF164" s="569"/>
      <c r="AG164" s="569"/>
      <c r="AH164" s="569"/>
      <c r="AI164" s="569"/>
      <c r="AJ164" s="569"/>
      <c r="AK164" s="569"/>
      <c r="AL164" s="569"/>
      <c r="AM164" s="569"/>
      <c r="AN164" s="569"/>
    </row>
    <row r="165" spans="1:40" s="374" customFormat="1" ht="51.75" customHeight="1" x14ac:dyDescent="0.2">
      <c r="A165" s="535">
        <f>A160+1</f>
        <v>26</v>
      </c>
      <c r="B165" s="536" t="s">
        <v>574</v>
      </c>
      <c r="C165" s="537" t="s">
        <v>614</v>
      </c>
      <c r="D165" s="537" t="s">
        <v>4</v>
      </c>
      <c r="E165" s="537"/>
      <c r="F165" s="538">
        <v>35</v>
      </c>
      <c r="G165" s="537"/>
      <c r="H165" s="539">
        <f>SUM(H166:H170)</f>
        <v>0</v>
      </c>
      <c r="I165" s="587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</row>
    <row r="166" spans="1:40" s="374" customFormat="1" ht="28.5" customHeight="1" x14ac:dyDescent="0.2">
      <c r="A166" s="516">
        <f>A165+0.1</f>
        <v>26.1</v>
      </c>
      <c r="B166" s="541" t="s">
        <v>37</v>
      </c>
      <c r="C166" s="516" t="s">
        <v>575</v>
      </c>
      <c r="D166" s="516" t="s">
        <v>0</v>
      </c>
      <c r="E166" s="516">
        <f>0.65</f>
        <v>0.65</v>
      </c>
      <c r="F166" s="534">
        <f>F165*E166</f>
        <v>22.75</v>
      </c>
      <c r="G166" s="516"/>
      <c r="H166" s="519">
        <f>F166*G166</f>
        <v>0</v>
      </c>
      <c r="I166" s="587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</row>
    <row r="167" spans="1:40" s="374" customFormat="1" ht="23.25" customHeight="1" x14ac:dyDescent="0.2">
      <c r="A167" s="516">
        <f>A166+0.1</f>
        <v>26.2</v>
      </c>
      <c r="B167" s="541"/>
      <c r="C167" s="516" t="s">
        <v>576</v>
      </c>
      <c r="D167" s="516" t="s">
        <v>6</v>
      </c>
      <c r="E167" s="516">
        <v>0.02</v>
      </c>
      <c r="F167" s="534">
        <f>F165*E167</f>
        <v>0.7</v>
      </c>
      <c r="G167" s="516"/>
      <c r="H167" s="519">
        <f>F167*G167</f>
        <v>0</v>
      </c>
      <c r="I167" s="587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</row>
    <row r="168" spans="1:40" s="374" customFormat="1" ht="30.75" customHeight="1" x14ac:dyDescent="0.2">
      <c r="A168" s="516">
        <f>A167+0.1</f>
        <v>26.3</v>
      </c>
      <c r="B168" s="541"/>
      <c r="C168" s="516" t="s">
        <v>577</v>
      </c>
      <c r="D168" s="516" t="s">
        <v>4</v>
      </c>
      <c r="E168" s="516">
        <v>1</v>
      </c>
      <c r="F168" s="517">
        <f>F165*E168</f>
        <v>35</v>
      </c>
      <c r="G168" s="518"/>
      <c r="H168" s="519">
        <f>F168*G168</f>
        <v>0</v>
      </c>
      <c r="I168" s="587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</row>
    <row r="169" spans="1:40" s="374" customFormat="1" ht="18" customHeight="1" x14ac:dyDescent="0.2">
      <c r="A169" s="516">
        <f>A168+0.1</f>
        <v>26.4</v>
      </c>
      <c r="B169" s="541"/>
      <c r="C169" s="516" t="s">
        <v>578</v>
      </c>
      <c r="D169" s="516" t="s">
        <v>579</v>
      </c>
      <c r="E169" s="533">
        <v>0.05</v>
      </c>
      <c r="F169" s="534">
        <f>F165*E169</f>
        <v>1.75</v>
      </c>
      <c r="G169" s="516"/>
      <c r="H169" s="519">
        <f>F169*G169</f>
        <v>0</v>
      </c>
      <c r="I169" s="587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</row>
    <row r="170" spans="1:40" s="374" customFormat="1" ht="29.25" customHeight="1" x14ac:dyDescent="0.2">
      <c r="A170" s="540">
        <v>26.5</v>
      </c>
      <c r="B170" s="541"/>
      <c r="C170" s="516" t="s">
        <v>580</v>
      </c>
      <c r="D170" s="516" t="s">
        <v>579</v>
      </c>
      <c r="E170" s="518">
        <v>0.1</v>
      </c>
      <c r="F170" s="517">
        <f>F165*E170</f>
        <v>4</v>
      </c>
      <c r="G170" s="516"/>
      <c r="H170" s="519">
        <f>F170*G170</f>
        <v>0</v>
      </c>
      <c r="I170" s="587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</row>
    <row r="171" spans="1:40" ht="18" customHeight="1" x14ac:dyDescent="0.2">
      <c r="A171" s="661" t="s">
        <v>214</v>
      </c>
      <c r="B171" s="661"/>
      <c r="C171" s="661"/>
      <c r="D171" s="661"/>
      <c r="E171" s="661"/>
      <c r="F171" s="661"/>
      <c r="G171" s="661"/>
      <c r="H171" s="661"/>
      <c r="I171" s="569"/>
      <c r="J171" s="570"/>
      <c r="K171" s="569"/>
      <c r="L171" s="569"/>
      <c r="M171" s="569"/>
      <c r="N171" s="569"/>
      <c r="O171" s="569"/>
      <c r="P171" s="569"/>
      <c r="Q171" s="569"/>
      <c r="R171" s="569"/>
      <c r="S171" s="569"/>
      <c r="T171" s="569"/>
      <c r="U171" s="569"/>
      <c r="V171" s="569"/>
      <c r="W171" s="569"/>
      <c r="X171" s="569"/>
      <c r="Y171" s="569"/>
      <c r="Z171" s="569"/>
      <c r="AA171" s="569"/>
      <c r="AB171" s="569"/>
      <c r="AC171" s="569"/>
      <c r="AD171" s="569"/>
      <c r="AE171" s="569"/>
      <c r="AF171" s="569"/>
      <c r="AG171" s="569"/>
      <c r="AH171" s="569"/>
      <c r="AI171" s="569"/>
      <c r="AJ171" s="569"/>
      <c r="AK171" s="569"/>
      <c r="AL171" s="569"/>
      <c r="AM171" s="569"/>
      <c r="AN171" s="569"/>
    </row>
    <row r="172" spans="1:40" ht="39.75" customHeight="1" x14ac:dyDescent="0.2">
      <c r="A172" s="553">
        <v>1</v>
      </c>
      <c r="B172" s="540" t="s">
        <v>37</v>
      </c>
      <c r="C172" s="540" t="s">
        <v>188</v>
      </c>
      <c r="D172" s="617" t="s">
        <v>4</v>
      </c>
      <c r="E172" s="617"/>
      <c r="F172" s="617">
        <f>76-F173</f>
        <v>58</v>
      </c>
      <c r="G172" s="617"/>
      <c r="H172" s="553">
        <f>G172*F172</f>
        <v>0</v>
      </c>
      <c r="I172" s="569"/>
      <c r="J172" s="570"/>
      <c r="K172" s="574"/>
      <c r="L172" s="569"/>
      <c r="M172" s="301"/>
      <c r="N172" s="569"/>
      <c r="O172" s="569"/>
      <c r="P172" s="569"/>
      <c r="Q172" s="569"/>
      <c r="R172" s="569"/>
      <c r="S172" s="569"/>
      <c r="T172" s="569"/>
      <c r="U172" s="569"/>
      <c r="V172" s="569"/>
      <c r="W172" s="569"/>
      <c r="X172" s="569"/>
      <c r="Y172" s="569"/>
      <c r="Z172" s="569"/>
      <c r="AA172" s="569"/>
      <c r="AB172" s="569"/>
      <c r="AC172" s="569"/>
      <c r="AD172" s="569"/>
      <c r="AE172" s="569"/>
      <c r="AF172" s="569"/>
      <c r="AG172" s="569"/>
      <c r="AH172" s="569"/>
      <c r="AI172" s="569"/>
      <c r="AJ172" s="569"/>
      <c r="AK172" s="569"/>
      <c r="AL172" s="569"/>
      <c r="AM172" s="569"/>
      <c r="AN172" s="569"/>
    </row>
    <row r="173" spans="1:40" ht="43.5" customHeight="1" x14ac:dyDescent="0.2">
      <c r="A173" s="553">
        <f>A172+1</f>
        <v>2</v>
      </c>
      <c r="B173" s="540" t="s">
        <v>37</v>
      </c>
      <c r="C173" s="540" t="s">
        <v>571</v>
      </c>
      <c r="D173" s="617" t="s">
        <v>4</v>
      </c>
      <c r="E173" s="617"/>
      <c r="F173" s="617">
        <v>18</v>
      </c>
      <c r="G173" s="617"/>
      <c r="H173" s="553">
        <f>G173*F173</f>
        <v>0</v>
      </c>
      <c r="I173" s="569"/>
      <c r="J173" s="570"/>
      <c r="K173" s="574"/>
      <c r="L173" s="574"/>
      <c r="M173" s="574"/>
      <c r="N173" s="574"/>
      <c r="O173" s="569"/>
      <c r="P173" s="569"/>
      <c r="Q173" s="569"/>
      <c r="R173" s="569"/>
      <c r="S173" s="569"/>
      <c r="T173" s="569"/>
      <c r="U173" s="569"/>
      <c r="V173" s="569"/>
      <c r="W173" s="569"/>
      <c r="X173" s="569"/>
      <c r="Y173" s="569"/>
      <c r="Z173" s="569"/>
      <c r="AA173" s="569"/>
      <c r="AB173" s="569"/>
      <c r="AC173" s="569"/>
      <c r="AD173" s="569"/>
      <c r="AE173" s="569"/>
      <c r="AF173" s="569"/>
      <c r="AG173" s="569"/>
      <c r="AH173" s="569"/>
      <c r="AI173" s="569"/>
      <c r="AJ173" s="569"/>
      <c r="AK173" s="569"/>
      <c r="AL173" s="569"/>
      <c r="AM173" s="569"/>
      <c r="AN173" s="569"/>
    </row>
    <row r="174" spans="1:40" ht="38.25" customHeight="1" x14ac:dyDescent="0.2">
      <c r="A174" s="553">
        <f>A173+1</f>
        <v>3</v>
      </c>
      <c r="B174" s="618" t="s">
        <v>118</v>
      </c>
      <c r="C174" s="540" t="s">
        <v>119</v>
      </c>
      <c r="D174" s="617" t="s">
        <v>4</v>
      </c>
      <c r="E174" s="617"/>
      <c r="F174" s="617">
        <f>F173</f>
        <v>18</v>
      </c>
      <c r="G174" s="617"/>
      <c r="H174" s="553">
        <f>SUM(H175:H179)</f>
        <v>0</v>
      </c>
      <c r="I174" s="569"/>
      <c r="J174" s="570"/>
      <c r="K174" s="574"/>
      <c r="L174" s="574"/>
      <c r="M174" s="574"/>
      <c r="N174" s="569"/>
      <c r="O174" s="569"/>
      <c r="P174" s="569"/>
      <c r="Q174" s="569"/>
      <c r="R174" s="569"/>
      <c r="S174" s="569"/>
      <c r="T174" s="569"/>
      <c r="U174" s="569"/>
      <c r="V174" s="569"/>
      <c r="W174" s="569"/>
      <c r="X174" s="569"/>
      <c r="Y174" s="569"/>
      <c r="Z174" s="569"/>
      <c r="AA174" s="569"/>
      <c r="AB174" s="569"/>
      <c r="AC174" s="569"/>
      <c r="AD174" s="569"/>
      <c r="AE174" s="569"/>
      <c r="AF174" s="569"/>
      <c r="AG174" s="569"/>
      <c r="AH174" s="569"/>
      <c r="AI174" s="569"/>
      <c r="AJ174" s="569"/>
      <c r="AK174" s="569"/>
      <c r="AL174" s="569"/>
      <c r="AM174" s="569"/>
      <c r="AN174" s="569"/>
    </row>
    <row r="175" spans="1:40" ht="13.5" x14ac:dyDescent="0.2">
      <c r="A175" s="518">
        <f>A174+0.1</f>
        <v>3.1</v>
      </c>
      <c r="B175" s="619"/>
      <c r="C175" s="619" t="s">
        <v>92</v>
      </c>
      <c r="D175" s="619" t="s">
        <v>4</v>
      </c>
      <c r="E175" s="621">
        <f>85.6/100</f>
        <v>0.85599999999999998</v>
      </c>
      <c r="F175" s="622">
        <f>F174*E175</f>
        <v>15.41</v>
      </c>
      <c r="G175" s="619"/>
      <c r="H175" s="546">
        <f t="shared" ref="H175:H179" si="19">G175*F175</f>
        <v>0</v>
      </c>
      <c r="I175" s="569"/>
      <c r="J175" s="570"/>
      <c r="K175" s="569"/>
      <c r="L175" s="569"/>
      <c r="M175" s="569"/>
      <c r="N175" s="569"/>
      <c r="O175" s="569"/>
      <c r="P175" s="569"/>
      <c r="Q175" s="569"/>
      <c r="R175" s="569"/>
      <c r="S175" s="569"/>
      <c r="T175" s="569"/>
      <c r="U175" s="569"/>
      <c r="V175" s="569"/>
      <c r="W175" s="569"/>
      <c r="X175" s="569"/>
      <c r="Y175" s="569"/>
      <c r="Z175" s="569"/>
      <c r="AA175" s="569"/>
      <c r="AB175" s="569"/>
      <c r="AC175" s="569"/>
      <c r="AD175" s="569"/>
      <c r="AE175" s="569"/>
      <c r="AF175" s="569"/>
      <c r="AG175" s="569"/>
      <c r="AH175" s="569"/>
      <c r="AI175" s="569"/>
      <c r="AJ175" s="569"/>
      <c r="AK175" s="569"/>
      <c r="AL175" s="569"/>
      <c r="AM175" s="569"/>
      <c r="AN175" s="569"/>
    </row>
    <row r="176" spans="1:40" ht="13.5" x14ac:dyDescent="0.2">
      <c r="A176" s="518">
        <f>A175+0.1</f>
        <v>3.2</v>
      </c>
      <c r="B176" s="521"/>
      <c r="C176" s="521" t="s">
        <v>2</v>
      </c>
      <c r="D176" s="521" t="s">
        <v>93</v>
      </c>
      <c r="E176" s="542">
        <f>1.2/100</f>
        <v>1.2E-2</v>
      </c>
      <c r="F176" s="523">
        <f>F174*E176</f>
        <v>0.22</v>
      </c>
      <c r="G176" s="522"/>
      <c r="H176" s="524">
        <f t="shared" si="19"/>
        <v>0</v>
      </c>
      <c r="I176" s="569"/>
      <c r="J176" s="570"/>
      <c r="K176" s="569"/>
      <c r="L176" s="569"/>
      <c r="M176" s="569"/>
      <c r="N176" s="569"/>
      <c r="O176" s="569"/>
      <c r="P176" s="569"/>
      <c r="Q176" s="569"/>
      <c r="R176" s="569"/>
      <c r="S176" s="569"/>
      <c r="T176" s="569"/>
      <c r="U176" s="569"/>
      <c r="V176" s="569"/>
      <c r="W176" s="569"/>
      <c r="X176" s="569"/>
      <c r="Y176" s="569"/>
      <c r="Z176" s="569"/>
      <c r="AA176" s="569"/>
      <c r="AB176" s="569"/>
      <c r="AC176" s="569"/>
      <c r="AD176" s="569"/>
      <c r="AE176" s="569"/>
      <c r="AF176" s="569"/>
      <c r="AG176" s="569"/>
      <c r="AH176" s="569"/>
      <c r="AI176" s="569"/>
      <c r="AJ176" s="569"/>
      <c r="AK176" s="569"/>
      <c r="AL176" s="569"/>
      <c r="AM176" s="569"/>
      <c r="AN176" s="569"/>
    </row>
    <row r="177" spans="1:40" ht="13.5" x14ac:dyDescent="0.2">
      <c r="A177" s="518">
        <f>A176+0.1</f>
        <v>3.3</v>
      </c>
      <c r="B177" s="521"/>
      <c r="C177" s="516" t="s">
        <v>120</v>
      </c>
      <c r="D177" s="516" t="s">
        <v>61</v>
      </c>
      <c r="E177" s="527">
        <f>92/100</f>
        <v>0.92</v>
      </c>
      <c r="F177" s="534">
        <f>F174*E177</f>
        <v>16.559999999999999</v>
      </c>
      <c r="G177" s="527"/>
      <c r="H177" s="517">
        <f t="shared" si="19"/>
        <v>0</v>
      </c>
      <c r="I177" s="569"/>
      <c r="J177" s="570"/>
      <c r="K177" s="569"/>
      <c r="L177" s="569"/>
      <c r="M177" s="569"/>
      <c r="N177" s="569"/>
      <c r="O177" s="569"/>
      <c r="P177" s="569"/>
      <c r="Q177" s="569"/>
      <c r="R177" s="569"/>
      <c r="S177" s="569"/>
      <c r="T177" s="569"/>
      <c r="U177" s="569"/>
      <c r="V177" s="569"/>
      <c r="W177" s="569"/>
      <c r="X177" s="569"/>
      <c r="Y177" s="569"/>
      <c r="Z177" s="569"/>
      <c r="AA177" s="569"/>
      <c r="AB177" s="569"/>
      <c r="AC177" s="569"/>
      <c r="AD177" s="569"/>
      <c r="AE177" s="569"/>
      <c r="AF177" s="569"/>
      <c r="AG177" s="569"/>
      <c r="AH177" s="569"/>
      <c r="AI177" s="569"/>
      <c r="AJ177" s="569"/>
      <c r="AK177" s="569"/>
      <c r="AL177" s="569"/>
      <c r="AM177" s="569"/>
      <c r="AN177" s="569"/>
    </row>
    <row r="178" spans="1:40" ht="27" x14ac:dyDescent="0.2">
      <c r="A178" s="518">
        <f>A177+0.1</f>
        <v>3.4</v>
      </c>
      <c r="B178" s="525"/>
      <c r="C178" s="516" t="s">
        <v>121</v>
      </c>
      <c r="D178" s="527" t="s">
        <v>61</v>
      </c>
      <c r="E178" s="527">
        <f>63/100</f>
        <v>0.63</v>
      </c>
      <c r="F178" s="534">
        <f>F174*E178</f>
        <v>11.34</v>
      </c>
      <c r="G178" s="527"/>
      <c r="H178" s="517">
        <f t="shared" si="19"/>
        <v>0</v>
      </c>
      <c r="I178" s="569"/>
      <c r="J178" s="570"/>
      <c r="K178" s="569"/>
      <c r="L178" s="569"/>
      <c r="M178" s="569"/>
      <c r="N178" s="569"/>
      <c r="O178" s="569"/>
      <c r="P178" s="569"/>
      <c r="Q178" s="569"/>
      <c r="R178" s="569"/>
      <c r="S178" s="569"/>
      <c r="T178" s="569"/>
      <c r="U178" s="569"/>
      <c r="V178" s="569"/>
      <c r="W178" s="569"/>
      <c r="X178" s="569"/>
      <c r="Y178" s="569"/>
      <c r="Z178" s="569"/>
      <c r="AA178" s="569"/>
      <c r="AB178" s="569"/>
      <c r="AC178" s="569"/>
      <c r="AD178" s="569"/>
      <c r="AE178" s="569"/>
      <c r="AF178" s="569"/>
      <c r="AG178" s="569"/>
      <c r="AH178" s="569"/>
      <c r="AI178" s="569"/>
      <c r="AJ178" s="569"/>
      <c r="AK178" s="569"/>
      <c r="AL178" s="569"/>
      <c r="AM178" s="569"/>
      <c r="AN178" s="569"/>
    </row>
    <row r="179" spans="1:40" ht="15.75" x14ac:dyDescent="0.2">
      <c r="A179" s="518">
        <f>A178+0.1</f>
        <v>3.5</v>
      </c>
      <c r="B179" s="525"/>
      <c r="C179" s="516" t="s">
        <v>8</v>
      </c>
      <c r="D179" s="527" t="s">
        <v>6</v>
      </c>
      <c r="E179" s="551">
        <f>1.8/100</f>
        <v>1.7999999999999999E-2</v>
      </c>
      <c r="F179" s="534">
        <f>F174*E179</f>
        <v>0.32</v>
      </c>
      <c r="G179" s="527"/>
      <c r="H179" s="517">
        <f t="shared" si="19"/>
        <v>0</v>
      </c>
      <c r="I179" s="569"/>
      <c r="J179" s="570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569"/>
      <c r="AJ179" s="569"/>
      <c r="AK179" s="569"/>
      <c r="AL179" s="569"/>
      <c r="AM179" s="569"/>
      <c r="AN179" s="569"/>
    </row>
    <row r="180" spans="1:40" ht="21.75" customHeight="1" x14ac:dyDescent="0.2">
      <c r="A180" s="662" t="s">
        <v>122</v>
      </c>
      <c r="B180" s="662"/>
      <c r="C180" s="662"/>
      <c r="D180" s="662"/>
      <c r="E180" s="662"/>
      <c r="F180" s="662"/>
      <c r="G180" s="662"/>
      <c r="H180" s="662"/>
      <c r="I180" s="569"/>
      <c r="J180" s="570"/>
      <c r="K180" s="569"/>
      <c r="L180" s="569"/>
      <c r="M180" s="569"/>
      <c r="N180" s="569"/>
      <c r="O180" s="569"/>
      <c r="P180" s="569"/>
      <c r="Q180" s="569"/>
      <c r="R180" s="569"/>
      <c r="S180" s="569"/>
      <c r="T180" s="569"/>
      <c r="U180" s="569"/>
      <c r="V180" s="569"/>
      <c r="W180" s="569"/>
      <c r="X180" s="569"/>
      <c r="Y180" s="569"/>
      <c r="Z180" s="569"/>
      <c r="AA180" s="569"/>
      <c r="AB180" s="569"/>
      <c r="AC180" s="569"/>
      <c r="AD180" s="569"/>
      <c r="AE180" s="569"/>
      <c r="AF180" s="569"/>
      <c r="AG180" s="569"/>
      <c r="AH180" s="569"/>
      <c r="AI180" s="569"/>
      <c r="AJ180" s="569"/>
      <c r="AK180" s="569"/>
      <c r="AL180" s="569"/>
      <c r="AM180" s="569"/>
      <c r="AN180" s="569"/>
    </row>
    <row r="181" spans="1:40" ht="33" customHeight="1" x14ac:dyDescent="0.2">
      <c r="A181" s="553">
        <v>1</v>
      </c>
      <c r="B181" s="540" t="s">
        <v>185</v>
      </c>
      <c r="C181" s="540" t="s">
        <v>215</v>
      </c>
      <c r="D181" s="540" t="s">
        <v>110</v>
      </c>
      <c r="E181" s="540"/>
      <c r="F181" s="568">
        <v>6</v>
      </c>
      <c r="G181" s="540"/>
      <c r="H181" s="553">
        <f>H182+H183+H184</f>
        <v>0</v>
      </c>
      <c r="I181" s="569"/>
      <c r="J181" s="570"/>
      <c r="K181" s="569"/>
      <c r="L181" s="569"/>
      <c r="M181" s="569"/>
      <c r="N181" s="569"/>
      <c r="O181" s="569"/>
      <c r="P181" s="569"/>
      <c r="Q181" s="569"/>
      <c r="R181" s="569"/>
      <c r="S181" s="569"/>
      <c r="T181" s="569"/>
      <c r="U181" s="569"/>
      <c r="V181" s="569"/>
      <c r="W181" s="569"/>
      <c r="X181" s="569"/>
      <c r="Y181" s="569"/>
      <c r="Z181" s="569"/>
      <c r="AA181" s="569"/>
      <c r="AB181" s="569"/>
      <c r="AC181" s="569"/>
      <c r="AD181" s="569"/>
      <c r="AE181" s="569"/>
      <c r="AF181" s="569"/>
      <c r="AG181" s="569"/>
      <c r="AH181" s="569"/>
      <c r="AI181" s="569"/>
      <c r="AJ181" s="569"/>
      <c r="AK181" s="569"/>
      <c r="AL181" s="569"/>
      <c r="AM181" s="569"/>
      <c r="AN181" s="569"/>
    </row>
    <row r="182" spans="1:40" ht="13.5" x14ac:dyDescent="0.2">
      <c r="A182" s="516">
        <f>A181+0.1</f>
        <v>1.1000000000000001</v>
      </c>
      <c r="B182" s="516"/>
      <c r="C182" s="619" t="s">
        <v>92</v>
      </c>
      <c r="D182" s="619" t="s">
        <v>1</v>
      </c>
      <c r="E182" s="619">
        <v>1.79</v>
      </c>
      <c r="F182" s="622">
        <f>F181*E182</f>
        <v>10.74</v>
      </c>
      <c r="G182" s="619"/>
      <c r="H182" s="546">
        <f>F182*G182</f>
        <v>0</v>
      </c>
      <c r="I182" s="569"/>
      <c r="J182" s="570"/>
      <c r="K182" s="569"/>
      <c r="L182" s="569"/>
      <c r="M182" s="574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569"/>
      <c r="AD182" s="569"/>
      <c r="AE182" s="569"/>
      <c r="AF182" s="569"/>
      <c r="AG182" s="569"/>
      <c r="AH182" s="569"/>
      <c r="AI182" s="569"/>
      <c r="AJ182" s="569"/>
      <c r="AK182" s="569"/>
      <c r="AL182" s="569"/>
      <c r="AM182" s="569"/>
      <c r="AN182" s="569"/>
    </row>
    <row r="183" spans="1:40" ht="13.5" x14ac:dyDescent="0.2">
      <c r="A183" s="516">
        <f>A182+0.1</f>
        <v>1.2</v>
      </c>
      <c r="B183" s="516"/>
      <c r="C183" s="543" t="s">
        <v>2</v>
      </c>
      <c r="D183" s="543" t="s">
        <v>59</v>
      </c>
      <c r="E183" s="544">
        <f>0.076</f>
        <v>7.5999999999999998E-2</v>
      </c>
      <c r="F183" s="545">
        <f>F181*E183</f>
        <v>0.46</v>
      </c>
      <c r="G183" s="544"/>
      <c r="H183" s="546">
        <f>F183*G183</f>
        <v>0</v>
      </c>
      <c r="I183" s="569"/>
      <c r="J183" s="570"/>
      <c r="K183" s="574"/>
      <c r="L183" s="569"/>
      <c r="M183" s="569"/>
      <c r="N183" s="569"/>
      <c r="O183" s="574"/>
      <c r="P183" s="569"/>
      <c r="Q183" s="569"/>
      <c r="R183" s="569"/>
      <c r="S183" s="569"/>
      <c r="T183" s="569"/>
      <c r="U183" s="569"/>
      <c r="V183" s="569"/>
      <c r="W183" s="569"/>
      <c r="X183" s="569"/>
      <c r="Y183" s="569"/>
      <c r="Z183" s="569"/>
      <c r="AA183" s="569"/>
      <c r="AB183" s="569"/>
      <c r="AC183" s="569"/>
      <c r="AD183" s="569"/>
      <c r="AE183" s="569"/>
      <c r="AF183" s="569"/>
      <c r="AG183" s="569"/>
      <c r="AH183" s="569"/>
      <c r="AI183" s="569"/>
      <c r="AJ183" s="569"/>
      <c r="AK183" s="569"/>
      <c r="AL183" s="569"/>
      <c r="AM183" s="569"/>
      <c r="AN183" s="569"/>
    </row>
    <row r="184" spans="1:40" ht="13.5" x14ac:dyDescent="0.2">
      <c r="A184" s="516">
        <f>A183+0.1</f>
        <v>1.3</v>
      </c>
      <c r="B184" s="516"/>
      <c r="C184" s="516" t="s">
        <v>186</v>
      </c>
      <c r="D184" s="516" t="s">
        <v>95</v>
      </c>
      <c r="E184" s="516">
        <v>4.3999999999999997E-2</v>
      </c>
      <c r="F184" s="534">
        <f>E184*F181</f>
        <v>0.26</v>
      </c>
      <c r="G184" s="516"/>
      <c r="H184" s="517">
        <f>F184*G184</f>
        <v>0</v>
      </c>
      <c r="I184" s="569"/>
      <c r="J184" s="570"/>
      <c r="K184" s="569"/>
      <c r="L184" s="569"/>
      <c r="M184" s="569"/>
      <c r="N184" s="569"/>
      <c r="O184" s="569"/>
      <c r="P184" s="569"/>
      <c r="Q184" s="569"/>
      <c r="R184" s="569"/>
      <c r="S184" s="569"/>
      <c r="T184" s="569"/>
      <c r="U184" s="569"/>
      <c r="V184" s="569"/>
      <c r="W184" s="569"/>
      <c r="X184" s="569"/>
      <c r="Y184" s="569"/>
      <c r="Z184" s="569"/>
      <c r="AA184" s="569"/>
      <c r="AB184" s="569"/>
      <c r="AC184" s="569"/>
      <c r="AD184" s="569"/>
      <c r="AE184" s="569"/>
      <c r="AF184" s="569"/>
      <c r="AG184" s="569"/>
      <c r="AH184" s="569"/>
      <c r="AI184" s="569"/>
      <c r="AJ184" s="569"/>
      <c r="AK184" s="569"/>
      <c r="AL184" s="569"/>
      <c r="AM184" s="569"/>
      <c r="AN184" s="569"/>
    </row>
    <row r="185" spans="1:40" ht="35.25" customHeight="1" x14ac:dyDescent="0.2">
      <c r="A185" s="553">
        <f>A181+1</f>
        <v>2</v>
      </c>
      <c r="B185" s="540" t="s">
        <v>216</v>
      </c>
      <c r="C185" s="540" t="s">
        <v>217</v>
      </c>
      <c r="D185" s="540" t="s">
        <v>110</v>
      </c>
      <c r="E185" s="540"/>
      <c r="F185" s="568">
        <v>520</v>
      </c>
      <c r="G185" s="540"/>
      <c r="H185" s="553">
        <f>SUM(H186:H189)</f>
        <v>0</v>
      </c>
      <c r="I185" s="569"/>
      <c r="J185" s="570"/>
      <c r="K185" s="574"/>
      <c r="L185" s="574"/>
      <c r="M185" s="574"/>
      <c r="N185" s="571"/>
      <c r="O185" s="569"/>
      <c r="P185" s="569"/>
      <c r="Q185" s="569"/>
      <c r="R185" s="569"/>
      <c r="S185" s="569"/>
      <c r="T185" s="569"/>
      <c r="U185" s="569"/>
      <c r="V185" s="569"/>
      <c r="W185" s="569"/>
      <c r="X185" s="569"/>
      <c r="Y185" s="569"/>
      <c r="Z185" s="569"/>
      <c r="AA185" s="569"/>
      <c r="AB185" s="569"/>
      <c r="AC185" s="569"/>
      <c r="AD185" s="569"/>
      <c r="AE185" s="569"/>
      <c r="AF185" s="569"/>
      <c r="AG185" s="569"/>
      <c r="AH185" s="569"/>
      <c r="AI185" s="569"/>
      <c r="AJ185" s="569"/>
      <c r="AK185" s="569"/>
      <c r="AL185" s="569"/>
      <c r="AM185" s="569"/>
      <c r="AN185" s="569"/>
    </row>
    <row r="186" spans="1:40" ht="13.5" x14ac:dyDescent="0.2">
      <c r="A186" s="516">
        <f>A185+0.1</f>
        <v>2.1</v>
      </c>
      <c r="B186" s="516"/>
      <c r="C186" s="619" t="s">
        <v>92</v>
      </c>
      <c r="D186" s="619" t="s">
        <v>1</v>
      </c>
      <c r="E186" s="619">
        <v>0.5</v>
      </c>
      <c r="F186" s="622">
        <f>F185*E186</f>
        <v>260</v>
      </c>
      <c r="G186" s="619"/>
      <c r="H186" s="546">
        <f>F186*G186</f>
        <v>0</v>
      </c>
      <c r="I186" s="569"/>
      <c r="J186" s="570"/>
      <c r="K186" s="569"/>
      <c r="L186" s="569"/>
      <c r="M186" s="569"/>
      <c r="N186" s="569"/>
      <c r="O186" s="569"/>
      <c r="P186" s="569"/>
      <c r="Q186" s="569"/>
      <c r="R186" s="569"/>
      <c r="S186" s="569"/>
      <c r="T186" s="569"/>
      <c r="U186" s="569"/>
      <c r="V186" s="569"/>
      <c r="W186" s="569"/>
      <c r="X186" s="569"/>
      <c r="Y186" s="569"/>
      <c r="Z186" s="569"/>
      <c r="AA186" s="569"/>
      <c r="AB186" s="569"/>
      <c r="AC186" s="569"/>
      <c r="AD186" s="569"/>
      <c r="AE186" s="569"/>
      <c r="AF186" s="569"/>
      <c r="AG186" s="569"/>
      <c r="AH186" s="569"/>
      <c r="AI186" s="569"/>
      <c r="AJ186" s="569"/>
      <c r="AK186" s="569"/>
      <c r="AL186" s="569"/>
      <c r="AM186" s="569"/>
      <c r="AN186" s="569"/>
    </row>
    <row r="187" spans="1:40" ht="13.5" x14ac:dyDescent="0.2">
      <c r="A187" s="516">
        <v>2.2999999999999998</v>
      </c>
      <c r="B187" s="516"/>
      <c r="C187" s="543" t="s">
        <v>2</v>
      </c>
      <c r="D187" s="543" t="s">
        <v>59</v>
      </c>
      <c r="E187" s="547">
        <v>2.7E-2</v>
      </c>
      <c r="F187" s="548">
        <f>F185*E187</f>
        <v>14.04</v>
      </c>
      <c r="G187" s="543"/>
      <c r="H187" s="549">
        <f>F187*G187</f>
        <v>0</v>
      </c>
      <c r="I187" s="569"/>
      <c r="J187" s="570"/>
      <c r="K187" s="569"/>
      <c r="L187" s="569"/>
      <c r="M187" s="574"/>
      <c r="N187" s="569"/>
      <c r="O187" s="569"/>
      <c r="P187" s="569"/>
      <c r="Q187" s="569"/>
      <c r="R187" s="569"/>
      <c r="S187" s="569"/>
      <c r="T187" s="569"/>
      <c r="U187" s="569"/>
      <c r="V187" s="569"/>
      <c r="W187" s="569"/>
      <c r="X187" s="569"/>
      <c r="Y187" s="569"/>
      <c r="Z187" s="569"/>
      <c r="AA187" s="569"/>
      <c r="AB187" s="569"/>
      <c r="AC187" s="569"/>
      <c r="AD187" s="569"/>
      <c r="AE187" s="569"/>
      <c r="AF187" s="569"/>
      <c r="AG187" s="569"/>
      <c r="AH187" s="569"/>
      <c r="AI187" s="569"/>
      <c r="AJ187" s="569"/>
      <c r="AK187" s="569"/>
      <c r="AL187" s="569"/>
      <c r="AM187" s="569"/>
      <c r="AN187" s="569"/>
    </row>
    <row r="188" spans="1:40" ht="13.5" x14ac:dyDescent="0.2">
      <c r="A188" s="516">
        <f>A187+0.1</f>
        <v>2.4</v>
      </c>
      <c r="B188" s="516"/>
      <c r="C188" s="516" t="s">
        <v>184</v>
      </c>
      <c r="D188" s="516" t="s">
        <v>95</v>
      </c>
      <c r="E188" s="516">
        <f>2.38/100</f>
        <v>2.3800000000000002E-2</v>
      </c>
      <c r="F188" s="534">
        <f>E188*F185</f>
        <v>12.38</v>
      </c>
      <c r="G188" s="516"/>
      <c r="H188" s="517">
        <f>F188*G188</f>
        <v>0</v>
      </c>
      <c r="I188" s="569"/>
      <c r="J188" s="570"/>
      <c r="K188" s="569"/>
      <c r="L188" s="569"/>
      <c r="M188" s="569"/>
      <c r="N188" s="569"/>
      <c r="O188" s="569"/>
      <c r="P188" s="569"/>
      <c r="Q188" s="569"/>
      <c r="R188" s="569"/>
      <c r="S188" s="569"/>
      <c r="T188" s="569"/>
      <c r="U188" s="569"/>
      <c r="V188" s="569"/>
      <c r="W188" s="569"/>
      <c r="X188" s="569"/>
      <c r="Y188" s="569"/>
      <c r="Z188" s="569"/>
      <c r="AA188" s="569"/>
      <c r="AB188" s="569"/>
      <c r="AC188" s="569"/>
      <c r="AD188" s="569"/>
      <c r="AE188" s="569"/>
      <c r="AF188" s="569"/>
      <c r="AG188" s="569"/>
      <c r="AH188" s="569"/>
      <c r="AI188" s="569"/>
      <c r="AJ188" s="569"/>
      <c r="AK188" s="569"/>
      <c r="AL188" s="569"/>
      <c r="AM188" s="569"/>
      <c r="AN188" s="569"/>
    </row>
    <row r="189" spans="1:40" ht="13.5" x14ac:dyDescent="0.2">
      <c r="A189" s="516">
        <f>A188+0.1</f>
        <v>2.5</v>
      </c>
      <c r="B189" s="516"/>
      <c r="C189" s="516" t="s">
        <v>8</v>
      </c>
      <c r="D189" s="516" t="s">
        <v>59</v>
      </c>
      <c r="E189" s="516">
        <v>3.0000000000000001E-3</v>
      </c>
      <c r="F189" s="534">
        <f>F185*E189</f>
        <v>1.56</v>
      </c>
      <c r="G189" s="516"/>
      <c r="H189" s="517">
        <f>F189*G189</f>
        <v>0</v>
      </c>
      <c r="I189" s="569"/>
      <c r="J189" s="570"/>
      <c r="K189" s="569"/>
      <c r="L189" s="569"/>
      <c r="M189" s="569"/>
      <c r="N189" s="569"/>
      <c r="O189" s="569"/>
      <c r="P189" s="569"/>
      <c r="Q189" s="569"/>
      <c r="R189" s="569"/>
      <c r="S189" s="569"/>
      <c r="T189" s="569"/>
      <c r="U189" s="569"/>
      <c r="V189" s="569"/>
      <c r="W189" s="569"/>
      <c r="X189" s="569"/>
      <c r="Y189" s="569"/>
      <c r="Z189" s="569"/>
      <c r="AA189" s="569"/>
      <c r="AB189" s="569"/>
      <c r="AC189" s="569"/>
      <c r="AD189" s="569"/>
      <c r="AE189" s="569"/>
      <c r="AF189" s="569"/>
      <c r="AG189" s="569"/>
      <c r="AH189" s="569"/>
      <c r="AI189" s="569"/>
      <c r="AJ189" s="569"/>
      <c r="AK189" s="569"/>
      <c r="AL189" s="569"/>
      <c r="AM189" s="569"/>
      <c r="AN189" s="569"/>
    </row>
    <row r="190" spans="1:40" ht="60" customHeight="1" x14ac:dyDescent="0.2">
      <c r="A190" s="553">
        <f>A185+1</f>
        <v>3</v>
      </c>
      <c r="B190" s="540" t="s">
        <v>187</v>
      </c>
      <c r="C190" s="540" t="s">
        <v>364</v>
      </c>
      <c r="D190" s="617" t="s">
        <v>4</v>
      </c>
      <c r="E190" s="617"/>
      <c r="F190" s="617">
        <v>53</v>
      </c>
      <c r="G190" s="617"/>
      <c r="H190" s="553">
        <f>SUM(H191:H195)</f>
        <v>0</v>
      </c>
      <c r="I190" s="569"/>
      <c r="J190" s="570"/>
      <c r="K190" s="574"/>
      <c r="L190" s="569"/>
      <c r="M190" s="569"/>
      <c r="N190" s="569"/>
      <c r="O190" s="569"/>
      <c r="P190" s="569"/>
      <c r="Q190" s="569"/>
      <c r="R190" s="569"/>
      <c r="S190" s="569"/>
      <c r="T190" s="569"/>
      <c r="U190" s="569"/>
      <c r="V190" s="569"/>
      <c r="W190" s="569"/>
      <c r="X190" s="569"/>
      <c r="Y190" s="569"/>
      <c r="Z190" s="569"/>
      <c r="AA190" s="569"/>
      <c r="AB190" s="569"/>
      <c r="AC190" s="569"/>
      <c r="AD190" s="569"/>
      <c r="AE190" s="569"/>
      <c r="AF190" s="569"/>
      <c r="AG190" s="569"/>
      <c r="AH190" s="569"/>
      <c r="AI190" s="569"/>
      <c r="AJ190" s="569"/>
      <c r="AK190" s="569"/>
      <c r="AL190" s="569"/>
      <c r="AM190" s="569"/>
      <c r="AN190" s="569"/>
    </row>
    <row r="191" spans="1:40" ht="13.5" x14ac:dyDescent="0.2">
      <c r="A191" s="518">
        <f>A190+0.1</f>
        <v>3.1</v>
      </c>
      <c r="B191" s="619"/>
      <c r="C191" s="619" t="s">
        <v>92</v>
      </c>
      <c r="D191" s="620" t="s">
        <v>1</v>
      </c>
      <c r="E191" s="620">
        <f>1.7</f>
        <v>1.7</v>
      </c>
      <c r="F191" s="622">
        <f>F190*E191</f>
        <v>90.1</v>
      </c>
      <c r="G191" s="619"/>
      <c r="H191" s="546">
        <f>G191*F191</f>
        <v>0</v>
      </c>
      <c r="I191" s="569"/>
      <c r="J191" s="570"/>
      <c r="K191" s="569"/>
      <c r="L191" s="569"/>
      <c r="M191" s="569"/>
      <c r="N191" s="569"/>
      <c r="O191" s="569"/>
      <c r="P191" s="569"/>
      <c r="Q191" s="569"/>
      <c r="R191" s="569"/>
      <c r="S191" s="569"/>
      <c r="T191" s="569"/>
      <c r="U191" s="569"/>
      <c r="V191" s="569"/>
      <c r="W191" s="569"/>
      <c r="X191" s="569"/>
      <c r="Y191" s="569"/>
      <c r="Z191" s="569"/>
      <c r="AA191" s="569"/>
      <c r="AB191" s="569"/>
      <c r="AC191" s="569"/>
      <c r="AD191" s="569"/>
      <c r="AE191" s="569"/>
      <c r="AF191" s="569"/>
      <c r="AG191" s="569"/>
      <c r="AH191" s="569"/>
      <c r="AI191" s="569"/>
      <c r="AJ191" s="569"/>
      <c r="AK191" s="569"/>
      <c r="AL191" s="569"/>
      <c r="AM191" s="569"/>
      <c r="AN191" s="569"/>
    </row>
    <row r="192" spans="1:40" ht="13.5" x14ac:dyDescent="0.2">
      <c r="A192" s="518">
        <f>A191+0.1</f>
        <v>3.2</v>
      </c>
      <c r="B192" s="521"/>
      <c r="C192" s="521" t="s">
        <v>2</v>
      </c>
      <c r="D192" s="522" t="s">
        <v>93</v>
      </c>
      <c r="E192" s="542">
        <f>0.02</f>
        <v>0.02</v>
      </c>
      <c r="F192" s="522">
        <f>F190*E192</f>
        <v>1.06</v>
      </c>
      <c r="G192" s="522"/>
      <c r="H192" s="524">
        <f>G192*F192</f>
        <v>0</v>
      </c>
      <c r="I192" s="569"/>
      <c r="J192" s="570"/>
      <c r="K192" s="569"/>
      <c r="L192" s="569"/>
      <c r="M192" s="569"/>
      <c r="N192" s="569"/>
      <c r="O192" s="569"/>
      <c r="P192" s="569"/>
      <c r="Q192" s="569"/>
      <c r="R192" s="569"/>
      <c r="S192" s="569"/>
      <c r="T192" s="569"/>
      <c r="U192" s="569"/>
      <c r="V192" s="569"/>
      <c r="W192" s="569"/>
      <c r="X192" s="569"/>
      <c r="Y192" s="569"/>
      <c r="Z192" s="569"/>
      <c r="AA192" s="569"/>
      <c r="AB192" s="569"/>
      <c r="AC192" s="569"/>
      <c r="AD192" s="569"/>
      <c r="AE192" s="569"/>
      <c r="AF192" s="569"/>
      <c r="AG192" s="569"/>
      <c r="AH192" s="569"/>
      <c r="AI192" s="569"/>
      <c r="AJ192" s="569"/>
      <c r="AK192" s="569"/>
      <c r="AL192" s="569"/>
      <c r="AM192" s="569"/>
      <c r="AN192" s="569"/>
    </row>
    <row r="193" spans="1:40" ht="13.5" x14ac:dyDescent="0.2">
      <c r="A193" s="518">
        <f>A192+0.1</f>
        <v>3.3</v>
      </c>
      <c r="B193" s="516"/>
      <c r="C193" s="516" t="s">
        <v>592</v>
      </c>
      <c r="D193" s="527" t="s">
        <v>4</v>
      </c>
      <c r="E193" s="527">
        <v>1</v>
      </c>
      <c r="F193" s="527">
        <f>F190*E193</f>
        <v>53</v>
      </c>
      <c r="G193" s="527"/>
      <c r="H193" s="517">
        <f>G193*F193</f>
        <v>0</v>
      </c>
      <c r="I193" s="569"/>
      <c r="J193" s="570"/>
      <c r="K193" s="569"/>
      <c r="L193" s="569"/>
      <c r="M193" s="569"/>
      <c r="N193" s="569"/>
      <c r="O193" s="569"/>
      <c r="P193" s="569"/>
      <c r="Q193" s="569"/>
      <c r="R193" s="569"/>
      <c r="S193" s="569"/>
      <c r="T193" s="569"/>
      <c r="U193" s="569"/>
      <c r="V193" s="569"/>
      <c r="W193" s="569"/>
      <c r="X193" s="569"/>
      <c r="Y193" s="569"/>
      <c r="Z193" s="569"/>
      <c r="AA193" s="569"/>
      <c r="AB193" s="569"/>
      <c r="AC193" s="569"/>
      <c r="AD193" s="569"/>
      <c r="AE193" s="569"/>
      <c r="AF193" s="569"/>
      <c r="AG193" s="569"/>
      <c r="AH193" s="569"/>
      <c r="AI193" s="569"/>
      <c r="AJ193" s="569"/>
      <c r="AK193" s="569"/>
      <c r="AL193" s="569"/>
      <c r="AM193" s="569"/>
      <c r="AN193" s="569"/>
    </row>
    <row r="194" spans="1:40" ht="13.5" x14ac:dyDescent="0.2">
      <c r="A194" s="518">
        <f>A193+0.1</f>
        <v>3.4</v>
      </c>
      <c r="B194" s="516"/>
      <c r="C194" s="516" t="s">
        <v>117</v>
      </c>
      <c r="D194" s="527" t="s">
        <v>61</v>
      </c>
      <c r="E194" s="527" t="s">
        <v>98</v>
      </c>
      <c r="F194" s="534">
        <f>F190*6</f>
        <v>318</v>
      </c>
      <c r="G194" s="527"/>
      <c r="H194" s="517">
        <f>G194*F194</f>
        <v>0</v>
      </c>
      <c r="I194" s="569"/>
      <c r="J194" s="570"/>
      <c r="K194" s="569"/>
      <c r="L194" s="569"/>
      <c r="M194" s="569"/>
      <c r="N194" s="569"/>
      <c r="O194" s="569"/>
      <c r="P194" s="569"/>
      <c r="Q194" s="569"/>
      <c r="R194" s="569"/>
      <c r="S194" s="569"/>
      <c r="T194" s="569"/>
      <c r="U194" s="569"/>
      <c r="V194" s="569"/>
      <c r="W194" s="569"/>
      <c r="X194" s="569"/>
      <c r="Y194" s="569"/>
      <c r="Z194" s="569"/>
      <c r="AA194" s="569"/>
      <c r="AB194" s="569"/>
      <c r="AC194" s="569"/>
      <c r="AD194" s="569"/>
      <c r="AE194" s="569"/>
      <c r="AF194" s="569"/>
      <c r="AG194" s="569"/>
      <c r="AH194" s="569"/>
      <c r="AI194" s="569"/>
      <c r="AJ194" s="569"/>
      <c r="AK194" s="569"/>
      <c r="AL194" s="569"/>
      <c r="AM194" s="569"/>
      <c r="AN194" s="569"/>
    </row>
    <row r="195" spans="1:40" ht="13.5" x14ac:dyDescent="0.2">
      <c r="A195" s="518">
        <f>A194+0.1</f>
        <v>3.5</v>
      </c>
      <c r="B195" s="516"/>
      <c r="C195" s="516" t="s">
        <v>8</v>
      </c>
      <c r="D195" s="527" t="s">
        <v>93</v>
      </c>
      <c r="E195" s="527">
        <v>0.01</v>
      </c>
      <c r="F195" s="527">
        <f>F190*E195</f>
        <v>0.53</v>
      </c>
      <c r="G195" s="527"/>
      <c r="H195" s="517">
        <f>G195*F195</f>
        <v>0</v>
      </c>
      <c r="I195" s="569"/>
      <c r="J195" s="570"/>
      <c r="K195" s="569"/>
      <c r="L195" s="569"/>
      <c r="M195" s="569"/>
      <c r="N195" s="569"/>
      <c r="O195" s="569"/>
      <c r="P195" s="569"/>
      <c r="Q195" s="569"/>
      <c r="R195" s="569"/>
      <c r="S195" s="569"/>
      <c r="T195" s="569"/>
      <c r="U195" s="569"/>
      <c r="V195" s="569"/>
      <c r="W195" s="569"/>
      <c r="X195" s="569"/>
      <c r="Y195" s="569"/>
      <c r="Z195" s="569"/>
      <c r="AA195" s="569"/>
      <c r="AB195" s="569"/>
      <c r="AC195" s="569"/>
      <c r="AD195" s="569"/>
      <c r="AE195" s="569"/>
      <c r="AF195" s="569"/>
      <c r="AG195" s="569"/>
      <c r="AH195" s="569"/>
      <c r="AI195" s="569"/>
      <c r="AJ195" s="569"/>
      <c r="AK195" s="569"/>
      <c r="AL195" s="569"/>
      <c r="AM195" s="569"/>
      <c r="AN195" s="569"/>
    </row>
    <row r="196" spans="1:40" ht="64.5" customHeight="1" x14ac:dyDescent="0.2">
      <c r="A196" s="553">
        <f>A190+1</f>
        <v>4</v>
      </c>
      <c r="B196" s="618" t="s">
        <v>123</v>
      </c>
      <c r="C196" s="540" t="s">
        <v>124</v>
      </c>
      <c r="D196" s="617" t="s">
        <v>4</v>
      </c>
      <c r="E196" s="617"/>
      <c r="F196" s="626">
        <f>F185-F190+F181</f>
        <v>473</v>
      </c>
      <c r="G196" s="617"/>
      <c r="H196" s="553">
        <f>SUM(H197:H201)</f>
        <v>0</v>
      </c>
      <c r="I196" s="569"/>
      <c r="J196" s="570"/>
      <c r="K196" s="569"/>
      <c r="L196" s="569"/>
      <c r="M196" s="569"/>
      <c r="N196" s="569"/>
      <c r="O196" s="569"/>
      <c r="P196" s="569"/>
      <c r="Q196" s="569"/>
      <c r="R196" s="569"/>
      <c r="S196" s="569"/>
      <c r="T196" s="569"/>
      <c r="U196" s="569"/>
      <c r="V196" s="569"/>
      <c r="W196" s="569"/>
      <c r="X196" s="569"/>
      <c r="Y196" s="569"/>
      <c r="Z196" s="569"/>
      <c r="AA196" s="569"/>
      <c r="AB196" s="569"/>
      <c r="AC196" s="569"/>
      <c r="AD196" s="569"/>
      <c r="AE196" s="569"/>
      <c r="AF196" s="569"/>
      <c r="AG196" s="569"/>
      <c r="AH196" s="569"/>
      <c r="AI196" s="569"/>
      <c r="AJ196" s="569"/>
      <c r="AK196" s="569"/>
      <c r="AL196" s="569"/>
      <c r="AM196" s="569"/>
      <c r="AN196" s="569"/>
    </row>
    <row r="197" spans="1:40" ht="13.5" x14ac:dyDescent="0.2">
      <c r="A197" s="516">
        <f>A196+0.1</f>
        <v>4.0999999999999996</v>
      </c>
      <c r="B197" s="619"/>
      <c r="C197" s="619" t="s">
        <v>92</v>
      </c>
      <c r="D197" s="619" t="s">
        <v>4</v>
      </c>
      <c r="E197" s="621">
        <f>65.8/100</f>
        <v>0.65800000000000003</v>
      </c>
      <c r="F197" s="622">
        <f>F196*E197</f>
        <v>311.23</v>
      </c>
      <c r="G197" s="619"/>
      <c r="H197" s="546">
        <f>G197*F197</f>
        <v>0</v>
      </c>
      <c r="I197" s="569"/>
      <c r="J197" s="570"/>
      <c r="K197" s="569"/>
      <c r="L197" s="569"/>
      <c r="M197" s="569"/>
      <c r="N197" s="569"/>
      <c r="O197" s="569"/>
      <c r="P197" s="569"/>
      <c r="Q197" s="569"/>
      <c r="R197" s="569"/>
      <c r="S197" s="569"/>
      <c r="T197" s="569"/>
      <c r="U197" s="569"/>
      <c r="V197" s="569"/>
      <c r="W197" s="569"/>
      <c r="X197" s="569"/>
      <c r="Y197" s="569"/>
      <c r="Z197" s="569"/>
      <c r="AA197" s="569"/>
      <c r="AB197" s="569"/>
      <c r="AC197" s="569"/>
      <c r="AD197" s="569"/>
      <c r="AE197" s="569"/>
      <c r="AF197" s="569"/>
      <c r="AG197" s="569"/>
      <c r="AH197" s="569"/>
      <c r="AI197" s="569"/>
      <c r="AJ197" s="569"/>
      <c r="AK197" s="569"/>
      <c r="AL197" s="569"/>
      <c r="AM197" s="569"/>
      <c r="AN197" s="569"/>
    </row>
    <row r="198" spans="1:40" ht="13.5" x14ac:dyDescent="0.2">
      <c r="A198" s="516">
        <f>A197+0.1</f>
        <v>4.2</v>
      </c>
      <c r="B198" s="521"/>
      <c r="C198" s="521" t="s">
        <v>2</v>
      </c>
      <c r="D198" s="521" t="s">
        <v>93</v>
      </c>
      <c r="E198" s="522">
        <f>1/100</f>
        <v>0.01</v>
      </c>
      <c r="F198" s="523">
        <f>F196*E198</f>
        <v>4.7300000000000004</v>
      </c>
      <c r="G198" s="522"/>
      <c r="H198" s="524">
        <f>G198*F198</f>
        <v>0</v>
      </c>
      <c r="I198" s="569"/>
      <c r="J198" s="570"/>
      <c r="K198" s="569"/>
      <c r="L198" s="569"/>
      <c r="M198" s="569"/>
      <c r="N198" s="569"/>
      <c r="O198" s="569"/>
      <c r="P198" s="569"/>
      <c r="Q198" s="569"/>
      <c r="R198" s="569"/>
      <c r="S198" s="569"/>
      <c r="T198" s="569"/>
      <c r="U198" s="569"/>
      <c r="V198" s="569"/>
      <c r="W198" s="569"/>
      <c r="X198" s="569"/>
      <c r="Y198" s="569"/>
      <c r="Z198" s="569"/>
      <c r="AA198" s="569"/>
      <c r="AB198" s="569"/>
      <c r="AC198" s="569"/>
      <c r="AD198" s="569"/>
      <c r="AE198" s="569"/>
      <c r="AF198" s="569"/>
      <c r="AG198" s="569"/>
      <c r="AH198" s="569"/>
      <c r="AI198" s="569"/>
      <c r="AJ198" s="569"/>
      <c r="AK198" s="569"/>
      <c r="AL198" s="569"/>
      <c r="AM198" s="569"/>
      <c r="AN198" s="569"/>
    </row>
    <row r="199" spans="1:40" ht="13.5" x14ac:dyDescent="0.2">
      <c r="A199" s="516">
        <f>A198+0.1</f>
        <v>4.3</v>
      </c>
      <c r="B199" s="521"/>
      <c r="C199" s="516" t="s">
        <v>120</v>
      </c>
      <c r="D199" s="516" t="s">
        <v>61</v>
      </c>
      <c r="E199" s="527">
        <f>79/100</f>
        <v>0.79</v>
      </c>
      <c r="F199" s="534">
        <f>F196*E199</f>
        <v>373.67</v>
      </c>
      <c r="G199" s="527"/>
      <c r="H199" s="517">
        <f>G199*F199</f>
        <v>0</v>
      </c>
      <c r="I199" s="569"/>
      <c r="J199" s="570"/>
      <c r="K199" s="574"/>
      <c r="L199" s="569"/>
      <c r="M199" s="569"/>
      <c r="N199" s="569"/>
      <c r="O199" s="569"/>
      <c r="P199" s="569"/>
      <c r="Q199" s="569"/>
      <c r="R199" s="569"/>
      <c r="S199" s="569"/>
      <c r="T199" s="569"/>
      <c r="U199" s="569"/>
      <c r="V199" s="569"/>
      <c r="W199" s="569"/>
      <c r="X199" s="569"/>
      <c r="Y199" s="569"/>
      <c r="Z199" s="569"/>
      <c r="AA199" s="569"/>
      <c r="AB199" s="569"/>
      <c r="AC199" s="569"/>
      <c r="AD199" s="569"/>
      <c r="AE199" s="569"/>
      <c r="AF199" s="569"/>
      <c r="AG199" s="569"/>
      <c r="AH199" s="569"/>
      <c r="AI199" s="569"/>
      <c r="AJ199" s="569"/>
      <c r="AK199" s="569"/>
      <c r="AL199" s="569"/>
      <c r="AM199" s="569"/>
      <c r="AN199" s="569"/>
    </row>
    <row r="200" spans="1:40" ht="19.5" customHeight="1" x14ac:dyDescent="0.2">
      <c r="A200" s="516">
        <f>A199+0.1</f>
        <v>4.4000000000000004</v>
      </c>
      <c r="B200" s="520"/>
      <c r="C200" s="516" t="s">
        <v>121</v>
      </c>
      <c r="D200" s="527" t="s">
        <v>61</v>
      </c>
      <c r="E200" s="527">
        <v>0.63</v>
      </c>
      <c r="F200" s="534">
        <f>F196*E200</f>
        <v>297.99</v>
      </c>
      <c r="G200" s="527"/>
      <c r="H200" s="517">
        <f>G200*F200</f>
        <v>0</v>
      </c>
      <c r="I200" s="569"/>
      <c r="J200" s="570"/>
      <c r="K200" s="569"/>
      <c r="L200" s="569"/>
      <c r="M200" s="569"/>
      <c r="N200" s="569"/>
      <c r="O200" s="569"/>
      <c r="P200" s="569"/>
      <c r="Q200" s="569"/>
      <c r="R200" s="569"/>
      <c r="S200" s="569"/>
      <c r="T200" s="569"/>
      <c r="U200" s="569"/>
      <c r="V200" s="569"/>
      <c r="W200" s="569"/>
      <c r="X200" s="569"/>
      <c r="Y200" s="569"/>
      <c r="Z200" s="569"/>
      <c r="AA200" s="569"/>
      <c r="AB200" s="569"/>
      <c r="AC200" s="569"/>
      <c r="AD200" s="569"/>
      <c r="AE200" s="569"/>
      <c r="AF200" s="569"/>
      <c r="AG200" s="569"/>
      <c r="AH200" s="569"/>
      <c r="AI200" s="569"/>
      <c r="AJ200" s="569"/>
      <c r="AK200" s="569"/>
      <c r="AL200" s="569"/>
      <c r="AM200" s="569"/>
      <c r="AN200" s="569"/>
    </row>
    <row r="201" spans="1:40" ht="15.75" x14ac:dyDescent="0.2">
      <c r="A201" s="516">
        <f>A200+0.1</f>
        <v>4.5</v>
      </c>
      <c r="B201" s="520"/>
      <c r="C201" s="516" t="s">
        <v>8</v>
      </c>
      <c r="D201" s="527" t="s">
        <v>6</v>
      </c>
      <c r="E201" s="526">
        <f>1.6/100</f>
        <v>1.6E-2</v>
      </c>
      <c r="F201" s="534">
        <f>F196*E201</f>
        <v>7.57</v>
      </c>
      <c r="G201" s="527"/>
      <c r="H201" s="517">
        <f>G201*F201</f>
        <v>0</v>
      </c>
      <c r="I201" s="569"/>
      <c r="J201" s="570"/>
      <c r="K201" s="569"/>
      <c r="L201" s="569"/>
      <c r="M201" s="569"/>
      <c r="N201" s="569"/>
      <c r="O201" s="569"/>
      <c r="P201" s="569"/>
      <c r="Q201" s="569"/>
      <c r="R201" s="569"/>
      <c r="S201" s="569"/>
      <c r="T201" s="569"/>
      <c r="U201" s="569"/>
      <c r="V201" s="569"/>
      <c r="W201" s="569"/>
      <c r="X201" s="569"/>
      <c r="Y201" s="569"/>
      <c r="Z201" s="569"/>
      <c r="AA201" s="569"/>
      <c r="AB201" s="569"/>
      <c r="AC201" s="569"/>
      <c r="AD201" s="569"/>
      <c r="AE201" s="569"/>
      <c r="AF201" s="569"/>
      <c r="AG201" s="569"/>
      <c r="AH201" s="569"/>
      <c r="AI201" s="569"/>
      <c r="AJ201" s="569"/>
      <c r="AK201" s="569"/>
      <c r="AL201" s="569"/>
      <c r="AM201" s="569"/>
      <c r="AN201" s="569"/>
    </row>
    <row r="202" spans="1:40" ht="13.5" x14ac:dyDescent="0.2">
      <c r="A202" s="658" t="s">
        <v>125</v>
      </c>
      <c r="B202" s="658"/>
      <c r="C202" s="658"/>
      <c r="D202" s="658"/>
      <c r="E202" s="658"/>
      <c r="F202" s="658"/>
      <c r="G202" s="658"/>
      <c r="H202" s="658"/>
      <c r="I202" s="569"/>
      <c r="J202" s="570"/>
      <c r="K202" s="569"/>
      <c r="L202" s="569"/>
      <c r="M202" s="569"/>
      <c r="N202" s="569"/>
      <c r="O202" s="569"/>
      <c r="P202" s="569"/>
      <c r="Q202" s="569"/>
      <c r="R202" s="569"/>
      <c r="S202" s="569"/>
      <c r="T202" s="569"/>
      <c r="U202" s="569"/>
      <c r="V202" s="569"/>
      <c r="W202" s="569"/>
      <c r="X202" s="569"/>
      <c r="Y202" s="569"/>
      <c r="Z202" s="569"/>
      <c r="AA202" s="569"/>
      <c r="AB202" s="569"/>
      <c r="AC202" s="569"/>
      <c r="AD202" s="569"/>
      <c r="AE202" s="569"/>
      <c r="AF202" s="569"/>
      <c r="AG202" s="569"/>
      <c r="AH202" s="569"/>
      <c r="AI202" s="569"/>
      <c r="AJ202" s="569"/>
      <c r="AK202" s="569"/>
      <c r="AL202" s="569"/>
      <c r="AM202" s="569"/>
      <c r="AN202" s="569"/>
    </row>
    <row r="203" spans="1:40" ht="45" customHeight="1" x14ac:dyDescent="0.2">
      <c r="A203" s="553">
        <f>1</f>
        <v>1</v>
      </c>
      <c r="B203" s="540" t="s">
        <v>185</v>
      </c>
      <c r="C203" s="540" t="s">
        <v>218</v>
      </c>
      <c r="D203" s="540" t="s">
        <v>110</v>
      </c>
      <c r="E203" s="540"/>
      <c r="F203" s="568">
        <v>49</v>
      </c>
      <c r="G203" s="540"/>
      <c r="H203" s="553">
        <f>H204+H205+H206</f>
        <v>0</v>
      </c>
      <c r="I203" s="569"/>
      <c r="J203" s="570"/>
      <c r="K203" s="569"/>
      <c r="L203" s="574"/>
      <c r="M203" s="588"/>
      <c r="N203" s="588"/>
      <c r="O203" s="589"/>
      <c r="P203" s="589"/>
      <c r="Q203" s="590"/>
      <c r="R203" s="590"/>
      <c r="S203" s="591"/>
      <c r="T203" s="590"/>
      <c r="U203" s="592"/>
      <c r="V203" s="569"/>
      <c r="W203" s="569"/>
      <c r="X203" s="569"/>
      <c r="Y203" s="569"/>
      <c r="Z203" s="569"/>
      <c r="AA203" s="569"/>
      <c r="AB203" s="569"/>
      <c r="AC203" s="569"/>
      <c r="AD203" s="569"/>
      <c r="AE203" s="569"/>
      <c r="AF203" s="569"/>
      <c r="AG203" s="569"/>
      <c r="AH203" s="569"/>
      <c r="AI203" s="569"/>
      <c r="AJ203" s="569"/>
      <c r="AK203" s="569"/>
      <c r="AL203" s="569"/>
      <c r="AM203" s="569"/>
      <c r="AN203" s="569"/>
    </row>
    <row r="204" spans="1:40" ht="20.25" customHeight="1" x14ac:dyDescent="0.2">
      <c r="A204" s="516">
        <f>A203+0.1</f>
        <v>1.1000000000000001</v>
      </c>
      <c r="B204" s="516"/>
      <c r="C204" s="619" t="s">
        <v>92</v>
      </c>
      <c r="D204" s="619" t="s">
        <v>1</v>
      </c>
      <c r="E204" s="619">
        <v>1.79</v>
      </c>
      <c r="F204" s="622">
        <f>F203*E204</f>
        <v>87.71</v>
      </c>
      <c r="G204" s="619"/>
      <c r="H204" s="546">
        <f>F204*G204</f>
        <v>0</v>
      </c>
      <c r="I204" s="569"/>
      <c r="J204" s="570"/>
      <c r="K204" s="569"/>
      <c r="L204" s="574"/>
      <c r="M204" s="588"/>
      <c r="N204" s="588"/>
      <c r="O204" s="589"/>
      <c r="P204" s="589"/>
      <c r="Q204" s="590"/>
      <c r="R204" s="590"/>
      <c r="S204" s="591"/>
      <c r="T204" s="590"/>
      <c r="U204" s="592"/>
      <c r="V204" s="569"/>
      <c r="W204" s="569"/>
      <c r="X204" s="569"/>
      <c r="Y204" s="569"/>
      <c r="Z204" s="569"/>
      <c r="AA204" s="569"/>
      <c r="AB204" s="569"/>
      <c r="AC204" s="569"/>
      <c r="AD204" s="569"/>
      <c r="AE204" s="569"/>
      <c r="AF204" s="569"/>
      <c r="AG204" s="569"/>
      <c r="AH204" s="569"/>
      <c r="AI204" s="569"/>
      <c r="AJ204" s="569"/>
      <c r="AK204" s="569"/>
      <c r="AL204" s="569"/>
      <c r="AM204" s="569"/>
      <c r="AN204" s="569"/>
    </row>
    <row r="205" spans="1:40" ht="20.25" customHeight="1" x14ac:dyDescent="0.2">
      <c r="A205" s="516">
        <f>A204+0.1</f>
        <v>1.2</v>
      </c>
      <c r="B205" s="516"/>
      <c r="C205" s="543" t="s">
        <v>2</v>
      </c>
      <c r="D205" s="543" t="s">
        <v>59</v>
      </c>
      <c r="E205" s="544">
        <f>0.076</f>
        <v>7.5999999999999998E-2</v>
      </c>
      <c r="F205" s="545">
        <f>F203*E205</f>
        <v>3.72</v>
      </c>
      <c r="G205" s="544"/>
      <c r="H205" s="546">
        <f>F205*G205</f>
        <v>0</v>
      </c>
      <c r="I205" s="569"/>
      <c r="J205" s="570"/>
      <c r="K205" s="569"/>
      <c r="L205" s="574"/>
      <c r="M205" s="588"/>
      <c r="N205" s="588"/>
      <c r="O205" s="589"/>
      <c r="P205" s="589"/>
      <c r="Q205" s="590"/>
      <c r="R205" s="590"/>
      <c r="S205" s="591"/>
      <c r="T205" s="590"/>
      <c r="U205" s="592"/>
      <c r="V205" s="569"/>
      <c r="W205" s="569"/>
      <c r="X205" s="569"/>
      <c r="Y205" s="569"/>
      <c r="Z205" s="569"/>
      <c r="AA205" s="569"/>
      <c r="AB205" s="569"/>
      <c r="AC205" s="569"/>
      <c r="AD205" s="569"/>
      <c r="AE205" s="569"/>
      <c r="AF205" s="569"/>
      <c r="AG205" s="569"/>
      <c r="AH205" s="569"/>
      <c r="AI205" s="569"/>
      <c r="AJ205" s="569"/>
      <c r="AK205" s="569"/>
      <c r="AL205" s="569"/>
      <c r="AM205" s="569"/>
      <c r="AN205" s="569"/>
    </row>
    <row r="206" spans="1:40" ht="20.25" customHeight="1" x14ac:dyDescent="0.2">
      <c r="A206" s="516">
        <f>A205+0.1</f>
        <v>1.3</v>
      </c>
      <c r="B206" s="516"/>
      <c r="C206" s="516" t="s">
        <v>186</v>
      </c>
      <c r="D206" s="516" t="s">
        <v>95</v>
      </c>
      <c r="E206" s="516">
        <v>4.3999999999999997E-2</v>
      </c>
      <c r="F206" s="534">
        <f>E206*F203</f>
        <v>2.16</v>
      </c>
      <c r="G206" s="516"/>
      <c r="H206" s="517">
        <f>F206*G206</f>
        <v>0</v>
      </c>
      <c r="I206" s="569"/>
      <c r="J206" s="570"/>
      <c r="K206" s="569"/>
      <c r="L206" s="574"/>
      <c r="M206" s="588"/>
      <c r="N206" s="588"/>
      <c r="O206" s="589"/>
      <c r="P206" s="589"/>
      <c r="Q206" s="590"/>
      <c r="R206" s="590"/>
      <c r="S206" s="591"/>
      <c r="T206" s="590"/>
      <c r="U206" s="592"/>
      <c r="V206" s="569"/>
      <c r="W206" s="569"/>
      <c r="X206" s="569"/>
      <c r="Y206" s="569"/>
      <c r="Z206" s="569"/>
      <c r="AA206" s="569"/>
      <c r="AB206" s="569"/>
      <c r="AC206" s="569"/>
      <c r="AD206" s="569"/>
      <c r="AE206" s="569"/>
      <c r="AF206" s="569"/>
      <c r="AG206" s="569"/>
      <c r="AH206" s="569"/>
      <c r="AI206" s="569"/>
      <c r="AJ206" s="569"/>
      <c r="AK206" s="569"/>
      <c r="AL206" s="569"/>
      <c r="AM206" s="569"/>
      <c r="AN206" s="569"/>
    </row>
    <row r="207" spans="1:40" ht="48.75" customHeight="1" x14ac:dyDescent="0.2">
      <c r="A207" s="553">
        <f>A203+1</f>
        <v>2</v>
      </c>
      <c r="B207" s="540" t="s">
        <v>126</v>
      </c>
      <c r="C207" s="540" t="s">
        <v>219</v>
      </c>
      <c r="D207" s="617" t="s">
        <v>110</v>
      </c>
      <c r="E207" s="527"/>
      <c r="F207" s="617">
        <v>171</v>
      </c>
      <c r="G207" s="527"/>
      <c r="H207" s="553">
        <f>SUM(H208:H210)</f>
        <v>0</v>
      </c>
      <c r="I207" s="569"/>
      <c r="J207" s="570"/>
      <c r="K207" s="569"/>
      <c r="L207" s="574"/>
      <c r="M207" s="588"/>
      <c r="N207" s="588"/>
      <c r="O207" s="589"/>
      <c r="P207" s="589"/>
      <c r="Q207" s="590"/>
      <c r="R207" s="590"/>
      <c r="S207" s="591"/>
      <c r="T207" s="590"/>
      <c r="U207" s="592"/>
      <c r="V207" s="569"/>
      <c r="W207" s="569"/>
      <c r="X207" s="569"/>
      <c r="Y207" s="569"/>
      <c r="Z207" s="569"/>
      <c r="AA207" s="569"/>
      <c r="AB207" s="569"/>
      <c r="AC207" s="569"/>
      <c r="AD207" s="569"/>
      <c r="AE207" s="569"/>
      <c r="AF207" s="569"/>
      <c r="AG207" s="569"/>
      <c r="AH207" s="569"/>
      <c r="AI207" s="569"/>
      <c r="AJ207" s="569"/>
      <c r="AK207" s="569"/>
      <c r="AL207" s="569"/>
      <c r="AM207" s="569"/>
      <c r="AN207" s="569"/>
    </row>
    <row r="208" spans="1:40" ht="20.25" customHeight="1" x14ac:dyDescent="0.2">
      <c r="A208" s="518">
        <f>A207+0.1</f>
        <v>2.1</v>
      </c>
      <c r="B208" s="525"/>
      <c r="C208" s="619" t="s">
        <v>92</v>
      </c>
      <c r="D208" s="619" t="s">
        <v>1</v>
      </c>
      <c r="E208" s="620">
        <v>0.93</v>
      </c>
      <c r="F208" s="621">
        <f>F207*E208</f>
        <v>159.03</v>
      </c>
      <c r="G208" s="619"/>
      <c r="H208" s="546">
        <f>G208*F208</f>
        <v>0</v>
      </c>
      <c r="I208" s="569"/>
      <c r="J208" s="570"/>
      <c r="K208" s="569"/>
      <c r="L208" s="574"/>
      <c r="M208" s="588"/>
      <c r="N208" s="588"/>
      <c r="O208" s="589"/>
      <c r="P208" s="589"/>
      <c r="Q208" s="590"/>
      <c r="R208" s="590"/>
      <c r="S208" s="591"/>
      <c r="T208" s="590"/>
      <c r="U208" s="592"/>
      <c r="V208" s="569"/>
      <c r="W208" s="569"/>
      <c r="X208" s="569"/>
      <c r="Y208" s="569"/>
      <c r="Z208" s="569"/>
      <c r="AA208" s="569"/>
      <c r="AB208" s="569"/>
      <c r="AC208" s="569"/>
      <c r="AD208" s="569"/>
      <c r="AE208" s="569"/>
      <c r="AF208" s="569"/>
      <c r="AG208" s="569"/>
      <c r="AH208" s="569"/>
      <c r="AI208" s="569"/>
      <c r="AJ208" s="569"/>
      <c r="AK208" s="569"/>
      <c r="AL208" s="569"/>
      <c r="AM208" s="569"/>
      <c r="AN208" s="569"/>
    </row>
    <row r="209" spans="1:40" ht="20.25" customHeight="1" x14ac:dyDescent="0.2">
      <c r="A209" s="518">
        <v>2.2000000000000002</v>
      </c>
      <c r="B209" s="525"/>
      <c r="C209" s="521" t="s">
        <v>2</v>
      </c>
      <c r="D209" s="521" t="s">
        <v>93</v>
      </c>
      <c r="E209" s="542">
        <f>0.026</f>
        <v>2.5999999999999999E-2</v>
      </c>
      <c r="F209" s="542">
        <f>F207*E209</f>
        <v>4.4459999999999997</v>
      </c>
      <c r="G209" s="522"/>
      <c r="H209" s="524">
        <f>G209*F209</f>
        <v>0</v>
      </c>
      <c r="I209" s="569"/>
      <c r="J209" s="570"/>
      <c r="K209" s="569"/>
      <c r="L209" s="574"/>
      <c r="M209" s="588"/>
      <c r="N209" s="588"/>
      <c r="O209" s="589"/>
      <c r="P209" s="589"/>
      <c r="Q209" s="590"/>
      <c r="R209" s="590"/>
      <c r="S209" s="591"/>
      <c r="T209" s="590"/>
      <c r="U209" s="592"/>
      <c r="V209" s="569"/>
      <c r="W209" s="569"/>
      <c r="X209" s="569"/>
      <c r="Y209" s="569"/>
      <c r="Z209" s="569"/>
      <c r="AA209" s="569"/>
      <c r="AB209" s="569"/>
      <c r="AC209" s="569"/>
      <c r="AD209" s="569"/>
      <c r="AE209" s="569"/>
      <c r="AF209" s="569"/>
      <c r="AG209" s="569"/>
      <c r="AH209" s="569"/>
      <c r="AI209" s="569"/>
      <c r="AJ209" s="569"/>
      <c r="AK209" s="569"/>
      <c r="AL209" s="569"/>
      <c r="AM209" s="569"/>
      <c r="AN209" s="569"/>
    </row>
    <row r="210" spans="1:40" ht="20.25" customHeight="1" x14ac:dyDescent="0.2">
      <c r="A210" s="518">
        <f>A209+0.1</f>
        <v>2.2999999999999998</v>
      </c>
      <c r="B210" s="525"/>
      <c r="C210" s="516" t="s">
        <v>127</v>
      </c>
      <c r="D210" s="516" t="s">
        <v>3</v>
      </c>
      <c r="E210" s="551">
        <f>0.026</f>
        <v>2.5999999999999999E-2</v>
      </c>
      <c r="F210" s="551">
        <f>F207*E210</f>
        <v>4.4459999999999997</v>
      </c>
      <c r="G210" s="527"/>
      <c r="H210" s="517">
        <f>G210*F210</f>
        <v>0</v>
      </c>
      <c r="I210" s="569"/>
      <c r="J210" s="570"/>
      <c r="K210" s="569"/>
      <c r="L210" s="574"/>
      <c r="M210" s="588"/>
      <c r="N210" s="588"/>
      <c r="O210" s="589"/>
      <c r="P210" s="589"/>
      <c r="Q210" s="590"/>
      <c r="R210" s="590"/>
      <c r="S210" s="591"/>
      <c r="T210" s="590"/>
      <c r="U210" s="592"/>
      <c r="V210" s="569"/>
      <c r="W210" s="569"/>
      <c r="X210" s="569"/>
      <c r="Y210" s="569"/>
      <c r="Z210" s="569"/>
      <c r="AA210" s="569"/>
      <c r="AB210" s="569"/>
      <c r="AC210" s="569"/>
      <c r="AD210" s="569"/>
      <c r="AE210" s="569"/>
      <c r="AF210" s="569"/>
      <c r="AG210" s="569"/>
      <c r="AH210" s="569"/>
      <c r="AI210" s="569"/>
      <c r="AJ210" s="569"/>
      <c r="AK210" s="569"/>
      <c r="AL210" s="569"/>
      <c r="AM210" s="569"/>
      <c r="AN210" s="569"/>
    </row>
    <row r="211" spans="1:40" ht="57.75" customHeight="1" x14ac:dyDescent="0.2">
      <c r="A211" s="553">
        <f>A207+1</f>
        <v>3</v>
      </c>
      <c r="B211" s="540" t="s">
        <v>191</v>
      </c>
      <c r="C211" s="540" t="s">
        <v>220</v>
      </c>
      <c r="D211" s="617" t="s">
        <v>4</v>
      </c>
      <c r="E211" s="617"/>
      <c r="F211" s="617">
        <v>10</v>
      </c>
      <c r="G211" s="617"/>
      <c r="H211" s="553">
        <f>SUM(H212:H216)</f>
        <v>0</v>
      </c>
      <c r="I211" s="569"/>
      <c r="J211" s="570"/>
      <c r="K211" s="569"/>
      <c r="L211" s="569"/>
      <c r="M211" s="569"/>
      <c r="N211" s="569"/>
      <c r="O211" s="569"/>
      <c r="P211" s="569"/>
      <c r="Q211" s="569"/>
      <c r="R211" s="569"/>
      <c r="S211" s="569"/>
      <c r="T211" s="569"/>
      <c r="U211" s="569"/>
      <c r="V211" s="569"/>
      <c r="W211" s="569"/>
      <c r="X211" s="569"/>
      <c r="Y211" s="569"/>
      <c r="Z211" s="569"/>
      <c r="AA211" s="569"/>
      <c r="AB211" s="569"/>
      <c r="AC211" s="569"/>
      <c r="AD211" s="569"/>
      <c r="AE211" s="569"/>
      <c r="AF211" s="569"/>
      <c r="AG211" s="569"/>
      <c r="AH211" s="569"/>
      <c r="AI211" s="569"/>
      <c r="AJ211" s="569"/>
      <c r="AK211" s="569"/>
      <c r="AL211" s="569"/>
      <c r="AM211" s="569"/>
      <c r="AN211" s="569"/>
    </row>
    <row r="212" spans="1:40" ht="13.5" x14ac:dyDescent="0.2">
      <c r="A212" s="518">
        <f>A211+0.1</f>
        <v>3.1</v>
      </c>
      <c r="B212" s="627"/>
      <c r="C212" s="619" t="s">
        <v>92</v>
      </c>
      <c r="D212" s="620" t="s">
        <v>4</v>
      </c>
      <c r="E212" s="622">
        <f>213/100</f>
        <v>2.13</v>
      </c>
      <c r="F212" s="622">
        <f>F211*E212</f>
        <v>21.3</v>
      </c>
      <c r="G212" s="619"/>
      <c r="H212" s="546">
        <f t="shared" ref="H212:H216" si="20">G212*F212</f>
        <v>0</v>
      </c>
      <c r="I212" s="569"/>
      <c r="J212" s="570"/>
      <c r="K212" s="569"/>
      <c r="L212" s="569"/>
      <c r="M212" s="569"/>
      <c r="N212" s="569"/>
      <c r="O212" s="569"/>
      <c r="P212" s="569"/>
      <c r="Q212" s="569"/>
      <c r="R212" s="569"/>
      <c r="S212" s="569"/>
      <c r="T212" s="569"/>
      <c r="U212" s="569"/>
      <c r="V212" s="569"/>
      <c r="W212" s="569"/>
      <c r="X212" s="569"/>
      <c r="Y212" s="569"/>
      <c r="Z212" s="569"/>
      <c r="AA212" s="569"/>
      <c r="AB212" s="569"/>
      <c r="AC212" s="569"/>
      <c r="AD212" s="569"/>
      <c r="AE212" s="569"/>
      <c r="AF212" s="569"/>
      <c r="AG212" s="569"/>
      <c r="AH212" s="569"/>
      <c r="AI212" s="569"/>
      <c r="AJ212" s="569"/>
      <c r="AK212" s="569"/>
      <c r="AL212" s="569"/>
      <c r="AM212" s="569"/>
      <c r="AN212" s="569"/>
    </row>
    <row r="213" spans="1:40" ht="15.75" x14ac:dyDescent="0.2">
      <c r="A213" s="518">
        <f>A212+0.1</f>
        <v>3.2</v>
      </c>
      <c r="B213" s="525"/>
      <c r="C213" s="521" t="s">
        <v>2</v>
      </c>
      <c r="D213" s="522" t="s">
        <v>93</v>
      </c>
      <c r="E213" s="542">
        <f>3.5/100</f>
        <v>3.5000000000000003E-2</v>
      </c>
      <c r="F213" s="522">
        <f>F211*E213</f>
        <v>0.35</v>
      </c>
      <c r="G213" s="522"/>
      <c r="H213" s="524">
        <f t="shared" si="20"/>
        <v>0</v>
      </c>
      <c r="I213" s="569"/>
      <c r="J213" s="570"/>
      <c r="K213" s="569"/>
      <c r="L213" s="569"/>
      <c r="M213" s="569"/>
      <c r="N213" s="569"/>
      <c r="O213" s="569"/>
      <c r="P213" s="569"/>
      <c r="Q213" s="569"/>
      <c r="R213" s="569"/>
      <c r="S213" s="569"/>
      <c r="T213" s="569"/>
      <c r="U213" s="569"/>
      <c r="V213" s="569"/>
      <c r="W213" s="569"/>
      <c r="X213" s="569"/>
      <c r="Y213" s="569"/>
      <c r="Z213" s="569"/>
      <c r="AA213" s="569"/>
      <c r="AB213" s="569"/>
      <c r="AC213" s="569"/>
      <c r="AD213" s="569"/>
      <c r="AE213" s="569"/>
      <c r="AF213" s="569"/>
      <c r="AG213" s="569"/>
      <c r="AH213" s="569"/>
      <c r="AI213" s="569"/>
      <c r="AJ213" s="569"/>
      <c r="AK213" s="569"/>
      <c r="AL213" s="569"/>
      <c r="AM213" s="569"/>
      <c r="AN213" s="569"/>
    </row>
    <row r="214" spans="1:40" ht="15.75" x14ac:dyDescent="0.2">
      <c r="A214" s="518">
        <f>A213+0.1</f>
        <v>3.3</v>
      </c>
      <c r="B214" s="525"/>
      <c r="C214" s="516" t="s">
        <v>221</v>
      </c>
      <c r="D214" s="527" t="s">
        <v>4</v>
      </c>
      <c r="E214" s="527">
        <v>1.01</v>
      </c>
      <c r="F214" s="534">
        <f>F211*E214</f>
        <v>10.1</v>
      </c>
      <c r="G214" s="527"/>
      <c r="H214" s="517">
        <f t="shared" si="20"/>
        <v>0</v>
      </c>
      <c r="I214" s="569"/>
      <c r="J214" s="570"/>
      <c r="K214" s="569"/>
      <c r="L214" s="569"/>
      <c r="M214" s="569"/>
      <c r="N214" s="569"/>
      <c r="O214" s="569"/>
      <c r="P214" s="569"/>
      <c r="Q214" s="569"/>
      <c r="R214" s="569"/>
      <c r="S214" s="569"/>
      <c r="T214" s="569"/>
      <c r="U214" s="569"/>
      <c r="V214" s="569"/>
      <c r="W214" s="569"/>
      <c r="X214" s="569"/>
      <c r="Y214" s="569"/>
      <c r="Z214" s="569"/>
      <c r="AA214" s="569"/>
      <c r="AB214" s="569"/>
      <c r="AC214" s="569"/>
      <c r="AD214" s="569"/>
      <c r="AE214" s="569"/>
      <c r="AF214" s="569"/>
      <c r="AG214" s="569"/>
      <c r="AH214" s="569"/>
      <c r="AI214" s="569"/>
      <c r="AJ214" s="569"/>
      <c r="AK214" s="569"/>
      <c r="AL214" s="569"/>
      <c r="AM214" s="569"/>
      <c r="AN214" s="569"/>
    </row>
    <row r="215" spans="1:40" ht="15.75" x14ac:dyDescent="0.2">
      <c r="A215" s="518">
        <f>A214+0.1</f>
        <v>3.4</v>
      </c>
      <c r="B215" s="525"/>
      <c r="C215" s="516" t="s">
        <v>211</v>
      </c>
      <c r="D215" s="527" t="s">
        <v>61</v>
      </c>
      <c r="E215" s="527" t="s">
        <v>98</v>
      </c>
      <c r="F215" s="534">
        <f>F211*7</f>
        <v>70</v>
      </c>
      <c r="G215" s="527"/>
      <c r="H215" s="517">
        <f t="shared" si="20"/>
        <v>0</v>
      </c>
      <c r="I215" s="569"/>
      <c r="J215" s="570"/>
      <c r="K215" s="569"/>
      <c r="L215" s="569"/>
      <c r="M215" s="569"/>
      <c r="N215" s="569"/>
      <c r="O215" s="569"/>
      <c r="P215" s="569"/>
      <c r="Q215" s="569"/>
      <c r="R215" s="569"/>
      <c r="S215" s="569"/>
      <c r="T215" s="569"/>
      <c r="U215" s="569"/>
      <c r="V215" s="569"/>
      <c r="W215" s="569"/>
      <c r="X215" s="569"/>
      <c r="Y215" s="569"/>
      <c r="Z215" s="569"/>
      <c r="AA215" s="569"/>
      <c r="AB215" s="569"/>
      <c r="AC215" s="569"/>
      <c r="AD215" s="569"/>
      <c r="AE215" s="569"/>
      <c r="AF215" s="569"/>
      <c r="AG215" s="569"/>
      <c r="AH215" s="569"/>
      <c r="AI215" s="569"/>
      <c r="AJ215" s="569"/>
      <c r="AK215" s="569"/>
      <c r="AL215" s="569"/>
      <c r="AM215" s="569"/>
      <c r="AN215" s="569"/>
    </row>
    <row r="216" spans="1:40" ht="15.75" x14ac:dyDescent="0.2">
      <c r="A216" s="518">
        <f>A215+0.1</f>
        <v>3.5</v>
      </c>
      <c r="B216" s="525"/>
      <c r="C216" s="516" t="s">
        <v>8</v>
      </c>
      <c r="D216" s="527" t="s">
        <v>93</v>
      </c>
      <c r="E216" s="551">
        <f>4.3/100</f>
        <v>4.2999999999999997E-2</v>
      </c>
      <c r="F216" s="527">
        <f>F211*E216</f>
        <v>0.43</v>
      </c>
      <c r="G216" s="527"/>
      <c r="H216" s="517">
        <f t="shared" si="20"/>
        <v>0</v>
      </c>
      <c r="I216" s="569"/>
      <c r="J216" s="570"/>
      <c r="K216" s="569"/>
      <c r="L216" s="569"/>
      <c r="M216" s="569"/>
      <c r="N216" s="569"/>
      <c r="O216" s="569"/>
      <c r="P216" s="569"/>
      <c r="Q216" s="569"/>
      <c r="R216" s="569"/>
      <c r="S216" s="569"/>
      <c r="T216" s="569"/>
      <c r="U216" s="569"/>
      <c r="V216" s="569"/>
      <c r="W216" s="569"/>
      <c r="X216" s="569"/>
      <c r="Y216" s="569"/>
      <c r="Z216" s="569"/>
      <c r="AA216" s="569"/>
      <c r="AB216" s="569"/>
      <c r="AC216" s="569"/>
      <c r="AD216" s="569"/>
      <c r="AE216" s="569"/>
      <c r="AF216" s="569"/>
      <c r="AG216" s="569"/>
      <c r="AH216" s="569"/>
      <c r="AI216" s="569"/>
      <c r="AJ216" s="569"/>
      <c r="AK216" s="569"/>
      <c r="AL216" s="569"/>
      <c r="AM216" s="569"/>
      <c r="AN216" s="569"/>
    </row>
    <row r="217" spans="1:40" ht="57" customHeight="1" x14ac:dyDescent="0.2">
      <c r="A217" s="553">
        <v>4</v>
      </c>
      <c r="B217" s="618" t="s">
        <v>37</v>
      </c>
      <c r="C217" s="540" t="s">
        <v>222</v>
      </c>
      <c r="D217" s="617" t="s">
        <v>110</v>
      </c>
      <c r="E217" s="617"/>
      <c r="F217" s="617">
        <f>F203*0.15+F207-F211</f>
        <v>168.35</v>
      </c>
      <c r="G217" s="617"/>
      <c r="H217" s="553">
        <f>H218+H219+H220+H221+H222</f>
        <v>0</v>
      </c>
      <c r="I217" s="569"/>
      <c r="J217" s="570"/>
      <c r="K217" s="569"/>
      <c r="L217" s="569"/>
      <c r="M217" s="588"/>
      <c r="N217" s="588"/>
      <c r="O217" s="593"/>
      <c r="P217" s="98"/>
      <c r="Q217" s="594"/>
      <c r="R217" s="594"/>
      <c r="S217" s="594"/>
      <c r="T217" s="594"/>
      <c r="U217" s="120"/>
      <c r="V217" s="569"/>
      <c r="W217" s="569"/>
      <c r="X217" s="569"/>
      <c r="Y217" s="569"/>
      <c r="Z217" s="569"/>
      <c r="AA217" s="569"/>
      <c r="AB217" s="569"/>
      <c r="AC217" s="569"/>
      <c r="AD217" s="569"/>
      <c r="AE217" s="569"/>
      <c r="AF217" s="569"/>
      <c r="AG217" s="569"/>
      <c r="AH217" s="569"/>
      <c r="AI217" s="569"/>
      <c r="AJ217" s="569"/>
      <c r="AK217" s="569"/>
      <c r="AL217" s="569"/>
      <c r="AM217" s="569"/>
      <c r="AN217" s="569"/>
    </row>
    <row r="218" spans="1:40" ht="13.5" x14ac:dyDescent="0.2">
      <c r="A218" s="518">
        <f>A217+0.1</f>
        <v>4.0999999999999996</v>
      </c>
      <c r="B218" s="619"/>
      <c r="C218" s="619" t="s">
        <v>92</v>
      </c>
      <c r="D218" s="620" t="s">
        <v>1</v>
      </c>
      <c r="E218" s="620">
        <f>65.8/100</f>
        <v>0.66</v>
      </c>
      <c r="F218" s="622">
        <f>F217*E218</f>
        <v>111.11</v>
      </c>
      <c r="G218" s="619"/>
      <c r="H218" s="546">
        <f>G218*F218</f>
        <v>0</v>
      </c>
      <c r="I218" s="569"/>
      <c r="J218" s="570"/>
      <c r="K218" s="569"/>
      <c r="L218" s="569"/>
      <c r="M218" s="569"/>
      <c r="N218" s="569"/>
      <c r="O218" s="569"/>
      <c r="P218" s="569"/>
      <c r="Q218" s="569"/>
      <c r="R218" s="569"/>
      <c r="S218" s="569"/>
      <c r="T218" s="569"/>
      <c r="U218" s="569"/>
      <c r="V218" s="569"/>
      <c r="W218" s="569"/>
      <c r="X218" s="569"/>
      <c r="Y218" s="569"/>
      <c r="Z218" s="569"/>
      <c r="AA218" s="569"/>
      <c r="AB218" s="569"/>
      <c r="AC218" s="569"/>
      <c r="AD218" s="569"/>
      <c r="AE218" s="569"/>
      <c r="AF218" s="569"/>
      <c r="AG218" s="569"/>
      <c r="AH218" s="569"/>
      <c r="AI218" s="569"/>
      <c r="AJ218" s="569"/>
      <c r="AK218" s="569"/>
      <c r="AL218" s="569"/>
      <c r="AM218" s="569"/>
      <c r="AN218" s="569"/>
    </row>
    <row r="219" spans="1:40" ht="13.5" x14ac:dyDescent="0.2">
      <c r="A219" s="518">
        <f>A218+0.1</f>
        <v>4.2</v>
      </c>
      <c r="B219" s="521"/>
      <c r="C219" s="543" t="s">
        <v>2</v>
      </c>
      <c r="D219" s="522" t="s">
        <v>93</v>
      </c>
      <c r="E219" s="522">
        <f>1.15/100</f>
        <v>0.01</v>
      </c>
      <c r="F219" s="522">
        <f>F217*E219</f>
        <v>1.68</v>
      </c>
      <c r="G219" s="522"/>
      <c r="H219" s="524">
        <f>G219*F219</f>
        <v>0</v>
      </c>
      <c r="I219" s="569"/>
      <c r="J219" s="570"/>
      <c r="K219" s="569"/>
      <c r="L219" s="569"/>
      <c r="M219" s="569"/>
      <c r="N219" s="569"/>
      <c r="O219" s="569"/>
      <c r="P219" s="569"/>
      <c r="Q219" s="569"/>
      <c r="R219" s="569"/>
      <c r="S219" s="569"/>
      <c r="T219" s="569"/>
      <c r="U219" s="569"/>
      <c r="V219" s="569"/>
      <c r="W219" s="569"/>
      <c r="X219" s="569"/>
      <c r="Y219" s="569"/>
      <c r="Z219" s="569"/>
      <c r="AA219" s="569"/>
      <c r="AB219" s="569"/>
      <c r="AC219" s="569"/>
      <c r="AD219" s="569"/>
      <c r="AE219" s="569"/>
      <c r="AF219" s="569"/>
      <c r="AG219" s="569"/>
      <c r="AH219" s="569"/>
      <c r="AI219" s="569"/>
      <c r="AJ219" s="569"/>
      <c r="AK219" s="569"/>
      <c r="AL219" s="569"/>
      <c r="AM219" s="569"/>
      <c r="AN219" s="569"/>
    </row>
    <row r="220" spans="1:40" ht="27" x14ac:dyDescent="0.2">
      <c r="A220" s="518">
        <f>A219+0.1</f>
        <v>4.3</v>
      </c>
      <c r="B220" s="525"/>
      <c r="C220" s="516" t="s">
        <v>223</v>
      </c>
      <c r="D220" s="527" t="s">
        <v>61</v>
      </c>
      <c r="E220" s="527">
        <f>0.63</f>
        <v>0.63</v>
      </c>
      <c r="F220" s="527">
        <f>F217*E220</f>
        <v>106.06</v>
      </c>
      <c r="G220" s="527"/>
      <c r="H220" s="517">
        <f>G220*F220</f>
        <v>0</v>
      </c>
      <c r="I220" s="569"/>
      <c r="J220" s="570"/>
      <c r="K220" s="569"/>
      <c r="L220" s="569"/>
      <c r="M220" s="569"/>
      <c r="N220" s="569"/>
      <c r="O220" s="569"/>
      <c r="P220" s="569"/>
      <c r="Q220" s="569"/>
      <c r="R220" s="569"/>
      <c r="S220" s="569"/>
      <c r="T220" s="569"/>
      <c r="U220" s="569"/>
      <c r="V220" s="569"/>
      <c r="W220" s="569"/>
      <c r="X220" s="569"/>
      <c r="Y220" s="569"/>
      <c r="Z220" s="569"/>
      <c r="AA220" s="569"/>
      <c r="AB220" s="569"/>
      <c r="AC220" s="569"/>
      <c r="AD220" s="569"/>
      <c r="AE220" s="569"/>
      <c r="AF220" s="569"/>
      <c r="AG220" s="569"/>
      <c r="AH220" s="569"/>
      <c r="AI220" s="569"/>
      <c r="AJ220" s="569"/>
      <c r="AK220" s="569"/>
      <c r="AL220" s="569"/>
      <c r="AM220" s="569"/>
      <c r="AN220" s="569"/>
    </row>
    <row r="221" spans="1:40" ht="15.75" x14ac:dyDescent="0.2">
      <c r="A221" s="518">
        <f>A220+0.1</f>
        <v>4.4000000000000004</v>
      </c>
      <c r="B221" s="525"/>
      <c r="C221" s="516" t="s">
        <v>224</v>
      </c>
      <c r="D221" s="527" t="s">
        <v>61</v>
      </c>
      <c r="E221" s="527">
        <f>0.79</f>
        <v>0.79</v>
      </c>
      <c r="F221" s="519">
        <f>F217*E221</f>
        <v>133</v>
      </c>
      <c r="G221" s="527"/>
      <c r="H221" s="517">
        <f>G221*F221</f>
        <v>0</v>
      </c>
      <c r="I221" s="569"/>
      <c r="J221" s="570"/>
      <c r="K221" s="569"/>
      <c r="L221" s="569"/>
      <c r="M221" s="569"/>
      <c r="N221" s="569"/>
      <c r="O221" s="569"/>
      <c r="P221" s="569"/>
      <c r="Q221" s="569"/>
      <c r="R221" s="569"/>
      <c r="S221" s="569"/>
      <c r="T221" s="569"/>
      <c r="U221" s="569"/>
      <c r="V221" s="569"/>
      <c r="W221" s="569"/>
      <c r="X221" s="569"/>
      <c r="Y221" s="569"/>
      <c r="Z221" s="569"/>
      <c r="AA221" s="569"/>
      <c r="AB221" s="569"/>
      <c r="AC221" s="569"/>
      <c r="AD221" s="569"/>
      <c r="AE221" s="569"/>
      <c r="AF221" s="569"/>
      <c r="AG221" s="569"/>
      <c r="AH221" s="569"/>
      <c r="AI221" s="569"/>
      <c r="AJ221" s="569"/>
      <c r="AK221" s="569"/>
      <c r="AL221" s="569"/>
      <c r="AM221" s="569"/>
      <c r="AN221" s="569"/>
    </row>
    <row r="222" spans="1:40" ht="13.5" x14ac:dyDescent="0.2">
      <c r="A222" s="518">
        <f>A221+0.1</f>
        <v>4.5</v>
      </c>
      <c r="B222" s="516"/>
      <c r="C222" s="516" t="s">
        <v>8</v>
      </c>
      <c r="D222" s="516" t="s">
        <v>59</v>
      </c>
      <c r="E222" s="516">
        <f>1.6/100</f>
        <v>1.6E-2</v>
      </c>
      <c r="F222" s="534">
        <f>F217*E222</f>
        <v>2.69</v>
      </c>
      <c r="G222" s="516"/>
      <c r="H222" s="517">
        <f>F222*G222</f>
        <v>0</v>
      </c>
      <c r="I222" s="569"/>
      <c r="J222" s="570"/>
      <c r="K222" s="569"/>
      <c r="L222" s="569"/>
      <c r="M222" s="569"/>
      <c r="N222" s="569"/>
      <c r="O222" s="569"/>
      <c r="P222" s="569"/>
      <c r="Q222" s="569"/>
      <c r="R222" s="569"/>
      <c r="S222" s="569"/>
      <c r="T222" s="569"/>
      <c r="U222" s="569"/>
      <c r="V222" s="569"/>
      <c r="W222" s="569"/>
      <c r="X222" s="569"/>
      <c r="Y222" s="569"/>
      <c r="Z222" s="569"/>
      <c r="AA222" s="569"/>
      <c r="AB222" s="569"/>
      <c r="AC222" s="569"/>
      <c r="AD222" s="569"/>
      <c r="AE222" s="569"/>
      <c r="AF222" s="569"/>
      <c r="AG222" s="569"/>
      <c r="AH222" s="569"/>
      <c r="AI222" s="569"/>
      <c r="AJ222" s="569"/>
      <c r="AK222" s="569"/>
      <c r="AL222" s="569"/>
      <c r="AM222" s="569"/>
      <c r="AN222" s="569"/>
    </row>
    <row r="223" spans="1:40" ht="44.25" customHeight="1" x14ac:dyDescent="0.2">
      <c r="A223" s="553">
        <f>A217+1</f>
        <v>5</v>
      </c>
      <c r="B223" s="540" t="s">
        <v>128</v>
      </c>
      <c r="C223" s="540" t="s">
        <v>129</v>
      </c>
      <c r="D223" s="540" t="s">
        <v>110</v>
      </c>
      <c r="E223" s="516"/>
      <c r="F223" s="617">
        <v>172</v>
      </c>
      <c r="G223" s="617"/>
      <c r="H223" s="553">
        <f>SUM(H224:H228)</f>
        <v>0</v>
      </c>
      <c r="I223" s="569"/>
      <c r="J223" s="570"/>
      <c r="K223" s="572"/>
      <c r="L223" s="569"/>
      <c r="M223" s="569"/>
      <c r="N223" s="569"/>
      <c r="O223" s="569"/>
      <c r="P223" s="569"/>
      <c r="Q223" s="569"/>
      <c r="R223" s="569"/>
      <c r="S223" s="569"/>
      <c r="T223" s="569"/>
      <c r="U223" s="569"/>
      <c r="V223" s="569"/>
      <c r="W223" s="569"/>
      <c r="X223" s="569"/>
      <c r="Y223" s="569"/>
      <c r="Z223" s="569"/>
      <c r="AA223" s="569"/>
      <c r="AB223" s="569"/>
      <c r="AC223" s="569"/>
      <c r="AD223" s="569"/>
      <c r="AE223" s="569"/>
      <c r="AF223" s="569"/>
      <c r="AG223" s="569"/>
      <c r="AH223" s="569"/>
      <c r="AI223" s="569"/>
      <c r="AJ223" s="569"/>
      <c r="AK223" s="569"/>
      <c r="AL223" s="569"/>
      <c r="AM223" s="569"/>
      <c r="AN223" s="569"/>
    </row>
    <row r="224" spans="1:40" ht="13.5" x14ac:dyDescent="0.2">
      <c r="A224" s="518">
        <f>A223+0.1</f>
        <v>5.0999999999999996</v>
      </c>
      <c r="B224" s="619"/>
      <c r="C224" s="619" t="s">
        <v>92</v>
      </c>
      <c r="D224" s="620" t="s">
        <v>1</v>
      </c>
      <c r="E224" s="620">
        <f>45.8/100</f>
        <v>0.46</v>
      </c>
      <c r="F224" s="621">
        <f>F223*E224</f>
        <v>79.12</v>
      </c>
      <c r="G224" s="619"/>
      <c r="H224" s="546">
        <f>G224*F224</f>
        <v>0</v>
      </c>
      <c r="I224" s="569"/>
      <c r="J224" s="570"/>
      <c r="K224" s="569"/>
      <c r="L224" s="569"/>
      <c r="M224" s="569"/>
      <c r="N224" s="569"/>
      <c r="O224" s="569"/>
      <c r="P224" s="569"/>
      <c r="Q224" s="569"/>
      <c r="R224" s="569"/>
      <c r="S224" s="569"/>
      <c r="T224" s="569"/>
      <c r="U224" s="569"/>
      <c r="V224" s="569"/>
      <c r="W224" s="569"/>
      <c r="X224" s="569"/>
      <c r="Y224" s="569"/>
      <c r="Z224" s="569"/>
      <c r="AA224" s="569"/>
      <c r="AB224" s="569"/>
      <c r="AC224" s="569"/>
      <c r="AD224" s="569"/>
      <c r="AE224" s="569"/>
      <c r="AF224" s="569"/>
      <c r="AG224" s="569"/>
      <c r="AH224" s="569"/>
      <c r="AI224" s="569"/>
      <c r="AJ224" s="569"/>
      <c r="AK224" s="569"/>
      <c r="AL224" s="569"/>
      <c r="AM224" s="569"/>
      <c r="AN224" s="569"/>
    </row>
    <row r="225" spans="1:40" ht="13.5" x14ac:dyDescent="0.2">
      <c r="A225" s="518">
        <f>A224+0.1</f>
        <v>5.2</v>
      </c>
      <c r="B225" s="521"/>
      <c r="C225" s="521" t="s">
        <v>2</v>
      </c>
      <c r="D225" s="522" t="s">
        <v>93</v>
      </c>
      <c r="E225" s="522">
        <f>0.23/100</f>
        <v>0</v>
      </c>
      <c r="F225" s="542">
        <f>F223*E225</f>
        <v>0</v>
      </c>
      <c r="G225" s="522"/>
      <c r="H225" s="524">
        <f>G225*F225</f>
        <v>0</v>
      </c>
      <c r="I225" s="569"/>
      <c r="J225" s="570"/>
      <c r="K225" s="569"/>
      <c r="L225" s="569"/>
      <c r="M225" s="569"/>
      <c r="N225" s="569"/>
      <c r="O225" s="569"/>
      <c r="P225" s="569"/>
      <c r="Q225" s="569"/>
      <c r="R225" s="569"/>
      <c r="S225" s="569"/>
      <c r="T225" s="569"/>
      <c r="U225" s="569"/>
      <c r="V225" s="569"/>
      <c r="W225" s="569"/>
      <c r="X225" s="569"/>
      <c r="Y225" s="569"/>
      <c r="Z225" s="569"/>
      <c r="AA225" s="569"/>
      <c r="AB225" s="569"/>
      <c r="AC225" s="569"/>
      <c r="AD225" s="569"/>
      <c r="AE225" s="569"/>
      <c r="AF225" s="569"/>
      <c r="AG225" s="569"/>
      <c r="AH225" s="569"/>
      <c r="AI225" s="569"/>
      <c r="AJ225" s="569"/>
      <c r="AK225" s="569"/>
      <c r="AL225" s="569"/>
      <c r="AM225" s="569"/>
      <c r="AN225" s="569"/>
    </row>
    <row r="226" spans="1:40" ht="15.75" x14ac:dyDescent="0.2">
      <c r="A226" s="518">
        <f>A225+0.1</f>
        <v>5.3</v>
      </c>
      <c r="B226" s="525"/>
      <c r="C226" s="516" t="s">
        <v>130</v>
      </c>
      <c r="D226" s="516" t="s">
        <v>67</v>
      </c>
      <c r="E226" s="550">
        <f>0.037/100</f>
        <v>3.6999999999999999E-4</v>
      </c>
      <c r="F226" s="551">
        <f>F223*E226</f>
        <v>6.4000000000000001E-2</v>
      </c>
      <c r="G226" s="519"/>
      <c r="H226" s="517">
        <f>G226*F226</f>
        <v>0</v>
      </c>
      <c r="I226" s="569"/>
      <c r="J226" s="570"/>
      <c r="K226" s="569"/>
      <c r="L226" s="569"/>
      <c r="M226" s="569"/>
      <c r="N226" s="569"/>
      <c r="O226" s="569"/>
      <c r="P226" s="569"/>
      <c r="Q226" s="569"/>
      <c r="R226" s="569"/>
      <c r="S226" s="569"/>
      <c r="T226" s="569"/>
      <c r="U226" s="569"/>
      <c r="V226" s="569"/>
      <c r="W226" s="569"/>
      <c r="X226" s="569"/>
      <c r="Y226" s="569"/>
      <c r="Z226" s="569"/>
      <c r="AA226" s="569"/>
      <c r="AB226" s="569"/>
      <c r="AC226" s="569"/>
      <c r="AD226" s="569"/>
      <c r="AE226" s="569"/>
      <c r="AF226" s="569"/>
      <c r="AG226" s="569"/>
      <c r="AH226" s="569"/>
      <c r="AI226" s="569"/>
      <c r="AJ226" s="569"/>
      <c r="AK226" s="569"/>
      <c r="AL226" s="569"/>
      <c r="AM226" s="569"/>
      <c r="AN226" s="569"/>
    </row>
    <row r="227" spans="1:40" ht="15.75" x14ac:dyDescent="0.2">
      <c r="A227" s="518">
        <f>A226+0.1</f>
        <v>5.4</v>
      </c>
      <c r="B227" s="525"/>
      <c r="C227" s="516" t="s">
        <v>131</v>
      </c>
      <c r="D227" s="516" t="s">
        <v>3</v>
      </c>
      <c r="E227" s="550">
        <v>6.0000000000000002E-5</v>
      </c>
      <c r="F227" s="551">
        <f>F223*E227</f>
        <v>0.01</v>
      </c>
      <c r="G227" s="527"/>
      <c r="H227" s="517">
        <f>G227*F227</f>
        <v>0</v>
      </c>
      <c r="I227" s="569"/>
      <c r="J227" s="570"/>
      <c r="K227" s="569"/>
      <c r="L227" s="569"/>
      <c r="M227" s="569"/>
      <c r="N227" s="569"/>
      <c r="O227" s="569"/>
      <c r="P227" s="569"/>
      <c r="Q227" s="569"/>
      <c r="R227" s="569"/>
      <c r="S227" s="569"/>
      <c r="T227" s="569"/>
      <c r="U227" s="569"/>
      <c r="V227" s="569"/>
      <c r="W227" s="569"/>
      <c r="X227" s="569"/>
      <c r="Y227" s="569"/>
      <c r="Z227" s="569"/>
      <c r="AA227" s="569"/>
      <c r="AB227" s="569"/>
      <c r="AC227" s="569"/>
      <c r="AD227" s="569"/>
      <c r="AE227" s="569"/>
      <c r="AF227" s="569"/>
      <c r="AG227" s="569"/>
      <c r="AH227" s="569"/>
      <c r="AI227" s="569"/>
      <c r="AJ227" s="569"/>
      <c r="AK227" s="569"/>
      <c r="AL227" s="569"/>
      <c r="AM227" s="569"/>
      <c r="AN227" s="569"/>
    </row>
    <row r="228" spans="1:40" ht="15.75" x14ac:dyDescent="0.2">
      <c r="A228" s="518">
        <f>A227+0.1</f>
        <v>5.5</v>
      </c>
      <c r="B228" s="525"/>
      <c r="C228" s="516" t="s">
        <v>132</v>
      </c>
      <c r="D228" s="516" t="s">
        <v>4</v>
      </c>
      <c r="E228" s="551">
        <f>1.2/100</f>
        <v>1.2E-2</v>
      </c>
      <c r="F228" s="551">
        <f>F223*E228</f>
        <v>2.0640000000000001</v>
      </c>
      <c r="G228" s="527"/>
      <c r="H228" s="517">
        <f>G228*F228</f>
        <v>0</v>
      </c>
      <c r="I228" s="569"/>
      <c r="J228" s="570"/>
      <c r="K228" s="569"/>
      <c r="L228" s="569"/>
      <c r="M228" s="569"/>
      <c r="N228" s="569"/>
      <c r="O228" s="569"/>
      <c r="P228" s="569"/>
      <c r="Q228" s="569"/>
      <c r="R228" s="569"/>
      <c r="S228" s="569"/>
      <c r="T228" s="569"/>
      <c r="U228" s="569"/>
      <c r="V228" s="569"/>
      <c r="W228" s="569"/>
      <c r="X228" s="569"/>
      <c r="Y228" s="569"/>
      <c r="Z228" s="569"/>
      <c r="AA228" s="569"/>
      <c r="AB228" s="569"/>
      <c r="AC228" s="569"/>
      <c r="AD228" s="569"/>
      <c r="AE228" s="569"/>
      <c r="AF228" s="569"/>
      <c r="AG228" s="569"/>
      <c r="AH228" s="569"/>
      <c r="AI228" s="569"/>
      <c r="AJ228" s="569"/>
      <c r="AK228" s="569"/>
      <c r="AL228" s="569"/>
      <c r="AM228" s="569"/>
      <c r="AN228" s="569"/>
    </row>
    <row r="229" spans="1:40" ht="44.25" customHeight="1" x14ac:dyDescent="0.2">
      <c r="A229" s="516"/>
      <c r="B229" s="516"/>
      <c r="C229" s="540" t="s">
        <v>137</v>
      </c>
      <c r="D229" s="516" t="s">
        <v>6</v>
      </c>
      <c r="E229" s="516"/>
      <c r="F229" s="516"/>
      <c r="G229" s="516"/>
      <c r="H229" s="553">
        <f>H223+H217+H211+H207+H203+H196+H190+H185+H181+H174+H173+H172+H165+H160+H154+H149+H144+H142+H135+H129+H123+H115+H104+H95+H91+H87+H77+H69+H61+H52+H44+H36+H34+H32+H28+H24+H15+H13+H9</f>
        <v>0</v>
      </c>
      <c r="I229" s="569"/>
      <c r="J229" s="570"/>
      <c r="K229" s="569"/>
      <c r="L229" s="569"/>
      <c r="M229" s="569"/>
      <c r="N229" s="595"/>
      <c r="O229" s="574"/>
      <c r="P229" s="569"/>
      <c r="Q229" s="569"/>
      <c r="R229" s="569"/>
      <c r="S229" s="569"/>
      <c r="T229" s="569"/>
      <c r="U229" s="569"/>
      <c r="V229" s="569"/>
      <c r="W229" s="569"/>
      <c r="X229" s="569"/>
      <c r="Y229" s="569"/>
      <c r="Z229" s="569"/>
      <c r="AA229" s="569"/>
      <c r="AB229" s="569"/>
      <c r="AC229" s="569"/>
      <c r="AD229" s="569"/>
      <c r="AE229" s="569"/>
      <c r="AF229" s="569"/>
      <c r="AG229" s="569"/>
      <c r="AH229" s="569"/>
      <c r="AI229" s="569"/>
      <c r="AJ229" s="569"/>
      <c r="AK229" s="569"/>
      <c r="AL229" s="569"/>
      <c r="AM229" s="569"/>
      <c r="AN229" s="569"/>
    </row>
    <row r="230" spans="1:40" ht="23.25" customHeight="1" x14ac:dyDescent="0.2">
      <c r="A230" s="516"/>
      <c r="B230" s="516"/>
      <c r="C230" s="516" t="s">
        <v>70</v>
      </c>
      <c r="D230" s="552">
        <v>0.08</v>
      </c>
      <c r="E230" s="516"/>
      <c r="F230" s="516"/>
      <c r="G230" s="516"/>
      <c r="H230" s="517">
        <f>H229*D230</f>
        <v>0</v>
      </c>
      <c r="I230" s="569"/>
      <c r="J230" s="570"/>
      <c r="K230" s="569"/>
      <c r="L230" s="569"/>
      <c r="M230" s="569"/>
      <c r="N230" s="569"/>
      <c r="O230" s="569"/>
      <c r="P230" s="569"/>
      <c r="Q230" s="569"/>
      <c r="R230" s="569"/>
      <c r="S230" s="569"/>
      <c r="T230" s="569"/>
      <c r="U230" s="569"/>
      <c r="V230" s="569"/>
      <c r="W230" s="569"/>
      <c r="X230" s="569"/>
      <c r="Y230" s="569"/>
      <c r="Z230" s="569"/>
      <c r="AA230" s="569"/>
      <c r="AB230" s="569"/>
      <c r="AC230" s="569"/>
      <c r="AD230" s="569"/>
      <c r="AE230" s="569"/>
      <c r="AF230" s="569"/>
      <c r="AG230" s="569"/>
      <c r="AH230" s="569"/>
      <c r="AI230" s="569"/>
      <c r="AJ230" s="569"/>
      <c r="AK230" s="569"/>
      <c r="AL230" s="569"/>
      <c r="AM230" s="569"/>
      <c r="AN230" s="569"/>
    </row>
    <row r="231" spans="1:40" ht="23.25" customHeight="1" x14ac:dyDescent="0.2">
      <c r="A231" s="516"/>
      <c r="B231" s="516"/>
      <c r="C231" s="516" t="s">
        <v>46</v>
      </c>
      <c r="D231" s="516" t="s">
        <v>6</v>
      </c>
      <c r="E231" s="516"/>
      <c r="F231" s="516"/>
      <c r="G231" s="516"/>
      <c r="H231" s="553">
        <f>H230+H229</f>
        <v>0</v>
      </c>
      <c r="I231" s="569"/>
      <c r="J231" s="570"/>
      <c r="K231" s="569"/>
      <c r="L231" s="569"/>
      <c r="M231" s="569"/>
      <c r="N231" s="569"/>
      <c r="O231" s="569"/>
      <c r="P231" s="569"/>
      <c r="Q231" s="569"/>
      <c r="R231" s="569"/>
      <c r="S231" s="569"/>
      <c r="T231" s="569"/>
      <c r="U231" s="569"/>
      <c r="V231" s="569"/>
      <c r="W231" s="569"/>
      <c r="X231" s="569"/>
      <c r="Y231" s="569"/>
      <c r="Z231" s="569"/>
      <c r="AA231" s="569"/>
      <c r="AB231" s="569"/>
      <c r="AC231" s="569"/>
      <c r="AD231" s="569"/>
      <c r="AE231" s="569"/>
      <c r="AF231" s="569"/>
      <c r="AG231" s="569"/>
      <c r="AH231" s="569"/>
      <c r="AI231" s="569"/>
      <c r="AJ231" s="569"/>
      <c r="AK231" s="569"/>
      <c r="AL231" s="569"/>
      <c r="AM231" s="569"/>
      <c r="AN231" s="569"/>
    </row>
    <row r="232" spans="1:40" ht="23.25" customHeight="1" x14ac:dyDescent="0.2">
      <c r="A232" s="516"/>
      <c r="B232" s="516"/>
      <c r="C232" s="516" t="s">
        <v>138</v>
      </c>
      <c r="D232" s="552">
        <v>0.06</v>
      </c>
      <c r="E232" s="516"/>
      <c r="F232" s="516"/>
      <c r="G232" s="516"/>
      <c r="H232" s="517">
        <f>H231*D232</f>
        <v>0</v>
      </c>
      <c r="I232" s="569"/>
      <c r="J232" s="570"/>
      <c r="K232" s="569"/>
      <c r="L232" s="569"/>
      <c r="M232" s="569"/>
      <c r="N232" s="569"/>
      <c r="O232" s="569"/>
      <c r="P232" s="569"/>
      <c r="Q232" s="569"/>
      <c r="R232" s="569"/>
      <c r="S232" s="569"/>
      <c r="T232" s="569"/>
      <c r="U232" s="569"/>
      <c r="V232" s="569"/>
      <c r="W232" s="569"/>
      <c r="X232" s="569"/>
      <c r="Y232" s="569"/>
      <c r="Z232" s="569"/>
      <c r="AA232" s="569"/>
      <c r="AB232" s="569"/>
      <c r="AC232" s="569"/>
      <c r="AD232" s="569"/>
      <c r="AE232" s="569"/>
      <c r="AF232" s="569"/>
      <c r="AG232" s="569"/>
      <c r="AH232" s="569"/>
      <c r="AI232" s="569"/>
      <c r="AJ232" s="569"/>
      <c r="AK232" s="569"/>
      <c r="AL232" s="569"/>
      <c r="AM232" s="569"/>
      <c r="AN232" s="569"/>
    </row>
    <row r="233" spans="1:40" ht="23.25" customHeight="1" x14ac:dyDescent="0.2">
      <c r="A233" s="516"/>
      <c r="B233" s="516"/>
      <c r="C233" s="540" t="s">
        <v>58</v>
      </c>
      <c r="D233" s="516" t="s">
        <v>6</v>
      </c>
      <c r="E233" s="516"/>
      <c r="F233" s="516"/>
      <c r="G233" s="516"/>
      <c r="H233" s="553">
        <f>SUM(H231:H232)</f>
        <v>0</v>
      </c>
      <c r="I233" s="569"/>
      <c r="J233" s="570"/>
      <c r="K233" s="569"/>
      <c r="L233" s="569"/>
      <c r="M233" s="569"/>
      <c r="N233" s="569"/>
      <c r="O233" s="569"/>
      <c r="P233" s="569"/>
      <c r="Q233" s="569"/>
      <c r="R233" s="569"/>
      <c r="S233" s="569"/>
      <c r="T233" s="569"/>
      <c r="U233" s="569"/>
      <c r="V233" s="569"/>
      <c r="W233" s="569"/>
      <c r="X233" s="569"/>
      <c r="Y233" s="569"/>
      <c r="Z233" s="569"/>
      <c r="AA233" s="569"/>
      <c r="AB233" s="569"/>
      <c r="AC233" s="569"/>
      <c r="AD233" s="569"/>
      <c r="AE233" s="569"/>
      <c r="AF233" s="569"/>
      <c r="AG233" s="569"/>
      <c r="AH233" s="569"/>
      <c r="AI233" s="569"/>
      <c r="AJ233" s="569"/>
      <c r="AK233" s="569"/>
      <c r="AL233" s="569"/>
      <c r="AM233" s="569"/>
      <c r="AN233" s="569"/>
    </row>
    <row r="234" spans="1:40" ht="13.5" x14ac:dyDescent="0.2">
      <c r="A234" s="554"/>
      <c r="B234" s="554"/>
      <c r="C234" s="555"/>
      <c r="D234" s="554"/>
      <c r="E234" s="554"/>
      <c r="F234" s="554"/>
      <c r="G234" s="554"/>
      <c r="H234" s="556"/>
      <c r="I234" s="569"/>
      <c r="J234" s="570"/>
      <c r="K234" s="569"/>
      <c r="L234" s="569"/>
      <c r="M234" s="569"/>
      <c r="N234" s="569"/>
      <c r="O234" s="569"/>
      <c r="P234" s="569"/>
      <c r="Q234" s="569"/>
      <c r="R234" s="569"/>
      <c r="S234" s="569"/>
      <c r="T234" s="569"/>
      <c r="U234" s="569"/>
      <c r="V234" s="569"/>
      <c r="W234" s="569"/>
      <c r="X234" s="569"/>
      <c r="Y234" s="569"/>
      <c r="Z234" s="569"/>
      <c r="AA234" s="569"/>
      <c r="AB234" s="569"/>
      <c r="AC234" s="569"/>
      <c r="AD234" s="569"/>
      <c r="AE234" s="569"/>
      <c r="AF234" s="569"/>
      <c r="AG234" s="569"/>
      <c r="AH234" s="569"/>
      <c r="AI234" s="569"/>
      <c r="AJ234" s="569"/>
      <c r="AK234" s="569"/>
      <c r="AL234" s="569"/>
      <c r="AM234" s="569"/>
      <c r="AN234" s="569"/>
    </row>
    <row r="235" spans="1:40" ht="13.5" x14ac:dyDescent="0.2">
      <c r="A235" s="554"/>
      <c r="B235" s="554"/>
      <c r="C235" s="557"/>
      <c r="D235" s="659"/>
      <c r="E235" s="659"/>
      <c r="F235" s="659"/>
      <c r="G235" s="554"/>
      <c r="H235" s="554"/>
      <c r="I235" s="569"/>
      <c r="J235" s="570"/>
      <c r="K235" s="569"/>
      <c r="L235" s="569"/>
      <c r="M235" s="569"/>
      <c r="N235" s="569"/>
      <c r="O235" s="569"/>
      <c r="P235" s="569"/>
      <c r="Q235" s="569"/>
      <c r="R235" s="569"/>
      <c r="S235" s="569"/>
      <c r="T235" s="569"/>
      <c r="U235" s="569"/>
      <c r="V235" s="569"/>
      <c r="W235" s="569"/>
      <c r="X235" s="569"/>
      <c r="Y235" s="569"/>
      <c r="Z235" s="569"/>
      <c r="AA235" s="569"/>
      <c r="AB235" s="569"/>
      <c r="AC235" s="569"/>
      <c r="AD235" s="569"/>
      <c r="AE235" s="569"/>
      <c r="AF235" s="569"/>
      <c r="AG235" s="569"/>
      <c r="AH235" s="569"/>
      <c r="AI235" s="569"/>
      <c r="AJ235" s="569"/>
      <c r="AK235" s="569"/>
      <c r="AL235" s="569"/>
      <c r="AM235" s="569"/>
      <c r="AN235" s="569"/>
    </row>
  </sheetData>
  <mergeCells count="20">
    <mergeCell ref="A202:H202"/>
    <mergeCell ref="D235:F235"/>
    <mergeCell ref="A114:H114"/>
    <mergeCell ref="A141:H141"/>
    <mergeCell ref="A143:H143"/>
    <mergeCell ref="A171:H171"/>
    <mergeCell ref="A180:H180"/>
    <mergeCell ref="A5:H5"/>
    <mergeCell ref="A6:A7"/>
    <mergeCell ref="B6:B7"/>
    <mergeCell ref="C6:C7"/>
    <mergeCell ref="D6:D7"/>
    <mergeCell ref="E6:F6"/>
    <mergeCell ref="G6:H6"/>
    <mergeCell ref="A1:H1"/>
    <mergeCell ref="A2:H2"/>
    <mergeCell ref="A3:C3"/>
    <mergeCell ref="E3:H3"/>
    <mergeCell ref="A4:B4"/>
    <mergeCell ref="C4:H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31"/>
  <sheetViews>
    <sheetView topLeftCell="A76" workbookViewId="0">
      <selection activeCell="A6" sqref="A6:I6"/>
    </sheetView>
  </sheetViews>
  <sheetFormatPr defaultRowHeight="16.5" x14ac:dyDescent="0.2"/>
  <cols>
    <col min="1" max="1" width="6.28515625" style="279" customWidth="1"/>
    <col min="2" max="2" width="10.7109375" style="279" bestFit="1" customWidth="1"/>
    <col min="3" max="3" width="34.28515625" style="279" customWidth="1"/>
    <col min="4" max="4" width="22.5703125" style="279" customWidth="1"/>
    <col min="5" max="5" width="20" style="279" hidden="1" customWidth="1"/>
    <col min="6" max="6" width="8.42578125" style="279" customWidth="1"/>
    <col min="7" max="7" width="7.7109375" style="279" customWidth="1"/>
    <col min="8" max="8" width="10.140625" style="279" customWidth="1"/>
    <col min="9" max="9" width="8.140625" style="279" customWidth="1"/>
    <col min="10" max="10" width="11.28515625" style="279" customWidth="1"/>
    <col min="11" max="256" width="9.140625" style="279"/>
    <col min="257" max="257" width="6.28515625" style="279" customWidth="1"/>
    <col min="258" max="258" width="10.7109375" style="279" bestFit="1" customWidth="1"/>
    <col min="259" max="259" width="34.28515625" style="279" customWidth="1"/>
    <col min="260" max="260" width="22.5703125" style="279" customWidth="1"/>
    <col min="261" max="261" width="0" style="279" hidden="1" customWidth="1"/>
    <col min="262" max="262" width="8.42578125" style="279" customWidth="1"/>
    <col min="263" max="263" width="7.7109375" style="279" customWidth="1"/>
    <col min="264" max="264" width="10.140625" style="279" customWidth="1"/>
    <col min="265" max="265" width="8.140625" style="279" customWidth="1"/>
    <col min="266" max="266" width="11.28515625" style="279" customWidth="1"/>
    <col min="267" max="512" width="9.140625" style="279"/>
    <col min="513" max="513" width="6.28515625" style="279" customWidth="1"/>
    <col min="514" max="514" width="10.7109375" style="279" bestFit="1" customWidth="1"/>
    <col min="515" max="515" width="34.28515625" style="279" customWidth="1"/>
    <col min="516" max="516" width="22.5703125" style="279" customWidth="1"/>
    <col min="517" max="517" width="0" style="279" hidden="1" customWidth="1"/>
    <col min="518" max="518" width="8.42578125" style="279" customWidth="1"/>
    <col min="519" max="519" width="7.7109375" style="279" customWidth="1"/>
    <col min="520" max="520" width="10.140625" style="279" customWidth="1"/>
    <col min="521" max="521" width="8.140625" style="279" customWidth="1"/>
    <col min="522" max="522" width="11.28515625" style="279" customWidth="1"/>
    <col min="523" max="768" width="9.140625" style="279"/>
    <col min="769" max="769" width="6.28515625" style="279" customWidth="1"/>
    <col min="770" max="770" width="10.7109375" style="279" bestFit="1" customWidth="1"/>
    <col min="771" max="771" width="34.28515625" style="279" customWidth="1"/>
    <col min="772" max="772" width="22.5703125" style="279" customWidth="1"/>
    <col min="773" max="773" width="0" style="279" hidden="1" customWidth="1"/>
    <col min="774" max="774" width="8.42578125" style="279" customWidth="1"/>
    <col min="775" max="775" width="7.7109375" style="279" customWidth="1"/>
    <col min="776" max="776" width="10.140625" style="279" customWidth="1"/>
    <col min="777" max="777" width="8.140625" style="279" customWidth="1"/>
    <col min="778" max="778" width="11.28515625" style="279" customWidth="1"/>
    <col min="779" max="1024" width="9.140625" style="279"/>
    <col min="1025" max="1025" width="6.28515625" style="279" customWidth="1"/>
    <col min="1026" max="1026" width="10.7109375" style="279" bestFit="1" customWidth="1"/>
    <col min="1027" max="1027" width="34.28515625" style="279" customWidth="1"/>
    <col min="1028" max="1028" width="22.5703125" style="279" customWidth="1"/>
    <col min="1029" max="1029" width="0" style="279" hidden="1" customWidth="1"/>
    <col min="1030" max="1030" width="8.42578125" style="279" customWidth="1"/>
    <col min="1031" max="1031" width="7.7109375" style="279" customWidth="1"/>
    <col min="1032" max="1032" width="10.140625" style="279" customWidth="1"/>
    <col min="1033" max="1033" width="8.140625" style="279" customWidth="1"/>
    <col min="1034" max="1034" width="11.28515625" style="279" customWidth="1"/>
    <col min="1035" max="1280" width="9.140625" style="279"/>
    <col min="1281" max="1281" width="6.28515625" style="279" customWidth="1"/>
    <col min="1282" max="1282" width="10.7109375" style="279" bestFit="1" customWidth="1"/>
    <col min="1283" max="1283" width="34.28515625" style="279" customWidth="1"/>
    <col min="1284" max="1284" width="22.5703125" style="279" customWidth="1"/>
    <col min="1285" max="1285" width="0" style="279" hidden="1" customWidth="1"/>
    <col min="1286" max="1286" width="8.42578125" style="279" customWidth="1"/>
    <col min="1287" max="1287" width="7.7109375" style="279" customWidth="1"/>
    <col min="1288" max="1288" width="10.140625" style="279" customWidth="1"/>
    <col min="1289" max="1289" width="8.140625" style="279" customWidth="1"/>
    <col min="1290" max="1290" width="11.28515625" style="279" customWidth="1"/>
    <col min="1291" max="1536" width="9.140625" style="279"/>
    <col min="1537" max="1537" width="6.28515625" style="279" customWidth="1"/>
    <col min="1538" max="1538" width="10.7109375" style="279" bestFit="1" customWidth="1"/>
    <col min="1539" max="1539" width="34.28515625" style="279" customWidth="1"/>
    <col min="1540" max="1540" width="22.5703125" style="279" customWidth="1"/>
    <col min="1541" max="1541" width="0" style="279" hidden="1" customWidth="1"/>
    <col min="1542" max="1542" width="8.42578125" style="279" customWidth="1"/>
    <col min="1543" max="1543" width="7.7109375" style="279" customWidth="1"/>
    <col min="1544" max="1544" width="10.140625" style="279" customWidth="1"/>
    <col min="1545" max="1545" width="8.140625" style="279" customWidth="1"/>
    <col min="1546" max="1546" width="11.28515625" style="279" customWidth="1"/>
    <col min="1547" max="1792" width="9.140625" style="279"/>
    <col min="1793" max="1793" width="6.28515625" style="279" customWidth="1"/>
    <col min="1794" max="1794" width="10.7109375" style="279" bestFit="1" customWidth="1"/>
    <col min="1795" max="1795" width="34.28515625" style="279" customWidth="1"/>
    <col min="1796" max="1796" width="22.5703125" style="279" customWidth="1"/>
    <col min="1797" max="1797" width="0" style="279" hidden="1" customWidth="1"/>
    <col min="1798" max="1798" width="8.42578125" style="279" customWidth="1"/>
    <col min="1799" max="1799" width="7.7109375" style="279" customWidth="1"/>
    <col min="1800" max="1800" width="10.140625" style="279" customWidth="1"/>
    <col min="1801" max="1801" width="8.140625" style="279" customWidth="1"/>
    <col min="1802" max="1802" width="11.28515625" style="279" customWidth="1"/>
    <col min="1803" max="2048" width="9.140625" style="279"/>
    <col min="2049" max="2049" width="6.28515625" style="279" customWidth="1"/>
    <col min="2050" max="2050" width="10.7109375" style="279" bestFit="1" customWidth="1"/>
    <col min="2051" max="2051" width="34.28515625" style="279" customWidth="1"/>
    <col min="2052" max="2052" width="22.5703125" style="279" customWidth="1"/>
    <col min="2053" max="2053" width="0" style="279" hidden="1" customWidth="1"/>
    <col min="2054" max="2054" width="8.42578125" style="279" customWidth="1"/>
    <col min="2055" max="2055" width="7.7109375" style="279" customWidth="1"/>
    <col min="2056" max="2056" width="10.140625" style="279" customWidth="1"/>
    <col min="2057" max="2057" width="8.140625" style="279" customWidth="1"/>
    <col min="2058" max="2058" width="11.28515625" style="279" customWidth="1"/>
    <col min="2059" max="2304" width="9.140625" style="279"/>
    <col min="2305" max="2305" width="6.28515625" style="279" customWidth="1"/>
    <col min="2306" max="2306" width="10.7109375" style="279" bestFit="1" customWidth="1"/>
    <col min="2307" max="2307" width="34.28515625" style="279" customWidth="1"/>
    <col min="2308" max="2308" width="22.5703125" style="279" customWidth="1"/>
    <col min="2309" max="2309" width="0" style="279" hidden="1" customWidth="1"/>
    <col min="2310" max="2310" width="8.42578125" style="279" customWidth="1"/>
    <col min="2311" max="2311" width="7.7109375" style="279" customWidth="1"/>
    <col min="2312" max="2312" width="10.140625" style="279" customWidth="1"/>
    <col min="2313" max="2313" width="8.140625" style="279" customWidth="1"/>
    <col min="2314" max="2314" width="11.28515625" style="279" customWidth="1"/>
    <col min="2315" max="2560" width="9.140625" style="279"/>
    <col min="2561" max="2561" width="6.28515625" style="279" customWidth="1"/>
    <col min="2562" max="2562" width="10.7109375" style="279" bestFit="1" customWidth="1"/>
    <col min="2563" max="2563" width="34.28515625" style="279" customWidth="1"/>
    <col min="2564" max="2564" width="22.5703125" style="279" customWidth="1"/>
    <col min="2565" max="2565" width="0" style="279" hidden="1" customWidth="1"/>
    <col min="2566" max="2566" width="8.42578125" style="279" customWidth="1"/>
    <col min="2567" max="2567" width="7.7109375" style="279" customWidth="1"/>
    <col min="2568" max="2568" width="10.140625" style="279" customWidth="1"/>
    <col min="2569" max="2569" width="8.140625" style="279" customWidth="1"/>
    <col min="2570" max="2570" width="11.28515625" style="279" customWidth="1"/>
    <col min="2571" max="2816" width="9.140625" style="279"/>
    <col min="2817" max="2817" width="6.28515625" style="279" customWidth="1"/>
    <col min="2818" max="2818" width="10.7109375" style="279" bestFit="1" customWidth="1"/>
    <col min="2819" max="2819" width="34.28515625" style="279" customWidth="1"/>
    <col min="2820" max="2820" width="22.5703125" style="279" customWidth="1"/>
    <col min="2821" max="2821" width="0" style="279" hidden="1" customWidth="1"/>
    <col min="2822" max="2822" width="8.42578125" style="279" customWidth="1"/>
    <col min="2823" max="2823" width="7.7109375" style="279" customWidth="1"/>
    <col min="2824" max="2824" width="10.140625" style="279" customWidth="1"/>
    <col min="2825" max="2825" width="8.140625" style="279" customWidth="1"/>
    <col min="2826" max="2826" width="11.28515625" style="279" customWidth="1"/>
    <col min="2827" max="3072" width="9.140625" style="279"/>
    <col min="3073" max="3073" width="6.28515625" style="279" customWidth="1"/>
    <col min="3074" max="3074" width="10.7109375" style="279" bestFit="1" customWidth="1"/>
    <col min="3075" max="3075" width="34.28515625" style="279" customWidth="1"/>
    <col min="3076" max="3076" width="22.5703125" style="279" customWidth="1"/>
    <col min="3077" max="3077" width="0" style="279" hidden="1" customWidth="1"/>
    <col min="3078" max="3078" width="8.42578125" style="279" customWidth="1"/>
    <col min="3079" max="3079" width="7.7109375" style="279" customWidth="1"/>
    <col min="3080" max="3080" width="10.140625" style="279" customWidth="1"/>
    <col min="3081" max="3081" width="8.140625" style="279" customWidth="1"/>
    <col min="3082" max="3082" width="11.28515625" style="279" customWidth="1"/>
    <col min="3083" max="3328" width="9.140625" style="279"/>
    <col min="3329" max="3329" width="6.28515625" style="279" customWidth="1"/>
    <col min="3330" max="3330" width="10.7109375" style="279" bestFit="1" customWidth="1"/>
    <col min="3331" max="3331" width="34.28515625" style="279" customWidth="1"/>
    <col min="3332" max="3332" width="22.5703125" style="279" customWidth="1"/>
    <col min="3333" max="3333" width="0" style="279" hidden="1" customWidth="1"/>
    <col min="3334" max="3334" width="8.42578125" style="279" customWidth="1"/>
    <col min="3335" max="3335" width="7.7109375" style="279" customWidth="1"/>
    <col min="3336" max="3336" width="10.140625" style="279" customWidth="1"/>
    <col min="3337" max="3337" width="8.140625" style="279" customWidth="1"/>
    <col min="3338" max="3338" width="11.28515625" style="279" customWidth="1"/>
    <col min="3339" max="3584" width="9.140625" style="279"/>
    <col min="3585" max="3585" width="6.28515625" style="279" customWidth="1"/>
    <col min="3586" max="3586" width="10.7109375" style="279" bestFit="1" customWidth="1"/>
    <col min="3587" max="3587" width="34.28515625" style="279" customWidth="1"/>
    <col min="3588" max="3588" width="22.5703125" style="279" customWidth="1"/>
    <col min="3589" max="3589" width="0" style="279" hidden="1" customWidth="1"/>
    <col min="3590" max="3590" width="8.42578125" style="279" customWidth="1"/>
    <col min="3591" max="3591" width="7.7109375" style="279" customWidth="1"/>
    <col min="3592" max="3592" width="10.140625" style="279" customWidth="1"/>
    <col min="3593" max="3593" width="8.140625" style="279" customWidth="1"/>
    <col min="3594" max="3594" width="11.28515625" style="279" customWidth="1"/>
    <col min="3595" max="3840" width="9.140625" style="279"/>
    <col min="3841" max="3841" width="6.28515625" style="279" customWidth="1"/>
    <col min="3842" max="3842" width="10.7109375" style="279" bestFit="1" customWidth="1"/>
    <col min="3843" max="3843" width="34.28515625" style="279" customWidth="1"/>
    <col min="3844" max="3844" width="22.5703125" style="279" customWidth="1"/>
    <col min="3845" max="3845" width="0" style="279" hidden="1" customWidth="1"/>
    <col min="3846" max="3846" width="8.42578125" style="279" customWidth="1"/>
    <col min="3847" max="3847" width="7.7109375" style="279" customWidth="1"/>
    <col min="3848" max="3848" width="10.140625" style="279" customWidth="1"/>
    <col min="3849" max="3849" width="8.140625" style="279" customWidth="1"/>
    <col min="3850" max="3850" width="11.28515625" style="279" customWidth="1"/>
    <col min="3851" max="4096" width="9.140625" style="279"/>
    <col min="4097" max="4097" width="6.28515625" style="279" customWidth="1"/>
    <col min="4098" max="4098" width="10.7109375" style="279" bestFit="1" customWidth="1"/>
    <col min="4099" max="4099" width="34.28515625" style="279" customWidth="1"/>
    <col min="4100" max="4100" width="22.5703125" style="279" customWidth="1"/>
    <col min="4101" max="4101" width="0" style="279" hidden="1" customWidth="1"/>
    <col min="4102" max="4102" width="8.42578125" style="279" customWidth="1"/>
    <col min="4103" max="4103" width="7.7109375" style="279" customWidth="1"/>
    <col min="4104" max="4104" width="10.140625" style="279" customWidth="1"/>
    <col min="4105" max="4105" width="8.140625" style="279" customWidth="1"/>
    <col min="4106" max="4106" width="11.28515625" style="279" customWidth="1"/>
    <col min="4107" max="4352" width="9.140625" style="279"/>
    <col min="4353" max="4353" width="6.28515625" style="279" customWidth="1"/>
    <col min="4354" max="4354" width="10.7109375" style="279" bestFit="1" customWidth="1"/>
    <col min="4355" max="4355" width="34.28515625" style="279" customWidth="1"/>
    <col min="4356" max="4356" width="22.5703125" style="279" customWidth="1"/>
    <col min="4357" max="4357" width="0" style="279" hidden="1" customWidth="1"/>
    <col min="4358" max="4358" width="8.42578125" style="279" customWidth="1"/>
    <col min="4359" max="4359" width="7.7109375" style="279" customWidth="1"/>
    <col min="4360" max="4360" width="10.140625" style="279" customWidth="1"/>
    <col min="4361" max="4361" width="8.140625" style="279" customWidth="1"/>
    <col min="4362" max="4362" width="11.28515625" style="279" customWidth="1"/>
    <col min="4363" max="4608" width="9.140625" style="279"/>
    <col min="4609" max="4609" width="6.28515625" style="279" customWidth="1"/>
    <col min="4610" max="4610" width="10.7109375" style="279" bestFit="1" customWidth="1"/>
    <col min="4611" max="4611" width="34.28515625" style="279" customWidth="1"/>
    <col min="4612" max="4612" width="22.5703125" style="279" customWidth="1"/>
    <col min="4613" max="4613" width="0" style="279" hidden="1" customWidth="1"/>
    <col min="4614" max="4614" width="8.42578125" style="279" customWidth="1"/>
    <col min="4615" max="4615" width="7.7109375" style="279" customWidth="1"/>
    <col min="4616" max="4616" width="10.140625" style="279" customWidth="1"/>
    <col min="4617" max="4617" width="8.140625" style="279" customWidth="1"/>
    <col min="4618" max="4618" width="11.28515625" style="279" customWidth="1"/>
    <col min="4619" max="4864" width="9.140625" style="279"/>
    <col min="4865" max="4865" width="6.28515625" style="279" customWidth="1"/>
    <col min="4866" max="4866" width="10.7109375" style="279" bestFit="1" customWidth="1"/>
    <col min="4867" max="4867" width="34.28515625" style="279" customWidth="1"/>
    <col min="4868" max="4868" width="22.5703125" style="279" customWidth="1"/>
    <col min="4869" max="4869" width="0" style="279" hidden="1" customWidth="1"/>
    <col min="4870" max="4870" width="8.42578125" style="279" customWidth="1"/>
    <col min="4871" max="4871" width="7.7109375" style="279" customWidth="1"/>
    <col min="4872" max="4872" width="10.140625" style="279" customWidth="1"/>
    <col min="4873" max="4873" width="8.140625" style="279" customWidth="1"/>
    <col min="4874" max="4874" width="11.28515625" style="279" customWidth="1"/>
    <col min="4875" max="5120" width="9.140625" style="279"/>
    <col min="5121" max="5121" width="6.28515625" style="279" customWidth="1"/>
    <col min="5122" max="5122" width="10.7109375" style="279" bestFit="1" customWidth="1"/>
    <col min="5123" max="5123" width="34.28515625" style="279" customWidth="1"/>
    <col min="5124" max="5124" width="22.5703125" style="279" customWidth="1"/>
    <col min="5125" max="5125" width="0" style="279" hidden="1" customWidth="1"/>
    <col min="5126" max="5126" width="8.42578125" style="279" customWidth="1"/>
    <col min="5127" max="5127" width="7.7109375" style="279" customWidth="1"/>
    <col min="5128" max="5128" width="10.140625" style="279" customWidth="1"/>
    <col min="5129" max="5129" width="8.140625" style="279" customWidth="1"/>
    <col min="5130" max="5130" width="11.28515625" style="279" customWidth="1"/>
    <col min="5131" max="5376" width="9.140625" style="279"/>
    <col min="5377" max="5377" width="6.28515625" style="279" customWidth="1"/>
    <col min="5378" max="5378" width="10.7109375" style="279" bestFit="1" customWidth="1"/>
    <col min="5379" max="5379" width="34.28515625" style="279" customWidth="1"/>
    <col min="5380" max="5380" width="22.5703125" style="279" customWidth="1"/>
    <col min="5381" max="5381" width="0" style="279" hidden="1" customWidth="1"/>
    <col min="5382" max="5382" width="8.42578125" style="279" customWidth="1"/>
    <col min="5383" max="5383" width="7.7109375" style="279" customWidth="1"/>
    <col min="5384" max="5384" width="10.140625" style="279" customWidth="1"/>
    <col min="5385" max="5385" width="8.140625" style="279" customWidth="1"/>
    <col min="5386" max="5386" width="11.28515625" style="279" customWidth="1"/>
    <col min="5387" max="5632" width="9.140625" style="279"/>
    <col min="5633" max="5633" width="6.28515625" style="279" customWidth="1"/>
    <col min="5634" max="5634" width="10.7109375" style="279" bestFit="1" customWidth="1"/>
    <col min="5635" max="5635" width="34.28515625" style="279" customWidth="1"/>
    <col min="5636" max="5636" width="22.5703125" style="279" customWidth="1"/>
    <col min="5637" max="5637" width="0" style="279" hidden="1" customWidth="1"/>
    <col min="5638" max="5638" width="8.42578125" style="279" customWidth="1"/>
    <col min="5639" max="5639" width="7.7109375" style="279" customWidth="1"/>
    <col min="5640" max="5640" width="10.140625" style="279" customWidth="1"/>
    <col min="5641" max="5641" width="8.140625" style="279" customWidth="1"/>
    <col min="5642" max="5642" width="11.28515625" style="279" customWidth="1"/>
    <col min="5643" max="5888" width="9.140625" style="279"/>
    <col min="5889" max="5889" width="6.28515625" style="279" customWidth="1"/>
    <col min="5890" max="5890" width="10.7109375" style="279" bestFit="1" customWidth="1"/>
    <col min="5891" max="5891" width="34.28515625" style="279" customWidth="1"/>
    <col min="5892" max="5892" width="22.5703125" style="279" customWidth="1"/>
    <col min="5893" max="5893" width="0" style="279" hidden="1" customWidth="1"/>
    <col min="5894" max="5894" width="8.42578125" style="279" customWidth="1"/>
    <col min="5895" max="5895" width="7.7109375" style="279" customWidth="1"/>
    <col min="5896" max="5896" width="10.140625" style="279" customWidth="1"/>
    <col min="5897" max="5897" width="8.140625" style="279" customWidth="1"/>
    <col min="5898" max="5898" width="11.28515625" style="279" customWidth="1"/>
    <col min="5899" max="6144" width="9.140625" style="279"/>
    <col min="6145" max="6145" width="6.28515625" style="279" customWidth="1"/>
    <col min="6146" max="6146" width="10.7109375" style="279" bestFit="1" customWidth="1"/>
    <col min="6147" max="6147" width="34.28515625" style="279" customWidth="1"/>
    <col min="6148" max="6148" width="22.5703125" style="279" customWidth="1"/>
    <col min="6149" max="6149" width="0" style="279" hidden="1" customWidth="1"/>
    <col min="6150" max="6150" width="8.42578125" style="279" customWidth="1"/>
    <col min="6151" max="6151" width="7.7109375" style="279" customWidth="1"/>
    <col min="6152" max="6152" width="10.140625" style="279" customWidth="1"/>
    <col min="6153" max="6153" width="8.140625" style="279" customWidth="1"/>
    <col min="6154" max="6154" width="11.28515625" style="279" customWidth="1"/>
    <col min="6155" max="6400" width="9.140625" style="279"/>
    <col min="6401" max="6401" width="6.28515625" style="279" customWidth="1"/>
    <col min="6402" max="6402" width="10.7109375" style="279" bestFit="1" customWidth="1"/>
    <col min="6403" max="6403" width="34.28515625" style="279" customWidth="1"/>
    <col min="6404" max="6404" width="22.5703125" style="279" customWidth="1"/>
    <col min="6405" max="6405" width="0" style="279" hidden="1" customWidth="1"/>
    <col min="6406" max="6406" width="8.42578125" style="279" customWidth="1"/>
    <col min="6407" max="6407" width="7.7109375" style="279" customWidth="1"/>
    <col min="6408" max="6408" width="10.140625" style="279" customWidth="1"/>
    <col min="6409" max="6409" width="8.140625" style="279" customWidth="1"/>
    <col min="6410" max="6410" width="11.28515625" style="279" customWidth="1"/>
    <col min="6411" max="6656" width="9.140625" style="279"/>
    <col min="6657" max="6657" width="6.28515625" style="279" customWidth="1"/>
    <col min="6658" max="6658" width="10.7109375" style="279" bestFit="1" customWidth="1"/>
    <col min="6659" max="6659" width="34.28515625" style="279" customWidth="1"/>
    <col min="6660" max="6660" width="22.5703125" style="279" customWidth="1"/>
    <col min="6661" max="6661" width="0" style="279" hidden="1" customWidth="1"/>
    <col min="6662" max="6662" width="8.42578125" style="279" customWidth="1"/>
    <col min="6663" max="6663" width="7.7109375" style="279" customWidth="1"/>
    <col min="6664" max="6664" width="10.140625" style="279" customWidth="1"/>
    <col min="6665" max="6665" width="8.140625" style="279" customWidth="1"/>
    <col min="6666" max="6666" width="11.28515625" style="279" customWidth="1"/>
    <col min="6667" max="6912" width="9.140625" style="279"/>
    <col min="6913" max="6913" width="6.28515625" style="279" customWidth="1"/>
    <col min="6914" max="6914" width="10.7109375" style="279" bestFit="1" customWidth="1"/>
    <col min="6915" max="6915" width="34.28515625" style="279" customWidth="1"/>
    <col min="6916" max="6916" width="22.5703125" style="279" customWidth="1"/>
    <col min="6917" max="6917" width="0" style="279" hidden="1" customWidth="1"/>
    <col min="6918" max="6918" width="8.42578125" style="279" customWidth="1"/>
    <col min="6919" max="6919" width="7.7109375" style="279" customWidth="1"/>
    <col min="6920" max="6920" width="10.140625" style="279" customWidth="1"/>
    <col min="6921" max="6921" width="8.140625" style="279" customWidth="1"/>
    <col min="6922" max="6922" width="11.28515625" style="279" customWidth="1"/>
    <col min="6923" max="7168" width="9.140625" style="279"/>
    <col min="7169" max="7169" width="6.28515625" style="279" customWidth="1"/>
    <col min="7170" max="7170" width="10.7109375" style="279" bestFit="1" customWidth="1"/>
    <col min="7171" max="7171" width="34.28515625" style="279" customWidth="1"/>
    <col min="7172" max="7172" width="22.5703125" style="279" customWidth="1"/>
    <col min="7173" max="7173" width="0" style="279" hidden="1" customWidth="1"/>
    <col min="7174" max="7174" width="8.42578125" style="279" customWidth="1"/>
    <col min="7175" max="7175" width="7.7109375" style="279" customWidth="1"/>
    <col min="7176" max="7176" width="10.140625" style="279" customWidth="1"/>
    <col min="7177" max="7177" width="8.140625" style="279" customWidth="1"/>
    <col min="7178" max="7178" width="11.28515625" style="279" customWidth="1"/>
    <col min="7179" max="7424" width="9.140625" style="279"/>
    <col min="7425" max="7425" width="6.28515625" style="279" customWidth="1"/>
    <col min="7426" max="7426" width="10.7109375" style="279" bestFit="1" customWidth="1"/>
    <col min="7427" max="7427" width="34.28515625" style="279" customWidth="1"/>
    <col min="7428" max="7428" width="22.5703125" style="279" customWidth="1"/>
    <col min="7429" max="7429" width="0" style="279" hidden="1" customWidth="1"/>
    <col min="7430" max="7430" width="8.42578125" style="279" customWidth="1"/>
    <col min="7431" max="7431" width="7.7109375" style="279" customWidth="1"/>
    <col min="7432" max="7432" width="10.140625" style="279" customWidth="1"/>
    <col min="7433" max="7433" width="8.140625" style="279" customWidth="1"/>
    <col min="7434" max="7434" width="11.28515625" style="279" customWidth="1"/>
    <col min="7435" max="7680" width="9.140625" style="279"/>
    <col min="7681" max="7681" width="6.28515625" style="279" customWidth="1"/>
    <col min="7682" max="7682" width="10.7109375" style="279" bestFit="1" customWidth="1"/>
    <col min="7683" max="7683" width="34.28515625" style="279" customWidth="1"/>
    <col min="7684" max="7684" width="22.5703125" style="279" customWidth="1"/>
    <col min="7685" max="7685" width="0" style="279" hidden="1" customWidth="1"/>
    <col min="7686" max="7686" width="8.42578125" style="279" customWidth="1"/>
    <col min="7687" max="7687" width="7.7109375" style="279" customWidth="1"/>
    <col min="7688" max="7688" width="10.140625" style="279" customWidth="1"/>
    <col min="7689" max="7689" width="8.140625" style="279" customWidth="1"/>
    <col min="7690" max="7690" width="11.28515625" style="279" customWidth="1"/>
    <col min="7691" max="7936" width="9.140625" style="279"/>
    <col min="7937" max="7937" width="6.28515625" style="279" customWidth="1"/>
    <col min="7938" max="7938" width="10.7109375" style="279" bestFit="1" customWidth="1"/>
    <col min="7939" max="7939" width="34.28515625" style="279" customWidth="1"/>
    <col min="7940" max="7940" width="22.5703125" style="279" customWidth="1"/>
    <col min="7941" max="7941" width="0" style="279" hidden="1" customWidth="1"/>
    <col min="7942" max="7942" width="8.42578125" style="279" customWidth="1"/>
    <col min="7943" max="7943" width="7.7109375" style="279" customWidth="1"/>
    <col min="7944" max="7944" width="10.140625" style="279" customWidth="1"/>
    <col min="7945" max="7945" width="8.140625" style="279" customWidth="1"/>
    <col min="7946" max="7946" width="11.28515625" style="279" customWidth="1"/>
    <col min="7947" max="8192" width="9.140625" style="279"/>
    <col min="8193" max="8193" width="6.28515625" style="279" customWidth="1"/>
    <col min="8194" max="8194" width="10.7109375" style="279" bestFit="1" customWidth="1"/>
    <col min="8195" max="8195" width="34.28515625" style="279" customWidth="1"/>
    <col min="8196" max="8196" width="22.5703125" style="279" customWidth="1"/>
    <col min="8197" max="8197" width="0" style="279" hidden="1" customWidth="1"/>
    <col min="8198" max="8198" width="8.42578125" style="279" customWidth="1"/>
    <col min="8199" max="8199" width="7.7109375" style="279" customWidth="1"/>
    <col min="8200" max="8200" width="10.140625" style="279" customWidth="1"/>
    <col min="8201" max="8201" width="8.140625" style="279" customWidth="1"/>
    <col min="8202" max="8202" width="11.28515625" style="279" customWidth="1"/>
    <col min="8203" max="8448" width="9.140625" style="279"/>
    <col min="8449" max="8449" width="6.28515625" style="279" customWidth="1"/>
    <col min="8450" max="8450" width="10.7109375" style="279" bestFit="1" customWidth="1"/>
    <col min="8451" max="8451" width="34.28515625" style="279" customWidth="1"/>
    <col min="8452" max="8452" width="22.5703125" style="279" customWidth="1"/>
    <col min="8453" max="8453" width="0" style="279" hidden="1" customWidth="1"/>
    <col min="8454" max="8454" width="8.42578125" style="279" customWidth="1"/>
    <col min="8455" max="8455" width="7.7109375" style="279" customWidth="1"/>
    <col min="8456" max="8456" width="10.140625" style="279" customWidth="1"/>
    <col min="8457" max="8457" width="8.140625" style="279" customWidth="1"/>
    <col min="8458" max="8458" width="11.28515625" style="279" customWidth="1"/>
    <col min="8459" max="8704" width="9.140625" style="279"/>
    <col min="8705" max="8705" width="6.28515625" style="279" customWidth="1"/>
    <col min="8706" max="8706" width="10.7109375" style="279" bestFit="1" customWidth="1"/>
    <col min="8707" max="8707" width="34.28515625" style="279" customWidth="1"/>
    <col min="8708" max="8708" width="22.5703125" style="279" customWidth="1"/>
    <col min="8709" max="8709" width="0" style="279" hidden="1" customWidth="1"/>
    <col min="8710" max="8710" width="8.42578125" style="279" customWidth="1"/>
    <col min="8711" max="8711" width="7.7109375" style="279" customWidth="1"/>
    <col min="8712" max="8712" width="10.140625" style="279" customWidth="1"/>
    <col min="8713" max="8713" width="8.140625" style="279" customWidth="1"/>
    <col min="8714" max="8714" width="11.28515625" style="279" customWidth="1"/>
    <col min="8715" max="8960" width="9.140625" style="279"/>
    <col min="8961" max="8961" width="6.28515625" style="279" customWidth="1"/>
    <col min="8962" max="8962" width="10.7109375" style="279" bestFit="1" customWidth="1"/>
    <col min="8963" max="8963" width="34.28515625" style="279" customWidth="1"/>
    <col min="8964" max="8964" width="22.5703125" style="279" customWidth="1"/>
    <col min="8965" max="8965" width="0" style="279" hidden="1" customWidth="1"/>
    <col min="8966" max="8966" width="8.42578125" style="279" customWidth="1"/>
    <col min="8967" max="8967" width="7.7109375" style="279" customWidth="1"/>
    <col min="8968" max="8968" width="10.140625" style="279" customWidth="1"/>
    <col min="8969" max="8969" width="8.140625" style="279" customWidth="1"/>
    <col min="8970" max="8970" width="11.28515625" style="279" customWidth="1"/>
    <col min="8971" max="9216" width="9.140625" style="279"/>
    <col min="9217" max="9217" width="6.28515625" style="279" customWidth="1"/>
    <col min="9218" max="9218" width="10.7109375" style="279" bestFit="1" customWidth="1"/>
    <col min="9219" max="9219" width="34.28515625" style="279" customWidth="1"/>
    <col min="9220" max="9220" width="22.5703125" style="279" customWidth="1"/>
    <col min="9221" max="9221" width="0" style="279" hidden="1" customWidth="1"/>
    <col min="9222" max="9222" width="8.42578125" style="279" customWidth="1"/>
    <col min="9223" max="9223" width="7.7109375" style="279" customWidth="1"/>
    <col min="9224" max="9224" width="10.140625" style="279" customWidth="1"/>
    <col min="9225" max="9225" width="8.140625" style="279" customWidth="1"/>
    <col min="9226" max="9226" width="11.28515625" style="279" customWidth="1"/>
    <col min="9227" max="9472" width="9.140625" style="279"/>
    <col min="9473" max="9473" width="6.28515625" style="279" customWidth="1"/>
    <col min="9474" max="9474" width="10.7109375" style="279" bestFit="1" customWidth="1"/>
    <col min="9475" max="9475" width="34.28515625" style="279" customWidth="1"/>
    <col min="9476" max="9476" width="22.5703125" style="279" customWidth="1"/>
    <col min="9477" max="9477" width="0" style="279" hidden="1" customWidth="1"/>
    <col min="9478" max="9478" width="8.42578125" style="279" customWidth="1"/>
    <col min="9479" max="9479" width="7.7109375" style="279" customWidth="1"/>
    <col min="9480" max="9480" width="10.140625" style="279" customWidth="1"/>
    <col min="9481" max="9481" width="8.140625" style="279" customWidth="1"/>
    <col min="9482" max="9482" width="11.28515625" style="279" customWidth="1"/>
    <col min="9483" max="9728" width="9.140625" style="279"/>
    <col min="9729" max="9729" width="6.28515625" style="279" customWidth="1"/>
    <col min="9730" max="9730" width="10.7109375" style="279" bestFit="1" customWidth="1"/>
    <col min="9731" max="9731" width="34.28515625" style="279" customWidth="1"/>
    <col min="9732" max="9732" width="22.5703125" style="279" customWidth="1"/>
    <col min="9733" max="9733" width="0" style="279" hidden="1" customWidth="1"/>
    <col min="9734" max="9734" width="8.42578125" style="279" customWidth="1"/>
    <col min="9735" max="9735" width="7.7109375" style="279" customWidth="1"/>
    <col min="9736" max="9736" width="10.140625" style="279" customWidth="1"/>
    <col min="9737" max="9737" width="8.140625" style="279" customWidth="1"/>
    <col min="9738" max="9738" width="11.28515625" style="279" customWidth="1"/>
    <col min="9739" max="9984" width="9.140625" style="279"/>
    <col min="9985" max="9985" width="6.28515625" style="279" customWidth="1"/>
    <col min="9986" max="9986" width="10.7109375" style="279" bestFit="1" customWidth="1"/>
    <col min="9987" max="9987" width="34.28515625" style="279" customWidth="1"/>
    <col min="9988" max="9988" width="22.5703125" style="279" customWidth="1"/>
    <col min="9989" max="9989" width="0" style="279" hidden="1" customWidth="1"/>
    <col min="9990" max="9990" width="8.42578125" style="279" customWidth="1"/>
    <col min="9991" max="9991" width="7.7109375" style="279" customWidth="1"/>
    <col min="9992" max="9992" width="10.140625" style="279" customWidth="1"/>
    <col min="9993" max="9993" width="8.140625" style="279" customWidth="1"/>
    <col min="9994" max="9994" width="11.28515625" style="279" customWidth="1"/>
    <col min="9995" max="10240" width="9.140625" style="279"/>
    <col min="10241" max="10241" width="6.28515625" style="279" customWidth="1"/>
    <col min="10242" max="10242" width="10.7109375" style="279" bestFit="1" customWidth="1"/>
    <col min="10243" max="10243" width="34.28515625" style="279" customWidth="1"/>
    <col min="10244" max="10244" width="22.5703125" style="279" customWidth="1"/>
    <col min="10245" max="10245" width="0" style="279" hidden="1" customWidth="1"/>
    <col min="10246" max="10246" width="8.42578125" style="279" customWidth="1"/>
    <col min="10247" max="10247" width="7.7109375" style="279" customWidth="1"/>
    <col min="10248" max="10248" width="10.140625" style="279" customWidth="1"/>
    <col min="10249" max="10249" width="8.140625" style="279" customWidth="1"/>
    <col min="10250" max="10250" width="11.28515625" style="279" customWidth="1"/>
    <col min="10251" max="10496" width="9.140625" style="279"/>
    <col min="10497" max="10497" width="6.28515625" style="279" customWidth="1"/>
    <col min="10498" max="10498" width="10.7109375" style="279" bestFit="1" customWidth="1"/>
    <col min="10499" max="10499" width="34.28515625" style="279" customWidth="1"/>
    <col min="10500" max="10500" width="22.5703125" style="279" customWidth="1"/>
    <col min="10501" max="10501" width="0" style="279" hidden="1" customWidth="1"/>
    <col min="10502" max="10502" width="8.42578125" style="279" customWidth="1"/>
    <col min="10503" max="10503" width="7.7109375" style="279" customWidth="1"/>
    <col min="10504" max="10504" width="10.140625" style="279" customWidth="1"/>
    <col min="10505" max="10505" width="8.140625" style="279" customWidth="1"/>
    <col min="10506" max="10506" width="11.28515625" style="279" customWidth="1"/>
    <col min="10507" max="10752" width="9.140625" style="279"/>
    <col min="10753" max="10753" width="6.28515625" style="279" customWidth="1"/>
    <col min="10754" max="10754" width="10.7109375" style="279" bestFit="1" customWidth="1"/>
    <col min="10755" max="10755" width="34.28515625" style="279" customWidth="1"/>
    <col min="10756" max="10756" width="22.5703125" style="279" customWidth="1"/>
    <col min="10757" max="10757" width="0" style="279" hidden="1" customWidth="1"/>
    <col min="10758" max="10758" width="8.42578125" style="279" customWidth="1"/>
    <col min="10759" max="10759" width="7.7109375" style="279" customWidth="1"/>
    <col min="10760" max="10760" width="10.140625" style="279" customWidth="1"/>
    <col min="10761" max="10761" width="8.140625" style="279" customWidth="1"/>
    <col min="10762" max="10762" width="11.28515625" style="279" customWidth="1"/>
    <col min="10763" max="11008" width="9.140625" style="279"/>
    <col min="11009" max="11009" width="6.28515625" style="279" customWidth="1"/>
    <col min="11010" max="11010" width="10.7109375" style="279" bestFit="1" customWidth="1"/>
    <col min="11011" max="11011" width="34.28515625" style="279" customWidth="1"/>
    <col min="11012" max="11012" width="22.5703125" style="279" customWidth="1"/>
    <col min="11013" max="11013" width="0" style="279" hidden="1" customWidth="1"/>
    <col min="11014" max="11014" width="8.42578125" style="279" customWidth="1"/>
    <col min="11015" max="11015" width="7.7109375" style="279" customWidth="1"/>
    <col min="11016" max="11016" width="10.140625" style="279" customWidth="1"/>
    <col min="11017" max="11017" width="8.140625" style="279" customWidth="1"/>
    <col min="11018" max="11018" width="11.28515625" style="279" customWidth="1"/>
    <col min="11019" max="11264" width="9.140625" style="279"/>
    <col min="11265" max="11265" width="6.28515625" style="279" customWidth="1"/>
    <col min="11266" max="11266" width="10.7109375" style="279" bestFit="1" customWidth="1"/>
    <col min="11267" max="11267" width="34.28515625" style="279" customWidth="1"/>
    <col min="11268" max="11268" width="22.5703125" style="279" customWidth="1"/>
    <col min="11269" max="11269" width="0" style="279" hidden="1" customWidth="1"/>
    <col min="11270" max="11270" width="8.42578125" style="279" customWidth="1"/>
    <col min="11271" max="11271" width="7.7109375" style="279" customWidth="1"/>
    <col min="11272" max="11272" width="10.140625" style="279" customWidth="1"/>
    <col min="11273" max="11273" width="8.140625" style="279" customWidth="1"/>
    <col min="11274" max="11274" width="11.28515625" style="279" customWidth="1"/>
    <col min="11275" max="11520" width="9.140625" style="279"/>
    <col min="11521" max="11521" width="6.28515625" style="279" customWidth="1"/>
    <col min="11522" max="11522" width="10.7109375" style="279" bestFit="1" customWidth="1"/>
    <col min="11523" max="11523" width="34.28515625" style="279" customWidth="1"/>
    <col min="11524" max="11524" width="22.5703125" style="279" customWidth="1"/>
    <col min="11525" max="11525" width="0" style="279" hidden="1" customWidth="1"/>
    <col min="11526" max="11526" width="8.42578125" style="279" customWidth="1"/>
    <col min="11527" max="11527" width="7.7109375" style="279" customWidth="1"/>
    <col min="11528" max="11528" width="10.140625" style="279" customWidth="1"/>
    <col min="11529" max="11529" width="8.140625" style="279" customWidth="1"/>
    <col min="11530" max="11530" width="11.28515625" style="279" customWidth="1"/>
    <col min="11531" max="11776" width="9.140625" style="279"/>
    <col min="11777" max="11777" width="6.28515625" style="279" customWidth="1"/>
    <col min="11778" max="11778" width="10.7109375" style="279" bestFit="1" customWidth="1"/>
    <col min="11779" max="11779" width="34.28515625" style="279" customWidth="1"/>
    <col min="11780" max="11780" width="22.5703125" style="279" customWidth="1"/>
    <col min="11781" max="11781" width="0" style="279" hidden="1" customWidth="1"/>
    <col min="11782" max="11782" width="8.42578125" style="279" customWidth="1"/>
    <col min="11783" max="11783" width="7.7109375" style="279" customWidth="1"/>
    <col min="11784" max="11784" width="10.140625" style="279" customWidth="1"/>
    <col min="11785" max="11785" width="8.140625" style="279" customWidth="1"/>
    <col min="11786" max="11786" width="11.28515625" style="279" customWidth="1"/>
    <col min="11787" max="12032" width="9.140625" style="279"/>
    <col min="12033" max="12033" width="6.28515625" style="279" customWidth="1"/>
    <col min="12034" max="12034" width="10.7109375" style="279" bestFit="1" customWidth="1"/>
    <col min="12035" max="12035" width="34.28515625" style="279" customWidth="1"/>
    <col min="12036" max="12036" width="22.5703125" style="279" customWidth="1"/>
    <col min="12037" max="12037" width="0" style="279" hidden="1" customWidth="1"/>
    <col min="12038" max="12038" width="8.42578125" style="279" customWidth="1"/>
    <col min="12039" max="12039" width="7.7109375" style="279" customWidth="1"/>
    <col min="12040" max="12040" width="10.140625" style="279" customWidth="1"/>
    <col min="12041" max="12041" width="8.140625" style="279" customWidth="1"/>
    <col min="12042" max="12042" width="11.28515625" style="279" customWidth="1"/>
    <col min="12043" max="12288" width="9.140625" style="279"/>
    <col min="12289" max="12289" width="6.28515625" style="279" customWidth="1"/>
    <col min="12290" max="12290" width="10.7109375" style="279" bestFit="1" customWidth="1"/>
    <col min="12291" max="12291" width="34.28515625" style="279" customWidth="1"/>
    <col min="12292" max="12292" width="22.5703125" style="279" customWidth="1"/>
    <col min="12293" max="12293" width="0" style="279" hidden="1" customWidth="1"/>
    <col min="12294" max="12294" width="8.42578125" style="279" customWidth="1"/>
    <col min="12295" max="12295" width="7.7109375" style="279" customWidth="1"/>
    <col min="12296" max="12296" width="10.140625" style="279" customWidth="1"/>
    <col min="12297" max="12297" width="8.140625" style="279" customWidth="1"/>
    <col min="12298" max="12298" width="11.28515625" style="279" customWidth="1"/>
    <col min="12299" max="12544" width="9.140625" style="279"/>
    <col min="12545" max="12545" width="6.28515625" style="279" customWidth="1"/>
    <col min="12546" max="12546" width="10.7109375" style="279" bestFit="1" customWidth="1"/>
    <col min="12547" max="12547" width="34.28515625" style="279" customWidth="1"/>
    <col min="12548" max="12548" width="22.5703125" style="279" customWidth="1"/>
    <col min="12549" max="12549" width="0" style="279" hidden="1" customWidth="1"/>
    <col min="12550" max="12550" width="8.42578125" style="279" customWidth="1"/>
    <col min="12551" max="12551" width="7.7109375" style="279" customWidth="1"/>
    <col min="12552" max="12552" width="10.140625" style="279" customWidth="1"/>
    <col min="12553" max="12553" width="8.140625" style="279" customWidth="1"/>
    <col min="12554" max="12554" width="11.28515625" style="279" customWidth="1"/>
    <col min="12555" max="12800" width="9.140625" style="279"/>
    <col min="12801" max="12801" width="6.28515625" style="279" customWidth="1"/>
    <col min="12802" max="12802" width="10.7109375" style="279" bestFit="1" customWidth="1"/>
    <col min="12803" max="12803" width="34.28515625" style="279" customWidth="1"/>
    <col min="12804" max="12804" width="22.5703125" style="279" customWidth="1"/>
    <col min="12805" max="12805" width="0" style="279" hidden="1" customWidth="1"/>
    <col min="12806" max="12806" width="8.42578125" style="279" customWidth="1"/>
    <col min="12807" max="12807" width="7.7109375" style="279" customWidth="1"/>
    <col min="12808" max="12808" width="10.140625" style="279" customWidth="1"/>
    <col min="12809" max="12809" width="8.140625" style="279" customWidth="1"/>
    <col min="12810" max="12810" width="11.28515625" style="279" customWidth="1"/>
    <col min="12811" max="13056" width="9.140625" style="279"/>
    <col min="13057" max="13057" width="6.28515625" style="279" customWidth="1"/>
    <col min="13058" max="13058" width="10.7109375" style="279" bestFit="1" customWidth="1"/>
    <col min="13059" max="13059" width="34.28515625" style="279" customWidth="1"/>
    <col min="13060" max="13060" width="22.5703125" style="279" customWidth="1"/>
    <col min="13061" max="13061" width="0" style="279" hidden="1" customWidth="1"/>
    <col min="13062" max="13062" width="8.42578125" style="279" customWidth="1"/>
    <col min="13063" max="13063" width="7.7109375" style="279" customWidth="1"/>
    <col min="13064" max="13064" width="10.140625" style="279" customWidth="1"/>
    <col min="13065" max="13065" width="8.140625" style="279" customWidth="1"/>
    <col min="13066" max="13066" width="11.28515625" style="279" customWidth="1"/>
    <col min="13067" max="13312" width="9.140625" style="279"/>
    <col min="13313" max="13313" width="6.28515625" style="279" customWidth="1"/>
    <col min="13314" max="13314" width="10.7109375" style="279" bestFit="1" customWidth="1"/>
    <col min="13315" max="13315" width="34.28515625" style="279" customWidth="1"/>
    <col min="13316" max="13316" width="22.5703125" style="279" customWidth="1"/>
    <col min="13317" max="13317" width="0" style="279" hidden="1" customWidth="1"/>
    <col min="13318" max="13318" width="8.42578125" style="279" customWidth="1"/>
    <col min="13319" max="13319" width="7.7109375" style="279" customWidth="1"/>
    <col min="13320" max="13320" width="10.140625" style="279" customWidth="1"/>
    <col min="13321" max="13321" width="8.140625" style="279" customWidth="1"/>
    <col min="13322" max="13322" width="11.28515625" style="279" customWidth="1"/>
    <col min="13323" max="13568" width="9.140625" style="279"/>
    <col min="13569" max="13569" width="6.28515625" style="279" customWidth="1"/>
    <col min="13570" max="13570" width="10.7109375" style="279" bestFit="1" customWidth="1"/>
    <col min="13571" max="13571" width="34.28515625" style="279" customWidth="1"/>
    <col min="13572" max="13572" width="22.5703125" style="279" customWidth="1"/>
    <col min="13573" max="13573" width="0" style="279" hidden="1" customWidth="1"/>
    <col min="13574" max="13574" width="8.42578125" style="279" customWidth="1"/>
    <col min="13575" max="13575" width="7.7109375" style="279" customWidth="1"/>
    <col min="13576" max="13576" width="10.140625" style="279" customWidth="1"/>
    <col min="13577" max="13577" width="8.140625" style="279" customWidth="1"/>
    <col min="13578" max="13578" width="11.28515625" style="279" customWidth="1"/>
    <col min="13579" max="13824" width="9.140625" style="279"/>
    <col min="13825" max="13825" width="6.28515625" style="279" customWidth="1"/>
    <col min="13826" max="13826" width="10.7109375" style="279" bestFit="1" customWidth="1"/>
    <col min="13827" max="13827" width="34.28515625" style="279" customWidth="1"/>
    <col min="13828" max="13828" width="22.5703125" style="279" customWidth="1"/>
    <col min="13829" max="13829" width="0" style="279" hidden="1" customWidth="1"/>
    <col min="13830" max="13830" width="8.42578125" style="279" customWidth="1"/>
    <col min="13831" max="13831" width="7.7109375" style="279" customWidth="1"/>
    <col min="13832" max="13832" width="10.140625" style="279" customWidth="1"/>
    <col min="13833" max="13833" width="8.140625" style="279" customWidth="1"/>
    <col min="13834" max="13834" width="11.28515625" style="279" customWidth="1"/>
    <col min="13835" max="14080" width="9.140625" style="279"/>
    <col min="14081" max="14081" width="6.28515625" style="279" customWidth="1"/>
    <col min="14082" max="14082" width="10.7109375" style="279" bestFit="1" customWidth="1"/>
    <col min="14083" max="14083" width="34.28515625" style="279" customWidth="1"/>
    <col min="14084" max="14084" width="22.5703125" style="279" customWidth="1"/>
    <col min="14085" max="14085" width="0" style="279" hidden="1" customWidth="1"/>
    <col min="14086" max="14086" width="8.42578125" style="279" customWidth="1"/>
    <col min="14087" max="14087" width="7.7109375" style="279" customWidth="1"/>
    <col min="14088" max="14088" width="10.140625" style="279" customWidth="1"/>
    <col min="14089" max="14089" width="8.140625" style="279" customWidth="1"/>
    <col min="14090" max="14090" width="11.28515625" style="279" customWidth="1"/>
    <col min="14091" max="14336" width="9.140625" style="279"/>
    <col min="14337" max="14337" width="6.28515625" style="279" customWidth="1"/>
    <col min="14338" max="14338" width="10.7109375" style="279" bestFit="1" customWidth="1"/>
    <col min="14339" max="14339" width="34.28515625" style="279" customWidth="1"/>
    <col min="14340" max="14340" width="22.5703125" style="279" customWidth="1"/>
    <col min="14341" max="14341" width="0" style="279" hidden="1" customWidth="1"/>
    <col min="14342" max="14342" width="8.42578125" style="279" customWidth="1"/>
    <col min="14343" max="14343" width="7.7109375" style="279" customWidth="1"/>
    <col min="14344" max="14344" width="10.140625" style="279" customWidth="1"/>
    <col min="14345" max="14345" width="8.140625" style="279" customWidth="1"/>
    <col min="14346" max="14346" width="11.28515625" style="279" customWidth="1"/>
    <col min="14347" max="14592" width="9.140625" style="279"/>
    <col min="14593" max="14593" width="6.28515625" style="279" customWidth="1"/>
    <col min="14594" max="14594" width="10.7109375" style="279" bestFit="1" customWidth="1"/>
    <col min="14595" max="14595" width="34.28515625" style="279" customWidth="1"/>
    <col min="14596" max="14596" width="22.5703125" style="279" customWidth="1"/>
    <col min="14597" max="14597" width="0" style="279" hidden="1" customWidth="1"/>
    <col min="14598" max="14598" width="8.42578125" style="279" customWidth="1"/>
    <col min="14599" max="14599" width="7.7109375" style="279" customWidth="1"/>
    <col min="14600" max="14600" width="10.140625" style="279" customWidth="1"/>
    <col min="14601" max="14601" width="8.140625" style="279" customWidth="1"/>
    <col min="14602" max="14602" width="11.28515625" style="279" customWidth="1"/>
    <col min="14603" max="14848" width="9.140625" style="279"/>
    <col min="14849" max="14849" width="6.28515625" style="279" customWidth="1"/>
    <col min="14850" max="14850" width="10.7109375" style="279" bestFit="1" customWidth="1"/>
    <col min="14851" max="14851" width="34.28515625" style="279" customWidth="1"/>
    <col min="14852" max="14852" width="22.5703125" style="279" customWidth="1"/>
    <col min="14853" max="14853" width="0" style="279" hidden="1" customWidth="1"/>
    <col min="14854" max="14854" width="8.42578125" style="279" customWidth="1"/>
    <col min="14855" max="14855" width="7.7109375" style="279" customWidth="1"/>
    <col min="14856" max="14856" width="10.140625" style="279" customWidth="1"/>
    <col min="14857" max="14857" width="8.140625" style="279" customWidth="1"/>
    <col min="14858" max="14858" width="11.28515625" style="279" customWidth="1"/>
    <col min="14859" max="15104" width="9.140625" style="279"/>
    <col min="15105" max="15105" width="6.28515625" style="279" customWidth="1"/>
    <col min="15106" max="15106" width="10.7109375" style="279" bestFit="1" customWidth="1"/>
    <col min="15107" max="15107" width="34.28515625" style="279" customWidth="1"/>
    <col min="15108" max="15108" width="22.5703125" style="279" customWidth="1"/>
    <col min="15109" max="15109" width="0" style="279" hidden="1" customWidth="1"/>
    <col min="15110" max="15110" width="8.42578125" style="279" customWidth="1"/>
    <col min="15111" max="15111" width="7.7109375" style="279" customWidth="1"/>
    <col min="15112" max="15112" width="10.140625" style="279" customWidth="1"/>
    <col min="15113" max="15113" width="8.140625" style="279" customWidth="1"/>
    <col min="15114" max="15114" width="11.28515625" style="279" customWidth="1"/>
    <col min="15115" max="15360" width="9.140625" style="279"/>
    <col min="15361" max="15361" width="6.28515625" style="279" customWidth="1"/>
    <col min="15362" max="15362" width="10.7109375" style="279" bestFit="1" customWidth="1"/>
    <col min="15363" max="15363" width="34.28515625" style="279" customWidth="1"/>
    <col min="15364" max="15364" width="22.5703125" style="279" customWidth="1"/>
    <col min="15365" max="15365" width="0" style="279" hidden="1" customWidth="1"/>
    <col min="15366" max="15366" width="8.42578125" style="279" customWidth="1"/>
    <col min="15367" max="15367" width="7.7109375" style="279" customWidth="1"/>
    <col min="15368" max="15368" width="10.140625" style="279" customWidth="1"/>
    <col min="15369" max="15369" width="8.140625" style="279" customWidth="1"/>
    <col min="15370" max="15370" width="11.28515625" style="279" customWidth="1"/>
    <col min="15371" max="15616" width="9.140625" style="279"/>
    <col min="15617" max="15617" width="6.28515625" style="279" customWidth="1"/>
    <col min="15618" max="15618" width="10.7109375" style="279" bestFit="1" customWidth="1"/>
    <col min="15619" max="15619" width="34.28515625" style="279" customWidth="1"/>
    <col min="15620" max="15620" width="22.5703125" style="279" customWidth="1"/>
    <col min="15621" max="15621" width="0" style="279" hidden="1" customWidth="1"/>
    <col min="15622" max="15622" width="8.42578125" style="279" customWidth="1"/>
    <col min="15623" max="15623" width="7.7109375" style="279" customWidth="1"/>
    <col min="15624" max="15624" width="10.140625" style="279" customWidth="1"/>
    <col min="15625" max="15625" width="8.140625" style="279" customWidth="1"/>
    <col min="15626" max="15626" width="11.28515625" style="279" customWidth="1"/>
    <col min="15627" max="15872" width="9.140625" style="279"/>
    <col min="15873" max="15873" width="6.28515625" style="279" customWidth="1"/>
    <col min="15874" max="15874" width="10.7109375" style="279" bestFit="1" customWidth="1"/>
    <col min="15875" max="15875" width="34.28515625" style="279" customWidth="1"/>
    <col min="15876" max="15876" width="22.5703125" style="279" customWidth="1"/>
    <col min="15877" max="15877" width="0" style="279" hidden="1" customWidth="1"/>
    <col min="15878" max="15878" width="8.42578125" style="279" customWidth="1"/>
    <col min="15879" max="15879" width="7.7109375" style="279" customWidth="1"/>
    <col min="15880" max="15880" width="10.140625" style="279" customWidth="1"/>
    <col min="15881" max="15881" width="8.140625" style="279" customWidth="1"/>
    <col min="15882" max="15882" width="11.28515625" style="279" customWidth="1"/>
    <col min="15883" max="16128" width="9.140625" style="279"/>
    <col min="16129" max="16129" width="6.28515625" style="279" customWidth="1"/>
    <col min="16130" max="16130" width="10.7109375" style="279" bestFit="1" customWidth="1"/>
    <col min="16131" max="16131" width="34.28515625" style="279" customWidth="1"/>
    <col min="16132" max="16132" width="22.5703125" style="279" customWidth="1"/>
    <col min="16133" max="16133" width="0" style="279" hidden="1" customWidth="1"/>
    <col min="16134" max="16134" width="8.42578125" style="279" customWidth="1"/>
    <col min="16135" max="16135" width="7.7109375" style="279" customWidth="1"/>
    <col min="16136" max="16136" width="10.140625" style="279" customWidth="1"/>
    <col min="16137" max="16137" width="8.140625" style="279" customWidth="1"/>
    <col min="16138" max="16138" width="11.28515625" style="279" customWidth="1"/>
    <col min="16139" max="16384" width="9.140625" style="279"/>
  </cols>
  <sheetData>
    <row r="1" spans="1:10" ht="27.75" customHeight="1" x14ac:dyDescent="0.2">
      <c r="A1" s="690" t="s">
        <v>546</v>
      </c>
      <c r="B1" s="690"/>
      <c r="C1" s="690"/>
      <c r="D1" s="690"/>
      <c r="E1" s="690"/>
      <c r="F1" s="690"/>
      <c r="G1" s="690"/>
      <c r="H1" s="690"/>
      <c r="I1" s="690"/>
    </row>
    <row r="2" spans="1:10" ht="24.75" customHeight="1" x14ac:dyDescent="0.2">
      <c r="A2" s="690" t="s">
        <v>262</v>
      </c>
      <c r="B2" s="690"/>
      <c r="C2" s="690"/>
      <c r="D2" s="690"/>
      <c r="E2" s="690"/>
      <c r="F2" s="690"/>
      <c r="G2" s="208">
        <f>J80/1000</f>
        <v>0</v>
      </c>
      <c r="H2" s="274" t="s">
        <v>379</v>
      </c>
      <c r="I2" s="274" t="s">
        <v>10</v>
      </c>
    </row>
    <row r="3" spans="1:10" ht="24.75" customHeight="1" x14ac:dyDescent="0.2">
      <c r="A3" s="695" t="s">
        <v>618</v>
      </c>
      <c r="B3" s="695"/>
      <c r="C3" s="695"/>
      <c r="D3" s="695"/>
      <c r="E3" s="695"/>
      <c r="F3" s="695"/>
      <c r="G3" s="695"/>
      <c r="H3" s="695"/>
      <c r="I3" s="695"/>
      <c r="J3" s="695"/>
    </row>
    <row r="4" spans="1:10" ht="16.5" customHeight="1" x14ac:dyDescent="0.2">
      <c r="A4" s="691" t="s">
        <v>315</v>
      </c>
      <c r="B4" s="691"/>
      <c r="C4" s="691"/>
      <c r="D4" s="691"/>
      <c r="E4" s="691"/>
      <c r="F4" s="691"/>
      <c r="G4" s="691"/>
      <c r="H4" s="691"/>
      <c r="I4" s="691"/>
      <c r="J4" s="508"/>
    </row>
    <row r="6" spans="1:10" ht="16.5" customHeight="1" x14ac:dyDescent="0.2">
      <c r="A6" s="691"/>
      <c r="B6" s="691"/>
      <c r="C6" s="691"/>
      <c r="D6" s="691"/>
      <c r="E6" s="691"/>
      <c r="F6" s="691"/>
      <c r="G6" s="691"/>
      <c r="H6" s="691"/>
      <c r="I6" s="691"/>
      <c r="J6" s="508"/>
    </row>
    <row r="8" spans="1:10" ht="42.75" customHeight="1" x14ac:dyDescent="0.2">
      <c r="A8" s="696" t="s">
        <v>39</v>
      </c>
      <c r="B8" s="650" t="s">
        <v>15</v>
      </c>
      <c r="C8" s="698" t="s">
        <v>264</v>
      </c>
      <c r="D8" s="699"/>
      <c r="E8" s="700"/>
      <c r="F8" s="650" t="s">
        <v>265</v>
      </c>
      <c r="G8" s="670" t="s">
        <v>17</v>
      </c>
      <c r="H8" s="672"/>
      <c r="I8" s="670" t="s">
        <v>262</v>
      </c>
      <c r="J8" s="672"/>
    </row>
    <row r="9" spans="1:10" ht="79.5" customHeight="1" x14ac:dyDescent="0.2">
      <c r="A9" s="697"/>
      <c r="B9" s="651"/>
      <c r="C9" s="701"/>
      <c r="D9" s="702"/>
      <c r="E9" s="703"/>
      <c r="F9" s="651"/>
      <c r="G9" s="507" t="s">
        <v>266</v>
      </c>
      <c r="H9" s="507" t="s">
        <v>267</v>
      </c>
      <c r="I9" s="507" t="s">
        <v>266</v>
      </c>
      <c r="J9" s="507" t="s">
        <v>18</v>
      </c>
    </row>
    <row r="10" spans="1:10" ht="27.75" customHeight="1" x14ac:dyDescent="0.2">
      <c r="A10" s="692" t="s">
        <v>377</v>
      </c>
      <c r="B10" s="693"/>
      <c r="C10" s="693"/>
      <c r="D10" s="693"/>
      <c r="E10" s="693"/>
      <c r="F10" s="693"/>
      <c r="G10" s="693"/>
      <c r="H10" s="693"/>
      <c r="I10" s="693"/>
      <c r="J10" s="694"/>
    </row>
    <row r="11" spans="1:10" ht="64.5" customHeight="1" x14ac:dyDescent="0.2">
      <c r="A11" s="282">
        <v>1</v>
      </c>
      <c r="B11" s="271" t="s">
        <v>318</v>
      </c>
      <c r="C11" s="674" t="s">
        <v>321</v>
      </c>
      <c r="D11" s="675"/>
      <c r="E11" s="676"/>
      <c r="F11" s="271" t="s">
        <v>274</v>
      </c>
      <c r="G11" s="127"/>
      <c r="H11" s="282">
        <v>0.2</v>
      </c>
      <c r="I11" s="127"/>
      <c r="J11" s="171">
        <f>J12+J13+J14+J15</f>
        <v>0</v>
      </c>
    </row>
    <row r="12" spans="1:10" ht="20.25" customHeight="1" x14ac:dyDescent="0.2">
      <c r="A12" s="275">
        <f>A11+0.1</f>
        <v>1.1000000000000001</v>
      </c>
      <c r="B12" s="275"/>
      <c r="C12" s="664" t="s">
        <v>268</v>
      </c>
      <c r="D12" s="665"/>
      <c r="E12" s="666"/>
      <c r="F12" s="172" t="s">
        <v>24</v>
      </c>
      <c r="G12" s="124">
        <v>60.9</v>
      </c>
      <c r="H12" s="126">
        <f>H11*G12</f>
        <v>12.18</v>
      </c>
      <c r="I12" s="124"/>
      <c r="J12" s="133">
        <f>H12*I12</f>
        <v>0</v>
      </c>
    </row>
    <row r="13" spans="1:10" ht="16.5" customHeight="1" x14ac:dyDescent="0.2">
      <c r="A13" s="275">
        <f>A12+0.1</f>
        <v>1.2</v>
      </c>
      <c r="B13" s="275"/>
      <c r="C13" s="667" t="s">
        <v>225</v>
      </c>
      <c r="D13" s="668"/>
      <c r="E13" s="669"/>
      <c r="F13" s="173" t="s">
        <v>199</v>
      </c>
      <c r="G13" s="127">
        <v>0.21</v>
      </c>
      <c r="H13" s="128">
        <f>G13*H11</f>
        <v>0.04</v>
      </c>
      <c r="I13" s="127"/>
      <c r="J13" s="134">
        <f>H13*I13</f>
        <v>0</v>
      </c>
    </row>
    <row r="14" spans="1:10" ht="16.5" customHeight="1" x14ac:dyDescent="0.2">
      <c r="A14" s="275">
        <f>A13+0.1</f>
        <v>1.3</v>
      </c>
      <c r="B14" s="275"/>
      <c r="C14" s="670" t="s">
        <v>319</v>
      </c>
      <c r="D14" s="671"/>
      <c r="E14" s="672"/>
      <c r="F14" s="284" t="s">
        <v>241</v>
      </c>
      <c r="G14" s="275">
        <v>100</v>
      </c>
      <c r="H14" s="275">
        <f>H11*G14</f>
        <v>20</v>
      </c>
      <c r="I14" s="275"/>
      <c r="J14" s="132">
        <f>H14*I14</f>
        <v>0</v>
      </c>
    </row>
    <row r="15" spans="1:10" ht="21" customHeight="1" x14ac:dyDescent="0.2">
      <c r="A15" s="275">
        <f>A14+0.1</f>
        <v>1.4</v>
      </c>
      <c r="B15" s="275"/>
      <c r="C15" s="670" t="s">
        <v>269</v>
      </c>
      <c r="D15" s="671"/>
      <c r="E15" s="672"/>
      <c r="F15" s="284" t="s">
        <v>199</v>
      </c>
      <c r="G15" s="275">
        <v>15</v>
      </c>
      <c r="H15" s="129">
        <f>H11*G15</f>
        <v>3</v>
      </c>
      <c r="I15" s="275"/>
      <c r="J15" s="132">
        <f>H15*I15</f>
        <v>0</v>
      </c>
    </row>
    <row r="16" spans="1:10" ht="53.25" customHeight="1" x14ac:dyDescent="0.2">
      <c r="A16" s="282">
        <v>2</v>
      </c>
      <c r="B16" s="271" t="s">
        <v>318</v>
      </c>
      <c r="C16" s="674" t="s">
        <v>322</v>
      </c>
      <c r="D16" s="675"/>
      <c r="E16" s="676"/>
      <c r="F16" s="271" t="s">
        <v>274</v>
      </c>
      <c r="G16" s="127"/>
      <c r="H16" s="282">
        <v>0.16</v>
      </c>
      <c r="I16" s="127"/>
      <c r="J16" s="171">
        <f>J17+J18+J19+J20</f>
        <v>0</v>
      </c>
    </row>
    <row r="17" spans="1:10" ht="21.75" customHeight="1" x14ac:dyDescent="0.2">
      <c r="A17" s="275">
        <f>A16+0.1</f>
        <v>2.1</v>
      </c>
      <c r="B17" s="275"/>
      <c r="C17" s="664" t="s">
        <v>268</v>
      </c>
      <c r="D17" s="665"/>
      <c r="E17" s="666"/>
      <c r="F17" s="172" t="s">
        <v>24</v>
      </c>
      <c r="G17" s="124">
        <v>60.9</v>
      </c>
      <c r="H17" s="126">
        <f>H16*G17</f>
        <v>9.74</v>
      </c>
      <c r="I17" s="124"/>
      <c r="J17" s="133">
        <f>H17*I17</f>
        <v>0</v>
      </c>
    </row>
    <row r="18" spans="1:10" ht="23.25" customHeight="1" x14ac:dyDescent="0.2">
      <c r="A18" s="275">
        <f>A17+0.1</f>
        <v>2.2000000000000002</v>
      </c>
      <c r="B18" s="275"/>
      <c r="C18" s="667" t="s">
        <v>225</v>
      </c>
      <c r="D18" s="668"/>
      <c r="E18" s="669"/>
      <c r="F18" s="173" t="s">
        <v>199</v>
      </c>
      <c r="G18" s="127">
        <v>0.21</v>
      </c>
      <c r="H18" s="128">
        <f>G18*H16</f>
        <v>0.03</v>
      </c>
      <c r="I18" s="127"/>
      <c r="J18" s="134">
        <f>H18*I18</f>
        <v>0</v>
      </c>
    </row>
    <row r="19" spans="1:10" ht="20.25" customHeight="1" x14ac:dyDescent="0.2">
      <c r="A19" s="275">
        <f>A18+0.1</f>
        <v>2.2999999999999998</v>
      </c>
      <c r="B19" s="275"/>
      <c r="C19" s="670" t="s">
        <v>277</v>
      </c>
      <c r="D19" s="671"/>
      <c r="E19" s="672"/>
      <c r="F19" s="284" t="s">
        <v>241</v>
      </c>
      <c r="G19" s="275">
        <v>100</v>
      </c>
      <c r="H19" s="275">
        <f>H16*G19</f>
        <v>16</v>
      </c>
      <c r="I19" s="275"/>
      <c r="J19" s="132">
        <f>H19*I19</f>
        <v>0</v>
      </c>
    </row>
    <row r="20" spans="1:10" ht="20.25" customHeight="1" x14ac:dyDescent="0.2">
      <c r="A20" s="275">
        <v>4.4000000000000004</v>
      </c>
      <c r="B20" s="271"/>
      <c r="C20" s="670" t="s">
        <v>269</v>
      </c>
      <c r="D20" s="671"/>
      <c r="E20" s="672"/>
      <c r="F20" s="284" t="s">
        <v>199</v>
      </c>
      <c r="G20" s="275">
        <v>15</v>
      </c>
      <c r="H20" s="275">
        <f>H16*G20</f>
        <v>2.4</v>
      </c>
      <c r="I20" s="275"/>
      <c r="J20" s="132">
        <f>H20*I20</f>
        <v>0</v>
      </c>
    </row>
    <row r="21" spans="1:10" ht="57.75" customHeight="1" x14ac:dyDescent="0.2">
      <c r="A21" s="282">
        <v>4</v>
      </c>
      <c r="B21" s="271" t="s">
        <v>320</v>
      </c>
      <c r="C21" s="674" t="s">
        <v>323</v>
      </c>
      <c r="D21" s="675"/>
      <c r="E21" s="676"/>
      <c r="F21" s="271" t="s">
        <v>281</v>
      </c>
      <c r="G21" s="127"/>
      <c r="H21" s="282">
        <v>2.4</v>
      </c>
      <c r="I21" s="127"/>
      <c r="J21" s="171">
        <f>J22+J23+J24+J25</f>
        <v>0</v>
      </c>
    </row>
    <row r="22" spans="1:10" ht="16.5" customHeight="1" x14ac:dyDescent="0.2">
      <c r="A22" s="275">
        <f>A21+0.1</f>
        <v>4.0999999999999996</v>
      </c>
      <c r="B22" s="275"/>
      <c r="C22" s="664" t="s">
        <v>268</v>
      </c>
      <c r="D22" s="665"/>
      <c r="E22" s="666"/>
      <c r="F22" s="172" t="s">
        <v>24</v>
      </c>
      <c r="G22" s="124">
        <v>5.84</v>
      </c>
      <c r="H22" s="126">
        <f>H21*G22</f>
        <v>14.02</v>
      </c>
      <c r="I22" s="124"/>
      <c r="J22" s="133">
        <f>H22*I22</f>
        <v>0</v>
      </c>
    </row>
    <row r="23" spans="1:10" ht="16.5" customHeight="1" x14ac:dyDescent="0.2">
      <c r="A23" s="275">
        <f>A22+0.1</f>
        <v>4.2</v>
      </c>
      <c r="B23" s="275"/>
      <c r="C23" s="667" t="s">
        <v>225</v>
      </c>
      <c r="D23" s="668"/>
      <c r="E23" s="669"/>
      <c r="F23" s="173" t="s">
        <v>199</v>
      </c>
      <c r="G23" s="127">
        <v>2.27</v>
      </c>
      <c r="H23" s="128">
        <f>G23*H21</f>
        <v>5.45</v>
      </c>
      <c r="I23" s="127"/>
      <c r="J23" s="134">
        <f>H23*I23</f>
        <v>0</v>
      </c>
    </row>
    <row r="24" spans="1:10" ht="16.5" customHeight="1" x14ac:dyDescent="0.2">
      <c r="A24" s="275">
        <f>A23+0.1</f>
        <v>4.3</v>
      </c>
      <c r="B24" s="275"/>
      <c r="C24" s="670" t="s">
        <v>282</v>
      </c>
      <c r="D24" s="671"/>
      <c r="E24" s="672"/>
      <c r="F24" s="284" t="s">
        <v>206</v>
      </c>
      <c r="G24" s="275">
        <v>10</v>
      </c>
      <c r="H24" s="275">
        <f>H21*G24</f>
        <v>24</v>
      </c>
      <c r="I24" s="275"/>
      <c r="J24" s="132">
        <f>H24*I24</f>
        <v>0</v>
      </c>
    </row>
    <row r="25" spans="1:10" ht="16.5" customHeight="1" x14ac:dyDescent="0.2">
      <c r="A25" s="275">
        <f>A24+0.1</f>
        <v>4.4000000000000004</v>
      </c>
      <c r="B25" s="275"/>
      <c r="C25" s="670" t="s">
        <v>269</v>
      </c>
      <c r="D25" s="671"/>
      <c r="E25" s="672"/>
      <c r="F25" s="284" t="s">
        <v>199</v>
      </c>
      <c r="G25" s="275">
        <v>0.24</v>
      </c>
      <c r="H25" s="129">
        <f>G25*H21</f>
        <v>0.6</v>
      </c>
      <c r="I25" s="275"/>
      <c r="J25" s="132">
        <f>H25*I25</f>
        <v>0</v>
      </c>
    </row>
    <row r="26" spans="1:10" ht="55.5" customHeight="1" x14ac:dyDescent="0.2">
      <c r="A26" s="282">
        <v>5</v>
      </c>
      <c r="B26" s="271" t="s">
        <v>324</v>
      </c>
      <c r="C26" s="674" t="s">
        <v>325</v>
      </c>
      <c r="D26" s="675"/>
      <c r="E26" s="676"/>
      <c r="F26" s="182" t="s">
        <v>206</v>
      </c>
      <c r="G26" s="127"/>
      <c r="H26" s="282">
        <v>4</v>
      </c>
      <c r="I26" s="127"/>
      <c r="J26" s="171">
        <f>J27+J28+J29+J30+J31+J32</f>
        <v>0</v>
      </c>
    </row>
    <row r="27" spans="1:10" ht="35.25" customHeight="1" x14ac:dyDescent="0.2">
      <c r="A27" s="275">
        <f>A26+0.1</f>
        <v>5.0999999999999996</v>
      </c>
      <c r="B27" s="275"/>
      <c r="C27" s="664" t="s">
        <v>268</v>
      </c>
      <c r="D27" s="665"/>
      <c r="E27" s="666"/>
      <c r="F27" s="172" t="s">
        <v>24</v>
      </c>
      <c r="G27" s="124">
        <v>2.67</v>
      </c>
      <c r="H27" s="126">
        <f>H26*G27</f>
        <v>10.68</v>
      </c>
      <c r="I27" s="124"/>
      <c r="J27" s="133">
        <f t="shared" ref="J27:J32" si="0">H27*I27</f>
        <v>0</v>
      </c>
    </row>
    <row r="28" spans="1:10" ht="21" customHeight="1" x14ac:dyDescent="0.2">
      <c r="A28" s="275">
        <f>A27+0.1</f>
        <v>5.2</v>
      </c>
      <c r="B28" s="275" t="s">
        <v>37</v>
      </c>
      <c r="C28" s="667" t="s">
        <v>225</v>
      </c>
      <c r="D28" s="668"/>
      <c r="E28" s="669"/>
      <c r="F28" s="173" t="s">
        <v>199</v>
      </c>
      <c r="G28" s="127">
        <v>0.28999999999999998</v>
      </c>
      <c r="H28" s="128">
        <f>G28*H26</f>
        <v>1.1599999999999999</v>
      </c>
      <c r="I28" s="127"/>
      <c r="J28" s="134">
        <f t="shared" si="0"/>
        <v>0</v>
      </c>
    </row>
    <row r="29" spans="1:10" ht="21" customHeight="1" x14ac:dyDescent="0.2">
      <c r="A29" s="275">
        <f>A28+0.1</f>
        <v>5.3</v>
      </c>
      <c r="B29" s="275" t="s">
        <v>37</v>
      </c>
      <c r="C29" s="670" t="s">
        <v>326</v>
      </c>
      <c r="D29" s="671"/>
      <c r="E29" s="672"/>
      <c r="F29" s="173" t="s">
        <v>206</v>
      </c>
      <c r="G29" s="275">
        <v>1</v>
      </c>
      <c r="H29" s="275">
        <f>H26*G29</f>
        <v>4</v>
      </c>
      <c r="I29" s="275"/>
      <c r="J29" s="132">
        <f t="shared" si="0"/>
        <v>0</v>
      </c>
    </row>
    <row r="30" spans="1:10" ht="21" customHeight="1" x14ac:dyDescent="0.2">
      <c r="A30" s="275">
        <f>A29+0.1</f>
        <v>5.4</v>
      </c>
      <c r="B30" s="275" t="s">
        <v>37</v>
      </c>
      <c r="C30" s="684" t="s">
        <v>327</v>
      </c>
      <c r="D30" s="685"/>
      <c r="E30" s="686"/>
      <c r="F30" s="173" t="s">
        <v>206</v>
      </c>
      <c r="G30" s="275">
        <v>2</v>
      </c>
      <c r="H30" s="275">
        <f>H26*G30</f>
        <v>8</v>
      </c>
      <c r="I30" s="275"/>
      <c r="J30" s="132">
        <f t="shared" si="0"/>
        <v>0</v>
      </c>
    </row>
    <row r="31" spans="1:10" ht="21" customHeight="1" x14ac:dyDescent="0.2">
      <c r="A31" s="275">
        <f>A30+0.1</f>
        <v>5.5</v>
      </c>
      <c r="B31" s="275"/>
      <c r="C31" s="684" t="s">
        <v>328</v>
      </c>
      <c r="D31" s="685"/>
      <c r="E31" s="686"/>
      <c r="F31" s="173" t="s">
        <v>112</v>
      </c>
      <c r="G31" s="275">
        <v>2</v>
      </c>
      <c r="H31" s="275">
        <f>H26*G31</f>
        <v>8</v>
      </c>
      <c r="I31" s="275"/>
      <c r="J31" s="132">
        <f t="shared" si="0"/>
        <v>0</v>
      </c>
    </row>
    <row r="32" spans="1:10" ht="21" customHeight="1" x14ac:dyDescent="0.2">
      <c r="A32" s="275">
        <v>13.6</v>
      </c>
      <c r="B32" s="282"/>
      <c r="C32" s="684" t="s">
        <v>8</v>
      </c>
      <c r="D32" s="685"/>
      <c r="E32" s="686"/>
      <c r="F32" s="173" t="s">
        <v>199</v>
      </c>
      <c r="G32" s="275">
        <v>0.2</v>
      </c>
      <c r="H32" s="123">
        <f>G32*H26</f>
        <v>0.8</v>
      </c>
      <c r="I32" s="275"/>
      <c r="J32" s="132">
        <f t="shared" si="0"/>
        <v>0</v>
      </c>
    </row>
    <row r="33" spans="1:10" ht="33.75" customHeight="1" x14ac:dyDescent="0.2">
      <c r="A33" s="282">
        <v>7</v>
      </c>
      <c r="B33" s="271" t="s">
        <v>324</v>
      </c>
      <c r="C33" s="678" t="s">
        <v>329</v>
      </c>
      <c r="D33" s="679"/>
      <c r="E33" s="680"/>
      <c r="F33" s="282" t="s">
        <v>49</v>
      </c>
      <c r="G33" s="127"/>
      <c r="H33" s="282">
        <v>4</v>
      </c>
      <c r="I33" s="127"/>
      <c r="J33" s="171">
        <f>J34+J35+J36+J37+J38</f>
        <v>0</v>
      </c>
    </row>
    <row r="34" spans="1:10" ht="21" customHeight="1" x14ac:dyDescent="0.2">
      <c r="A34" s="275">
        <f>A33+0.1</f>
        <v>7.1</v>
      </c>
      <c r="B34" s="275"/>
      <c r="C34" s="681" t="s">
        <v>92</v>
      </c>
      <c r="D34" s="682"/>
      <c r="E34" s="683"/>
      <c r="F34" s="172" t="s">
        <v>24</v>
      </c>
      <c r="G34" s="124">
        <v>2.67</v>
      </c>
      <c r="H34" s="126">
        <f>H33*G34</f>
        <v>10.68</v>
      </c>
      <c r="I34" s="124"/>
      <c r="J34" s="133">
        <f>H34*I34</f>
        <v>0</v>
      </c>
    </row>
    <row r="35" spans="1:10" ht="21" customHeight="1" x14ac:dyDescent="0.2">
      <c r="A35" s="275">
        <f>A34+0.1</f>
        <v>7.2</v>
      </c>
      <c r="B35" s="275" t="s">
        <v>37</v>
      </c>
      <c r="C35" s="687" t="s">
        <v>28</v>
      </c>
      <c r="D35" s="688"/>
      <c r="E35" s="689"/>
      <c r="F35" s="173" t="s">
        <v>199</v>
      </c>
      <c r="G35" s="127">
        <v>0.28999999999999998</v>
      </c>
      <c r="H35" s="128">
        <f>G35*H33</f>
        <v>1.1599999999999999</v>
      </c>
      <c r="I35" s="127"/>
      <c r="J35" s="134">
        <f>H35*I35</f>
        <v>0</v>
      </c>
    </row>
    <row r="36" spans="1:10" ht="21" customHeight="1" x14ac:dyDescent="0.2">
      <c r="A36" s="275">
        <f>A35+0.1</f>
        <v>7.3</v>
      </c>
      <c r="B36" s="275" t="s">
        <v>37</v>
      </c>
      <c r="C36" s="684" t="s">
        <v>330</v>
      </c>
      <c r="D36" s="685"/>
      <c r="E36" s="686"/>
      <c r="F36" s="284" t="s">
        <v>206</v>
      </c>
      <c r="G36" s="275">
        <v>1</v>
      </c>
      <c r="H36" s="275">
        <f>H33*G36</f>
        <v>4</v>
      </c>
      <c r="I36" s="275"/>
      <c r="J36" s="132">
        <f>H36*I36</f>
        <v>0</v>
      </c>
    </row>
    <row r="37" spans="1:10" ht="21" customHeight="1" x14ac:dyDescent="0.2">
      <c r="A37" s="275">
        <f>A36+0.1</f>
        <v>7.4</v>
      </c>
      <c r="B37" s="275" t="s">
        <v>37</v>
      </c>
      <c r="C37" s="684" t="s">
        <v>327</v>
      </c>
      <c r="D37" s="685"/>
      <c r="E37" s="686"/>
      <c r="F37" s="284" t="s">
        <v>206</v>
      </c>
      <c r="G37" s="275">
        <v>2</v>
      </c>
      <c r="H37" s="275">
        <f>H33*G37</f>
        <v>8</v>
      </c>
      <c r="I37" s="275"/>
      <c r="J37" s="132">
        <f>H37*I37</f>
        <v>0</v>
      </c>
    </row>
    <row r="38" spans="1:10" ht="21" customHeight="1" x14ac:dyDescent="0.2">
      <c r="A38" s="275">
        <f>A37+0.1</f>
        <v>7.5</v>
      </c>
      <c r="B38" s="275"/>
      <c r="C38" s="684" t="s">
        <v>328</v>
      </c>
      <c r="D38" s="685"/>
      <c r="E38" s="686"/>
      <c r="F38" s="284" t="s">
        <v>112</v>
      </c>
      <c r="G38" s="275">
        <v>2</v>
      </c>
      <c r="H38" s="275">
        <f>H33*G38</f>
        <v>8</v>
      </c>
      <c r="I38" s="275"/>
      <c r="J38" s="132">
        <f>H38*I38</f>
        <v>0</v>
      </c>
    </row>
    <row r="39" spans="1:10" ht="36.75" customHeight="1" x14ac:dyDescent="0.2">
      <c r="A39" s="212">
        <v>8</v>
      </c>
      <c r="B39" s="271" t="s">
        <v>331</v>
      </c>
      <c r="C39" s="678" t="s">
        <v>332</v>
      </c>
      <c r="D39" s="679"/>
      <c r="E39" s="680"/>
      <c r="F39" s="271" t="s">
        <v>274</v>
      </c>
      <c r="G39" s="127"/>
      <c r="H39" s="282">
        <v>0.84</v>
      </c>
      <c r="I39" s="127"/>
      <c r="J39" s="210">
        <f>J40+J41+J42</f>
        <v>0</v>
      </c>
    </row>
    <row r="40" spans="1:10" ht="21" customHeight="1" x14ac:dyDescent="0.2">
      <c r="A40" s="275">
        <v>8.1</v>
      </c>
      <c r="B40" s="275"/>
      <c r="C40" s="681" t="s">
        <v>92</v>
      </c>
      <c r="D40" s="682"/>
      <c r="E40" s="683"/>
      <c r="F40" s="276" t="s">
        <v>27</v>
      </c>
      <c r="G40" s="124">
        <v>5.16</v>
      </c>
      <c r="H40" s="126">
        <f>H39*G40</f>
        <v>4.33</v>
      </c>
      <c r="I40" s="124"/>
      <c r="J40" s="184">
        <f>H40*I40</f>
        <v>0</v>
      </c>
    </row>
    <row r="41" spans="1:10" ht="18.75" customHeight="1" x14ac:dyDescent="0.2">
      <c r="A41" s="275">
        <v>8.1999999999999993</v>
      </c>
      <c r="B41" s="275"/>
      <c r="C41" s="684" t="s">
        <v>7</v>
      </c>
      <c r="D41" s="685"/>
      <c r="E41" s="686"/>
      <c r="F41" s="275" t="s">
        <v>59</v>
      </c>
      <c r="G41" s="275">
        <v>1</v>
      </c>
      <c r="H41" s="275">
        <f>H39*G41</f>
        <v>0.84</v>
      </c>
      <c r="I41" s="275"/>
      <c r="J41" s="175">
        <f>H41*I41</f>
        <v>0</v>
      </c>
    </row>
    <row r="42" spans="1:10" ht="24" customHeight="1" x14ac:dyDescent="0.2">
      <c r="A42" s="275">
        <v>8.3000000000000007</v>
      </c>
      <c r="B42" s="275"/>
      <c r="C42" s="684" t="s">
        <v>8</v>
      </c>
      <c r="D42" s="685"/>
      <c r="E42" s="686"/>
      <c r="F42" s="173" t="s">
        <v>199</v>
      </c>
      <c r="G42" s="275">
        <v>0.11</v>
      </c>
      <c r="H42" s="129">
        <f>G42*H39</f>
        <v>0.1</v>
      </c>
      <c r="I42" s="275"/>
      <c r="J42" s="175">
        <f>H42*I42</f>
        <v>0</v>
      </c>
    </row>
    <row r="43" spans="1:10" ht="66" customHeight="1" x14ac:dyDescent="0.2">
      <c r="A43" s="282">
        <v>9</v>
      </c>
      <c r="B43" s="271" t="s">
        <v>333</v>
      </c>
      <c r="C43" s="674" t="s">
        <v>334</v>
      </c>
      <c r="D43" s="675"/>
      <c r="E43" s="676"/>
      <c r="F43" s="271" t="s">
        <v>274</v>
      </c>
      <c r="G43" s="127"/>
      <c r="H43" s="282">
        <v>0.25</v>
      </c>
      <c r="I43" s="127"/>
      <c r="J43" s="210">
        <f>J44+J45+J46+J47</f>
        <v>0</v>
      </c>
    </row>
    <row r="44" spans="1:10" ht="21.75" customHeight="1" x14ac:dyDescent="0.2">
      <c r="A44" s="275">
        <f>A43+0.1</f>
        <v>9.1</v>
      </c>
      <c r="B44" s="272"/>
      <c r="C44" s="664" t="s">
        <v>268</v>
      </c>
      <c r="D44" s="665"/>
      <c r="E44" s="666"/>
      <c r="F44" s="172" t="s">
        <v>24</v>
      </c>
      <c r="G44" s="124">
        <v>65</v>
      </c>
      <c r="H44" s="126">
        <f>H43*G44</f>
        <v>16.25</v>
      </c>
      <c r="I44" s="124"/>
      <c r="J44" s="133">
        <f>H44*I44</f>
        <v>0</v>
      </c>
    </row>
    <row r="45" spans="1:10" ht="23.25" customHeight="1" x14ac:dyDescent="0.2">
      <c r="A45" s="275">
        <f>A44+0.1</f>
        <v>9.1999999999999993</v>
      </c>
      <c r="B45" s="272"/>
      <c r="C45" s="667" t="s">
        <v>225</v>
      </c>
      <c r="D45" s="668"/>
      <c r="E45" s="669"/>
      <c r="F45" s="173" t="s">
        <v>199</v>
      </c>
      <c r="G45" s="127">
        <v>3.45</v>
      </c>
      <c r="H45" s="128">
        <f>G45*H43</f>
        <v>0.86</v>
      </c>
      <c r="I45" s="127"/>
      <c r="J45" s="134">
        <f>H45*I45</f>
        <v>0</v>
      </c>
    </row>
    <row r="46" spans="1:10" ht="20.25" customHeight="1" x14ac:dyDescent="0.2">
      <c r="A46" s="275">
        <f>A45+0.1</f>
        <v>9.3000000000000007</v>
      </c>
      <c r="B46" s="272"/>
      <c r="C46" s="670" t="s">
        <v>335</v>
      </c>
      <c r="D46" s="671"/>
      <c r="E46" s="672"/>
      <c r="F46" s="284" t="s">
        <v>241</v>
      </c>
      <c r="G46" s="275">
        <v>100</v>
      </c>
      <c r="H46" s="275">
        <f>H43*G46</f>
        <v>25</v>
      </c>
      <c r="I46" s="275"/>
      <c r="J46" s="132">
        <f>H46*I46</f>
        <v>0</v>
      </c>
    </row>
    <row r="47" spans="1:10" ht="21" customHeight="1" x14ac:dyDescent="0.2">
      <c r="A47" s="282">
        <v>3</v>
      </c>
      <c r="B47" s="272"/>
      <c r="C47" s="670" t="s">
        <v>269</v>
      </c>
      <c r="D47" s="671"/>
      <c r="E47" s="672"/>
      <c r="F47" s="284" t="s">
        <v>199</v>
      </c>
      <c r="G47" s="275">
        <v>13.2</v>
      </c>
      <c r="H47" s="129">
        <f>G47*H43</f>
        <v>3.3</v>
      </c>
      <c r="I47" s="275"/>
      <c r="J47" s="132">
        <f>H47*I47</f>
        <v>0</v>
      </c>
    </row>
    <row r="48" spans="1:10" ht="66" customHeight="1" x14ac:dyDescent="0.2">
      <c r="A48" s="282">
        <v>10</v>
      </c>
      <c r="B48" s="271" t="s">
        <v>336</v>
      </c>
      <c r="C48" s="674" t="s">
        <v>337</v>
      </c>
      <c r="D48" s="675"/>
      <c r="E48" s="676"/>
      <c r="F48" s="271" t="s">
        <v>281</v>
      </c>
      <c r="G48" s="127"/>
      <c r="H48" s="282">
        <v>1</v>
      </c>
      <c r="I48" s="127"/>
      <c r="J48" s="210">
        <f>J49+J50+J51+J52</f>
        <v>0</v>
      </c>
    </row>
    <row r="49" spans="1:15" ht="21.75" customHeight="1" x14ac:dyDescent="0.2">
      <c r="A49" s="275">
        <f>A48+0.1</f>
        <v>10.1</v>
      </c>
      <c r="B49" s="275"/>
      <c r="C49" s="664" t="s">
        <v>268</v>
      </c>
      <c r="D49" s="665"/>
      <c r="E49" s="666"/>
      <c r="F49" s="172" t="s">
        <v>24</v>
      </c>
      <c r="G49" s="124">
        <v>5.84</v>
      </c>
      <c r="H49" s="126">
        <f>H48*G49</f>
        <v>5.84</v>
      </c>
      <c r="I49" s="124"/>
      <c r="J49" s="133">
        <f>H49*I49</f>
        <v>0</v>
      </c>
    </row>
    <row r="50" spans="1:15" ht="23.25" customHeight="1" x14ac:dyDescent="0.2">
      <c r="A50" s="275">
        <f>A49+0.1</f>
        <v>10.199999999999999</v>
      </c>
      <c r="B50" s="275"/>
      <c r="C50" s="667" t="s">
        <v>225</v>
      </c>
      <c r="D50" s="668"/>
      <c r="E50" s="669"/>
      <c r="F50" s="173" t="s">
        <v>199</v>
      </c>
      <c r="G50" s="127">
        <v>2.27</v>
      </c>
      <c r="H50" s="128">
        <f>G50*H48</f>
        <v>2.27</v>
      </c>
      <c r="I50" s="127"/>
      <c r="J50" s="134">
        <f>H50*I50</f>
        <v>0</v>
      </c>
    </row>
    <row r="51" spans="1:15" ht="20.25" customHeight="1" x14ac:dyDescent="0.2">
      <c r="A51" s="275">
        <f>A50+0.1</f>
        <v>10.3</v>
      </c>
      <c r="B51" s="275"/>
      <c r="C51" s="670" t="s">
        <v>338</v>
      </c>
      <c r="D51" s="671"/>
      <c r="E51" s="672"/>
      <c r="F51" s="284" t="s">
        <v>206</v>
      </c>
      <c r="G51" s="275">
        <v>10</v>
      </c>
      <c r="H51" s="275">
        <f>H48*G51</f>
        <v>10</v>
      </c>
      <c r="I51" s="275"/>
      <c r="J51" s="132">
        <f>H51*I51</f>
        <v>0</v>
      </c>
    </row>
    <row r="52" spans="1:15" ht="30.75" customHeight="1" x14ac:dyDescent="0.2">
      <c r="A52" s="282">
        <v>11</v>
      </c>
      <c r="B52" s="282"/>
      <c r="C52" s="670" t="s">
        <v>269</v>
      </c>
      <c r="D52" s="671"/>
      <c r="E52" s="672"/>
      <c r="F52" s="284" t="s">
        <v>199</v>
      </c>
      <c r="G52" s="275">
        <v>0.24</v>
      </c>
      <c r="H52" s="129">
        <f>G52*H48</f>
        <v>0.2</v>
      </c>
      <c r="I52" s="275"/>
      <c r="J52" s="132">
        <f>H52*I52</f>
        <v>0</v>
      </c>
    </row>
    <row r="53" spans="1:15" ht="66" customHeight="1" x14ac:dyDescent="0.2">
      <c r="A53" s="275">
        <f>A52+0.1</f>
        <v>11.1</v>
      </c>
      <c r="B53" s="275"/>
      <c r="C53" s="674" t="s">
        <v>339</v>
      </c>
      <c r="D53" s="675"/>
      <c r="E53" s="676"/>
      <c r="F53" s="271" t="s">
        <v>206</v>
      </c>
      <c r="G53" s="127"/>
      <c r="H53" s="282">
        <v>1</v>
      </c>
      <c r="I53" s="127"/>
      <c r="J53" s="210">
        <f>J54+J55+J56+J57</f>
        <v>0</v>
      </c>
    </row>
    <row r="54" spans="1:15" ht="21.75" customHeight="1" x14ac:dyDescent="0.2">
      <c r="A54" s="275">
        <f>A53+0.1</f>
        <v>11.2</v>
      </c>
      <c r="B54" s="271" t="s">
        <v>340</v>
      </c>
      <c r="C54" s="664" t="s">
        <v>268</v>
      </c>
      <c r="D54" s="665"/>
      <c r="E54" s="666"/>
      <c r="F54" s="172" t="s">
        <v>24</v>
      </c>
      <c r="G54" s="124">
        <v>2.44</v>
      </c>
      <c r="H54" s="126">
        <f>H53*G54</f>
        <v>2.44</v>
      </c>
      <c r="I54" s="124"/>
      <c r="J54" s="133">
        <f>H54*I54</f>
        <v>0</v>
      </c>
    </row>
    <row r="55" spans="1:15" ht="23.25" customHeight="1" x14ac:dyDescent="0.2">
      <c r="A55" s="275">
        <f>A54+0.1</f>
        <v>11.3</v>
      </c>
      <c r="B55" s="275"/>
      <c r="C55" s="667" t="s">
        <v>225</v>
      </c>
      <c r="D55" s="668"/>
      <c r="E55" s="669"/>
      <c r="F55" s="173" t="s">
        <v>199</v>
      </c>
      <c r="G55" s="127">
        <v>2.27</v>
      </c>
      <c r="H55" s="128">
        <f>G55*H53</f>
        <v>2.27</v>
      </c>
      <c r="I55" s="127"/>
      <c r="J55" s="134">
        <f>H55*I55</f>
        <v>0</v>
      </c>
    </row>
    <row r="56" spans="1:15" ht="20.25" customHeight="1" x14ac:dyDescent="0.2">
      <c r="A56" s="275">
        <f>A55+0.1</f>
        <v>11.4</v>
      </c>
      <c r="B56" s="275"/>
      <c r="C56" s="670" t="s">
        <v>341</v>
      </c>
      <c r="D56" s="671"/>
      <c r="E56" s="672"/>
      <c r="F56" s="284" t="s">
        <v>206</v>
      </c>
      <c r="G56" s="275">
        <v>1</v>
      </c>
      <c r="H56" s="275">
        <f>H53*G56</f>
        <v>1</v>
      </c>
      <c r="I56" s="275"/>
      <c r="J56" s="132">
        <f>H56*I56</f>
        <v>0</v>
      </c>
    </row>
    <row r="57" spans="1:15" ht="21" customHeight="1" x14ac:dyDescent="0.2">
      <c r="A57" s="282">
        <v>12</v>
      </c>
      <c r="B57" s="282"/>
      <c r="C57" s="670" t="s">
        <v>269</v>
      </c>
      <c r="D57" s="671"/>
      <c r="E57" s="672"/>
      <c r="F57" s="284" t="s">
        <v>199</v>
      </c>
      <c r="G57" s="275">
        <v>0.24</v>
      </c>
      <c r="H57" s="129">
        <f>G57*H53</f>
        <v>0.2</v>
      </c>
      <c r="I57" s="275"/>
      <c r="J57" s="132">
        <f>H57*I57</f>
        <v>0</v>
      </c>
    </row>
    <row r="58" spans="1:15" ht="66" customHeight="1" x14ac:dyDescent="0.2">
      <c r="A58" s="275">
        <f>A57+0.1</f>
        <v>12.1</v>
      </c>
      <c r="B58" s="271" t="s">
        <v>340</v>
      </c>
      <c r="C58" s="674" t="s">
        <v>342</v>
      </c>
      <c r="D58" s="675"/>
      <c r="E58" s="676"/>
      <c r="F58" s="271" t="s">
        <v>206</v>
      </c>
      <c r="G58" s="127"/>
      <c r="H58" s="282">
        <v>4</v>
      </c>
      <c r="I58" s="127"/>
      <c r="J58" s="210">
        <f>J59+J60+J61+J62</f>
        <v>0</v>
      </c>
    </row>
    <row r="59" spans="1:15" ht="55.5" customHeight="1" x14ac:dyDescent="0.2">
      <c r="A59" s="275">
        <f>A58+0.1</f>
        <v>12.2</v>
      </c>
      <c r="B59" s="271"/>
      <c r="C59" s="664" t="s">
        <v>268</v>
      </c>
      <c r="D59" s="665"/>
      <c r="E59" s="666"/>
      <c r="F59" s="172" t="s">
        <v>24</v>
      </c>
      <c r="G59" s="124">
        <v>1.56</v>
      </c>
      <c r="H59" s="126">
        <f>H58*G59</f>
        <v>6.24</v>
      </c>
      <c r="I59" s="124"/>
      <c r="J59" s="133">
        <f>H59*I59</f>
        <v>0</v>
      </c>
    </row>
    <row r="60" spans="1:15" ht="36.75" customHeight="1" x14ac:dyDescent="0.2">
      <c r="A60" s="275">
        <f>A59+0.1</f>
        <v>12.3</v>
      </c>
      <c r="B60" s="271"/>
      <c r="C60" s="667" t="s">
        <v>225</v>
      </c>
      <c r="D60" s="668"/>
      <c r="E60" s="669"/>
      <c r="F60" s="173" t="s">
        <v>199</v>
      </c>
      <c r="G60" s="127">
        <v>0.06</v>
      </c>
      <c r="H60" s="128">
        <f>G60*H58</f>
        <v>0.24</v>
      </c>
      <c r="I60" s="127"/>
      <c r="J60" s="134">
        <f>H60*I60</f>
        <v>0</v>
      </c>
    </row>
    <row r="61" spans="1:15" ht="20.25" customHeight="1" x14ac:dyDescent="0.2">
      <c r="A61" s="275">
        <f>A60+0.1</f>
        <v>12.4</v>
      </c>
      <c r="B61" s="275"/>
      <c r="C61" s="670" t="s">
        <v>343</v>
      </c>
      <c r="D61" s="671"/>
      <c r="E61" s="672"/>
      <c r="F61" s="284" t="s">
        <v>206</v>
      </c>
      <c r="G61" s="275">
        <v>1</v>
      </c>
      <c r="H61" s="275">
        <f>H58*G61</f>
        <v>4</v>
      </c>
      <c r="I61" s="275"/>
      <c r="J61" s="132">
        <f>H61*I61</f>
        <v>0</v>
      </c>
      <c r="O61" s="279" t="s">
        <v>38</v>
      </c>
    </row>
    <row r="62" spans="1:15" ht="21" customHeight="1" x14ac:dyDescent="0.2">
      <c r="A62" s="275">
        <f>A61+0.1</f>
        <v>12.5</v>
      </c>
      <c r="B62" s="275"/>
      <c r="C62" s="670" t="s">
        <v>269</v>
      </c>
      <c r="D62" s="671"/>
      <c r="E62" s="672"/>
      <c r="F62" s="284" t="s">
        <v>199</v>
      </c>
      <c r="G62" s="275">
        <v>0.28999999999999998</v>
      </c>
      <c r="H62" s="129">
        <f>G62*H58</f>
        <v>1.2</v>
      </c>
      <c r="I62" s="275"/>
      <c r="J62" s="132">
        <f>H62*I62</f>
        <v>0</v>
      </c>
    </row>
    <row r="63" spans="1:15" ht="53.25" customHeight="1" x14ac:dyDescent="0.2">
      <c r="A63" s="282">
        <v>13</v>
      </c>
      <c r="B63" s="271" t="s">
        <v>340</v>
      </c>
      <c r="C63" s="674" t="s">
        <v>344</v>
      </c>
      <c r="D63" s="675"/>
      <c r="E63" s="676"/>
      <c r="F63" s="271" t="s">
        <v>206</v>
      </c>
      <c r="G63" s="127"/>
      <c r="H63" s="282">
        <v>1</v>
      </c>
      <c r="I63" s="127"/>
      <c r="J63" s="210">
        <f>J64+J65+J66+J67</f>
        <v>0</v>
      </c>
    </row>
    <row r="64" spans="1:15" ht="21.75" customHeight="1" x14ac:dyDescent="0.2">
      <c r="A64" s="275">
        <f>A63+0.1</f>
        <v>13.1</v>
      </c>
      <c r="B64" s="271"/>
      <c r="C64" s="664" t="s">
        <v>268</v>
      </c>
      <c r="D64" s="665"/>
      <c r="E64" s="666"/>
      <c r="F64" s="172" t="s">
        <v>24</v>
      </c>
      <c r="G64" s="124">
        <v>3.1</v>
      </c>
      <c r="H64" s="126">
        <f>H63*G64</f>
        <v>3.1</v>
      </c>
      <c r="I64" s="124"/>
      <c r="J64" s="133">
        <f>H64*I64</f>
        <v>0</v>
      </c>
      <c r="O64" s="279" t="s">
        <v>38</v>
      </c>
    </row>
    <row r="65" spans="1:17" ht="25.5" customHeight="1" x14ac:dyDescent="0.2">
      <c r="A65" s="275">
        <f>A64+0.1</f>
        <v>13.2</v>
      </c>
      <c r="B65" s="275"/>
      <c r="C65" s="667" t="s">
        <v>225</v>
      </c>
      <c r="D65" s="668"/>
      <c r="E65" s="669"/>
      <c r="F65" s="173" t="s">
        <v>199</v>
      </c>
      <c r="G65" s="127">
        <v>0.08</v>
      </c>
      <c r="H65" s="128">
        <f>G65*H63</f>
        <v>0.08</v>
      </c>
      <c r="I65" s="127"/>
      <c r="J65" s="134">
        <f>H65*I65</f>
        <v>0</v>
      </c>
    </row>
    <row r="66" spans="1:17" ht="20.25" customHeight="1" x14ac:dyDescent="0.2">
      <c r="A66" s="275">
        <f>A65+0.1</f>
        <v>13.3</v>
      </c>
      <c r="B66" s="271"/>
      <c r="C66" s="670" t="s">
        <v>345</v>
      </c>
      <c r="D66" s="671"/>
      <c r="E66" s="672"/>
      <c r="F66" s="284" t="s">
        <v>206</v>
      </c>
      <c r="G66" s="275">
        <v>1</v>
      </c>
      <c r="H66" s="275">
        <f>H63*G66</f>
        <v>1</v>
      </c>
      <c r="I66" s="275"/>
      <c r="J66" s="132">
        <f>H66*I66</f>
        <v>0</v>
      </c>
    </row>
    <row r="67" spans="1:17" ht="21" customHeight="1" x14ac:dyDescent="0.2">
      <c r="A67" s="282">
        <v>14</v>
      </c>
      <c r="B67" s="275"/>
      <c r="C67" s="670" t="s">
        <v>269</v>
      </c>
      <c r="D67" s="671"/>
      <c r="E67" s="672"/>
      <c r="F67" s="284" t="s">
        <v>199</v>
      </c>
      <c r="G67" s="275">
        <v>0.38</v>
      </c>
      <c r="H67" s="129">
        <f>G67*H63</f>
        <v>0.4</v>
      </c>
      <c r="I67" s="275"/>
      <c r="J67" s="132">
        <f>H67*I67</f>
        <v>0</v>
      </c>
    </row>
    <row r="68" spans="1:17" ht="53.25" customHeight="1" x14ac:dyDescent="0.2">
      <c r="A68" s="275">
        <f>A67+0.1</f>
        <v>14.1</v>
      </c>
      <c r="B68" s="271" t="s">
        <v>340</v>
      </c>
      <c r="C68" s="674" t="s">
        <v>346</v>
      </c>
      <c r="D68" s="675"/>
      <c r="E68" s="676"/>
      <c r="F68" s="271" t="s">
        <v>206</v>
      </c>
      <c r="G68" s="127"/>
      <c r="H68" s="282">
        <v>4</v>
      </c>
      <c r="I68" s="127"/>
      <c r="J68" s="210">
        <f>J69+J70+J71+J72</f>
        <v>0</v>
      </c>
    </row>
    <row r="69" spans="1:17" ht="21.75" customHeight="1" x14ac:dyDescent="0.2">
      <c r="A69" s="275">
        <f>A68+0.1</f>
        <v>14.2</v>
      </c>
      <c r="B69" s="275"/>
      <c r="C69" s="664" t="s">
        <v>268</v>
      </c>
      <c r="D69" s="665"/>
      <c r="E69" s="666"/>
      <c r="F69" s="172" t="s">
        <v>24</v>
      </c>
      <c r="G69" s="124">
        <v>0.46</v>
      </c>
      <c r="H69" s="126">
        <f>H68*G69</f>
        <v>1.84</v>
      </c>
      <c r="I69" s="124"/>
      <c r="J69" s="133">
        <f>H69*I69</f>
        <v>0</v>
      </c>
    </row>
    <row r="70" spans="1:17" ht="30" customHeight="1" x14ac:dyDescent="0.2">
      <c r="A70" s="275">
        <f>A69+0.1</f>
        <v>14.3</v>
      </c>
      <c r="B70" s="271"/>
      <c r="C70" s="667" t="s">
        <v>225</v>
      </c>
      <c r="D70" s="668"/>
      <c r="E70" s="669"/>
      <c r="F70" s="173" t="s">
        <v>199</v>
      </c>
      <c r="G70" s="127">
        <v>0.02</v>
      </c>
      <c r="H70" s="128">
        <f>G70*H68</f>
        <v>0.08</v>
      </c>
      <c r="I70" s="127"/>
      <c r="J70" s="134">
        <f>H70*I70</f>
        <v>0</v>
      </c>
    </row>
    <row r="71" spans="1:17" ht="20.25" customHeight="1" x14ac:dyDescent="0.2">
      <c r="A71" s="275">
        <f>A70+0.1</f>
        <v>14.4</v>
      </c>
      <c r="B71" s="282"/>
      <c r="C71" s="670" t="s">
        <v>347</v>
      </c>
      <c r="D71" s="671"/>
      <c r="E71" s="672"/>
      <c r="F71" s="284" t="s">
        <v>206</v>
      </c>
      <c r="G71" s="275">
        <v>1</v>
      </c>
      <c r="H71" s="275">
        <f>H68*G71</f>
        <v>4</v>
      </c>
      <c r="I71" s="275"/>
      <c r="J71" s="132">
        <f>H71*I71</f>
        <v>0</v>
      </c>
    </row>
    <row r="72" spans="1:17" ht="21" customHeight="1" x14ac:dyDescent="0.2">
      <c r="A72" s="272"/>
      <c r="B72" s="271"/>
      <c r="C72" s="670" t="s">
        <v>269</v>
      </c>
      <c r="D72" s="671"/>
      <c r="E72" s="672"/>
      <c r="F72" s="284" t="s">
        <v>199</v>
      </c>
      <c r="G72" s="275">
        <v>0.11</v>
      </c>
      <c r="H72" s="129">
        <f>G72*H68</f>
        <v>0.4</v>
      </c>
      <c r="I72" s="275"/>
      <c r="J72" s="132">
        <f>H72*I72</f>
        <v>0</v>
      </c>
    </row>
    <row r="73" spans="1:17" ht="18" x14ac:dyDescent="0.2">
      <c r="A73" s="272"/>
      <c r="B73" s="271"/>
      <c r="C73" s="663" t="s">
        <v>317</v>
      </c>
      <c r="D73" s="663"/>
      <c r="E73" s="663"/>
      <c r="F73" s="406" t="s">
        <v>199</v>
      </c>
      <c r="G73" s="407"/>
      <c r="H73" s="407"/>
      <c r="I73" s="407"/>
      <c r="J73" s="213">
        <f>J68+J63+J58+J53+J43+J39+J33+J26+J21+J16+J11</f>
        <v>0</v>
      </c>
    </row>
    <row r="74" spans="1:17" ht="18" x14ac:dyDescent="0.2">
      <c r="A74" s="272"/>
      <c r="B74" s="271"/>
      <c r="C74" s="673" t="s">
        <v>268</v>
      </c>
      <c r="D74" s="673"/>
      <c r="E74" s="407"/>
      <c r="F74" s="410" t="s">
        <v>199</v>
      </c>
      <c r="G74" s="411"/>
      <c r="H74" s="411"/>
      <c r="I74" s="411"/>
      <c r="J74" s="412">
        <f>J69+J64+J59+J54+J49+J44+J40+J34+J27+J22+J17+J12</f>
        <v>0</v>
      </c>
    </row>
    <row r="75" spans="1:17" ht="16.5" customHeight="1" x14ac:dyDescent="0.2">
      <c r="A75" s="272"/>
      <c r="B75" s="275"/>
      <c r="C75" s="667" t="s">
        <v>225</v>
      </c>
      <c r="D75" s="668"/>
      <c r="E75" s="669"/>
      <c r="F75" s="173" t="s">
        <v>199</v>
      </c>
      <c r="G75" s="407"/>
      <c r="H75" s="407"/>
      <c r="I75" s="407"/>
      <c r="J75" s="134">
        <f>J70+J65+J60+J55+J50+J45+J35+J28+J23+J18+J13</f>
        <v>0</v>
      </c>
      <c r="L75" s="280" t="s">
        <v>38</v>
      </c>
      <c r="Q75" s="279" t="s">
        <v>38</v>
      </c>
    </row>
    <row r="76" spans="1:17" ht="35.25" customHeight="1" x14ac:dyDescent="0.2">
      <c r="A76" s="272"/>
      <c r="B76" s="271"/>
      <c r="C76" s="677" t="s">
        <v>316</v>
      </c>
      <c r="D76" s="677"/>
      <c r="E76" s="407"/>
      <c r="F76" s="406" t="s">
        <v>199</v>
      </c>
      <c r="G76" s="407"/>
      <c r="H76" s="407"/>
      <c r="I76" s="407"/>
      <c r="J76" s="213">
        <f>J67+J66+J62+J61+J57+J56+J52+J51+J47+J46+J42+J41+J38+J37+J36+J32+J31+J30+J29+J25+J24+J20+J19+J15+J14</f>
        <v>0</v>
      </c>
    </row>
    <row r="77" spans="1:17" ht="42" customHeight="1" x14ac:dyDescent="0.2">
      <c r="A77" s="272"/>
      <c r="B77" s="282"/>
      <c r="C77" s="677" t="s">
        <v>380</v>
      </c>
      <c r="D77" s="677"/>
      <c r="E77" s="407"/>
      <c r="F77" s="408">
        <v>0.08</v>
      </c>
      <c r="G77" s="407"/>
      <c r="H77" s="407"/>
      <c r="I77" s="407"/>
      <c r="J77" s="213">
        <f>J76*F77</f>
        <v>0</v>
      </c>
    </row>
    <row r="78" spans="1:17" ht="18" x14ac:dyDescent="0.2">
      <c r="A78" s="272"/>
      <c r="B78" s="271"/>
      <c r="C78" s="663" t="s">
        <v>317</v>
      </c>
      <c r="D78" s="663"/>
      <c r="E78" s="663"/>
      <c r="F78" s="406" t="s">
        <v>199</v>
      </c>
      <c r="G78" s="407"/>
      <c r="H78" s="407"/>
      <c r="I78" s="407"/>
      <c r="J78" s="213">
        <f>J76+J77</f>
        <v>0</v>
      </c>
    </row>
    <row r="79" spans="1:17" x14ac:dyDescent="0.2">
      <c r="A79" s="272"/>
      <c r="B79" s="275"/>
      <c r="C79" s="677" t="s">
        <v>372</v>
      </c>
      <c r="D79" s="677"/>
      <c r="E79" s="407"/>
      <c r="F79" s="408">
        <v>0.06</v>
      </c>
      <c r="G79" s="407"/>
      <c r="H79" s="407"/>
      <c r="I79" s="407"/>
      <c r="J79" s="409">
        <f>J78*F79</f>
        <v>0</v>
      </c>
    </row>
    <row r="80" spans="1:17" ht="18" x14ac:dyDescent="0.2">
      <c r="B80" s="271"/>
      <c r="C80" s="663" t="s">
        <v>317</v>
      </c>
      <c r="D80" s="663"/>
      <c r="E80" s="663"/>
      <c r="F80" s="406" t="s">
        <v>199</v>
      </c>
      <c r="G80" s="407"/>
      <c r="H80" s="407"/>
      <c r="I80" s="407"/>
      <c r="J80" s="213">
        <f>J78+J79</f>
        <v>0</v>
      </c>
    </row>
    <row r="82" spans="2:2" ht="18" x14ac:dyDescent="0.2">
      <c r="B82" s="283"/>
    </row>
    <row r="88" spans="2:2" ht="18" x14ac:dyDescent="0.2">
      <c r="B88" s="283"/>
    </row>
    <row r="92" spans="2:2" ht="18" x14ac:dyDescent="0.2">
      <c r="B92" s="283"/>
    </row>
    <row r="110" spans="2:2" x14ac:dyDescent="0.2">
      <c r="B110" s="278"/>
    </row>
    <row r="111" spans="2:2" x14ac:dyDescent="0.2">
      <c r="B111" s="278"/>
    </row>
    <row r="112" spans="2:2" ht="18" x14ac:dyDescent="0.2">
      <c r="B112" s="211"/>
    </row>
    <row r="113" spans="2:2" x14ac:dyDescent="0.2">
      <c r="B113" s="278"/>
    </row>
    <row r="114" spans="2:2" x14ac:dyDescent="0.2">
      <c r="B114" s="278"/>
    </row>
    <row r="115" spans="2:2" x14ac:dyDescent="0.2">
      <c r="B115" s="278"/>
    </row>
    <row r="116" spans="2:2" x14ac:dyDescent="0.2">
      <c r="B116" s="278"/>
    </row>
    <row r="117" spans="2:2" x14ac:dyDescent="0.2">
      <c r="B117" s="278"/>
    </row>
    <row r="118" spans="2:2" x14ac:dyDescent="0.2">
      <c r="B118" s="278"/>
    </row>
    <row r="119" spans="2:2" x14ac:dyDescent="0.2">
      <c r="B119" s="185"/>
    </row>
    <row r="120" spans="2:2" x14ac:dyDescent="0.2">
      <c r="B120" s="185"/>
    </row>
    <row r="121" spans="2:2" x14ac:dyDescent="0.2">
      <c r="B121" s="185"/>
    </row>
    <row r="122" spans="2:2" x14ac:dyDescent="0.2">
      <c r="B122" s="185"/>
    </row>
    <row r="123" spans="2:2" x14ac:dyDescent="0.2">
      <c r="B123" s="185"/>
    </row>
    <row r="124" spans="2:2" x14ac:dyDescent="0.2">
      <c r="B124" s="185"/>
    </row>
    <row r="125" spans="2:2" x14ac:dyDescent="0.2">
      <c r="B125" s="185"/>
    </row>
    <row r="126" spans="2:2" x14ac:dyDescent="0.2">
      <c r="B126" s="185"/>
    </row>
    <row r="127" spans="2:2" x14ac:dyDescent="0.2">
      <c r="B127" s="185"/>
    </row>
    <row r="128" spans="2:2" x14ac:dyDescent="0.2">
      <c r="B128" s="185"/>
    </row>
    <row r="131" spans="2:2" ht="18" x14ac:dyDescent="0.2">
      <c r="B131" s="283"/>
    </row>
  </sheetData>
  <mergeCells count="82">
    <mergeCell ref="C13:E13"/>
    <mergeCell ref="C14:E14"/>
    <mergeCell ref="C15:E15"/>
    <mergeCell ref="A8:A9"/>
    <mergeCell ref="B8:B9"/>
    <mergeCell ref="C8:E9"/>
    <mergeCell ref="C25:E25"/>
    <mergeCell ref="C26:E26"/>
    <mergeCell ref="C27:E27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A1:I1"/>
    <mergeCell ref="A6:I6"/>
    <mergeCell ref="A10:J10"/>
    <mergeCell ref="C11:E11"/>
    <mergeCell ref="C12:E12"/>
    <mergeCell ref="A2:F2"/>
    <mergeCell ref="A4:I4"/>
    <mergeCell ref="G8:H8"/>
    <mergeCell ref="I8:J8"/>
    <mergeCell ref="F8:F9"/>
    <mergeCell ref="A3:J3"/>
    <mergeCell ref="C28:E28"/>
    <mergeCell ref="C29:E29"/>
    <mergeCell ref="C30:E30"/>
    <mergeCell ref="C31:E31"/>
    <mergeCell ref="C32:E32"/>
    <mergeCell ref="C39:E39"/>
    <mergeCell ref="C40:E40"/>
    <mergeCell ref="C41:E41"/>
    <mergeCell ref="C42:E42"/>
    <mergeCell ref="C33:E33"/>
    <mergeCell ref="C34:E34"/>
    <mergeCell ref="C35:E35"/>
    <mergeCell ref="C36:E36"/>
    <mergeCell ref="C37:E37"/>
    <mergeCell ref="C38:E38"/>
    <mergeCell ref="C48:E48"/>
    <mergeCell ref="C49:E49"/>
    <mergeCell ref="C43:E43"/>
    <mergeCell ref="C44:E44"/>
    <mergeCell ref="C45:E45"/>
    <mergeCell ref="C46:E46"/>
    <mergeCell ref="C47:E47"/>
    <mergeCell ref="C61:E61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8:E68"/>
    <mergeCell ref="C62:E62"/>
    <mergeCell ref="C76:D76"/>
    <mergeCell ref="C77:D77"/>
    <mergeCell ref="C79:D79"/>
    <mergeCell ref="C63:E63"/>
    <mergeCell ref="C64:E64"/>
    <mergeCell ref="C65:E65"/>
    <mergeCell ref="C66:E66"/>
    <mergeCell ref="C67:E67"/>
    <mergeCell ref="C80:E80"/>
    <mergeCell ref="C78:E78"/>
    <mergeCell ref="C69:E69"/>
    <mergeCell ref="C70:E70"/>
    <mergeCell ref="C71:E71"/>
    <mergeCell ref="C72:E72"/>
    <mergeCell ref="C73:E73"/>
    <mergeCell ref="C74:D74"/>
    <mergeCell ref="C75:E75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J57"/>
  <sheetViews>
    <sheetView topLeftCell="A43" workbookViewId="0">
      <selection activeCell="C57" sqref="C57:D58"/>
    </sheetView>
  </sheetViews>
  <sheetFormatPr defaultRowHeight="16.5" x14ac:dyDescent="0.2"/>
  <cols>
    <col min="1" max="1" width="5.42578125" style="260" customWidth="1"/>
    <col min="2" max="2" width="10.42578125" style="260" customWidth="1"/>
    <col min="3" max="3" width="35.7109375" style="260" customWidth="1"/>
    <col min="4" max="4" width="8.28515625" style="260" customWidth="1"/>
    <col min="5" max="5" width="6.28515625" style="260" customWidth="1"/>
    <col min="6" max="6" width="7.28515625" style="260" customWidth="1"/>
    <col min="7" max="7" width="8" style="260" customWidth="1"/>
    <col min="8" max="8" width="9.42578125" style="260" customWidth="1"/>
    <col min="9" max="256" width="9.140625" style="260"/>
    <col min="257" max="257" width="5.42578125" style="260" customWidth="1"/>
    <col min="258" max="258" width="10.42578125" style="260" customWidth="1"/>
    <col min="259" max="259" width="35.7109375" style="260" customWidth="1"/>
    <col min="260" max="260" width="8.28515625" style="260" customWidth="1"/>
    <col min="261" max="261" width="6.28515625" style="260" customWidth="1"/>
    <col min="262" max="262" width="7.28515625" style="260" customWidth="1"/>
    <col min="263" max="263" width="8" style="260" customWidth="1"/>
    <col min="264" max="264" width="9.42578125" style="260" customWidth="1"/>
    <col min="265" max="512" width="9.140625" style="260"/>
    <col min="513" max="513" width="5.42578125" style="260" customWidth="1"/>
    <col min="514" max="514" width="10.42578125" style="260" customWidth="1"/>
    <col min="515" max="515" width="35.7109375" style="260" customWidth="1"/>
    <col min="516" max="516" width="8.28515625" style="260" customWidth="1"/>
    <col min="517" max="517" width="6.28515625" style="260" customWidth="1"/>
    <col min="518" max="518" width="7.28515625" style="260" customWidth="1"/>
    <col min="519" max="519" width="8" style="260" customWidth="1"/>
    <col min="520" max="520" width="9.42578125" style="260" customWidth="1"/>
    <col min="521" max="768" width="9.140625" style="260"/>
    <col min="769" max="769" width="5.42578125" style="260" customWidth="1"/>
    <col min="770" max="770" width="10.42578125" style="260" customWidth="1"/>
    <col min="771" max="771" width="35.7109375" style="260" customWidth="1"/>
    <col min="772" max="772" width="8.28515625" style="260" customWidth="1"/>
    <col min="773" max="773" width="6.28515625" style="260" customWidth="1"/>
    <col min="774" max="774" width="7.28515625" style="260" customWidth="1"/>
    <col min="775" max="775" width="8" style="260" customWidth="1"/>
    <col min="776" max="776" width="9.42578125" style="260" customWidth="1"/>
    <col min="777" max="1024" width="9.140625" style="260"/>
    <col min="1025" max="1025" width="5.42578125" style="260" customWidth="1"/>
    <col min="1026" max="1026" width="10.42578125" style="260" customWidth="1"/>
    <col min="1027" max="1027" width="35.7109375" style="260" customWidth="1"/>
    <col min="1028" max="1028" width="8.28515625" style="260" customWidth="1"/>
    <col min="1029" max="1029" width="6.28515625" style="260" customWidth="1"/>
    <col min="1030" max="1030" width="7.28515625" style="260" customWidth="1"/>
    <col min="1031" max="1031" width="8" style="260" customWidth="1"/>
    <col min="1032" max="1032" width="9.42578125" style="260" customWidth="1"/>
    <col min="1033" max="1280" width="9.140625" style="260"/>
    <col min="1281" max="1281" width="5.42578125" style="260" customWidth="1"/>
    <col min="1282" max="1282" width="10.42578125" style="260" customWidth="1"/>
    <col min="1283" max="1283" width="35.7109375" style="260" customWidth="1"/>
    <col min="1284" max="1284" width="8.28515625" style="260" customWidth="1"/>
    <col min="1285" max="1285" width="6.28515625" style="260" customWidth="1"/>
    <col min="1286" max="1286" width="7.28515625" style="260" customWidth="1"/>
    <col min="1287" max="1287" width="8" style="260" customWidth="1"/>
    <col min="1288" max="1288" width="9.42578125" style="260" customWidth="1"/>
    <col min="1289" max="1536" width="9.140625" style="260"/>
    <col min="1537" max="1537" width="5.42578125" style="260" customWidth="1"/>
    <col min="1538" max="1538" width="10.42578125" style="260" customWidth="1"/>
    <col min="1539" max="1539" width="35.7109375" style="260" customWidth="1"/>
    <col min="1540" max="1540" width="8.28515625" style="260" customWidth="1"/>
    <col min="1541" max="1541" width="6.28515625" style="260" customWidth="1"/>
    <col min="1542" max="1542" width="7.28515625" style="260" customWidth="1"/>
    <col min="1543" max="1543" width="8" style="260" customWidth="1"/>
    <col min="1544" max="1544" width="9.42578125" style="260" customWidth="1"/>
    <col min="1545" max="1792" width="9.140625" style="260"/>
    <col min="1793" max="1793" width="5.42578125" style="260" customWidth="1"/>
    <col min="1794" max="1794" width="10.42578125" style="260" customWidth="1"/>
    <col min="1795" max="1795" width="35.7109375" style="260" customWidth="1"/>
    <col min="1796" max="1796" width="8.28515625" style="260" customWidth="1"/>
    <col min="1797" max="1797" width="6.28515625" style="260" customWidth="1"/>
    <col min="1798" max="1798" width="7.28515625" style="260" customWidth="1"/>
    <col min="1799" max="1799" width="8" style="260" customWidth="1"/>
    <col min="1800" max="1800" width="9.42578125" style="260" customWidth="1"/>
    <col min="1801" max="2048" width="9.140625" style="260"/>
    <col min="2049" max="2049" width="5.42578125" style="260" customWidth="1"/>
    <col min="2050" max="2050" width="10.42578125" style="260" customWidth="1"/>
    <col min="2051" max="2051" width="35.7109375" style="260" customWidth="1"/>
    <col min="2052" max="2052" width="8.28515625" style="260" customWidth="1"/>
    <col min="2053" max="2053" width="6.28515625" style="260" customWidth="1"/>
    <col min="2054" max="2054" width="7.28515625" style="260" customWidth="1"/>
    <col min="2055" max="2055" width="8" style="260" customWidth="1"/>
    <col min="2056" max="2056" width="9.42578125" style="260" customWidth="1"/>
    <col min="2057" max="2304" width="9.140625" style="260"/>
    <col min="2305" max="2305" width="5.42578125" style="260" customWidth="1"/>
    <col min="2306" max="2306" width="10.42578125" style="260" customWidth="1"/>
    <col min="2307" max="2307" width="35.7109375" style="260" customWidth="1"/>
    <col min="2308" max="2308" width="8.28515625" style="260" customWidth="1"/>
    <col min="2309" max="2309" width="6.28515625" style="260" customWidth="1"/>
    <col min="2310" max="2310" width="7.28515625" style="260" customWidth="1"/>
    <col min="2311" max="2311" width="8" style="260" customWidth="1"/>
    <col min="2312" max="2312" width="9.42578125" style="260" customWidth="1"/>
    <col min="2313" max="2560" width="9.140625" style="260"/>
    <col min="2561" max="2561" width="5.42578125" style="260" customWidth="1"/>
    <col min="2562" max="2562" width="10.42578125" style="260" customWidth="1"/>
    <col min="2563" max="2563" width="35.7109375" style="260" customWidth="1"/>
    <col min="2564" max="2564" width="8.28515625" style="260" customWidth="1"/>
    <col min="2565" max="2565" width="6.28515625" style="260" customWidth="1"/>
    <col min="2566" max="2566" width="7.28515625" style="260" customWidth="1"/>
    <col min="2567" max="2567" width="8" style="260" customWidth="1"/>
    <col min="2568" max="2568" width="9.42578125" style="260" customWidth="1"/>
    <col min="2569" max="2816" width="9.140625" style="260"/>
    <col min="2817" max="2817" width="5.42578125" style="260" customWidth="1"/>
    <col min="2818" max="2818" width="10.42578125" style="260" customWidth="1"/>
    <col min="2819" max="2819" width="35.7109375" style="260" customWidth="1"/>
    <col min="2820" max="2820" width="8.28515625" style="260" customWidth="1"/>
    <col min="2821" max="2821" width="6.28515625" style="260" customWidth="1"/>
    <col min="2822" max="2822" width="7.28515625" style="260" customWidth="1"/>
    <col min="2823" max="2823" width="8" style="260" customWidth="1"/>
    <col min="2824" max="2824" width="9.42578125" style="260" customWidth="1"/>
    <col min="2825" max="3072" width="9.140625" style="260"/>
    <col min="3073" max="3073" width="5.42578125" style="260" customWidth="1"/>
    <col min="3074" max="3074" width="10.42578125" style="260" customWidth="1"/>
    <col min="3075" max="3075" width="35.7109375" style="260" customWidth="1"/>
    <col min="3076" max="3076" width="8.28515625" style="260" customWidth="1"/>
    <col min="3077" max="3077" width="6.28515625" style="260" customWidth="1"/>
    <col min="3078" max="3078" width="7.28515625" style="260" customWidth="1"/>
    <col min="3079" max="3079" width="8" style="260" customWidth="1"/>
    <col min="3080" max="3080" width="9.42578125" style="260" customWidth="1"/>
    <col min="3081" max="3328" width="9.140625" style="260"/>
    <col min="3329" max="3329" width="5.42578125" style="260" customWidth="1"/>
    <col min="3330" max="3330" width="10.42578125" style="260" customWidth="1"/>
    <col min="3331" max="3331" width="35.7109375" style="260" customWidth="1"/>
    <col min="3332" max="3332" width="8.28515625" style="260" customWidth="1"/>
    <col min="3333" max="3333" width="6.28515625" style="260" customWidth="1"/>
    <col min="3334" max="3334" width="7.28515625" style="260" customWidth="1"/>
    <col min="3335" max="3335" width="8" style="260" customWidth="1"/>
    <col min="3336" max="3336" width="9.42578125" style="260" customWidth="1"/>
    <col min="3337" max="3584" width="9.140625" style="260"/>
    <col min="3585" max="3585" width="5.42578125" style="260" customWidth="1"/>
    <col min="3586" max="3586" width="10.42578125" style="260" customWidth="1"/>
    <col min="3587" max="3587" width="35.7109375" style="260" customWidth="1"/>
    <col min="3588" max="3588" width="8.28515625" style="260" customWidth="1"/>
    <col min="3589" max="3589" width="6.28515625" style="260" customWidth="1"/>
    <col min="3590" max="3590" width="7.28515625" style="260" customWidth="1"/>
    <col min="3591" max="3591" width="8" style="260" customWidth="1"/>
    <col min="3592" max="3592" width="9.42578125" style="260" customWidth="1"/>
    <col min="3593" max="3840" width="9.140625" style="260"/>
    <col min="3841" max="3841" width="5.42578125" style="260" customWidth="1"/>
    <col min="3842" max="3842" width="10.42578125" style="260" customWidth="1"/>
    <col min="3843" max="3843" width="35.7109375" style="260" customWidth="1"/>
    <col min="3844" max="3844" width="8.28515625" style="260" customWidth="1"/>
    <col min="3845" max="3845" width="6.28515625" style="260" customWidth="1"/>
    <col min="3846" max="3846" width="7.28515625" style="260" customWidth="1"/>
    <col min="3847" max="3847" width="8" style="260" customWidth="1"/>
    <col min="3848" max="3848" width="9.42578125" style="260" customWidth="1"/>
    <col min="3849" max="4096" width="9.140625" style="260"/>
    <col min="4097" max="4097" width="5.42578125" style="260" customWidth="1"/>
    <col min="4098" max="4098" width="10.42578125" style="260" customWidth="1"/>
    <col min="4099" max="4099" width="35.7109375" style="260" customWidth="1"/>
    <col min="4100" max="4100" width="8.28515625" style="260" customWidth="1"/>
    <col min="4101" max="4101" width="6.28515625" style="260" customWidth="1"/>
    <col min="4102" max="4102" width="7.28515625" style="260" customWidth="1"/>
    <col min="4103" max="4103" width="8" style="260" customWidth="1"/>
    <col min="4104" max="4104" width="9.42578125" style="260" customWidth="1"/>
    <col min="4105" max="4352" width="9.140625" style="260"/>
    <col min="4353" max="4353" width="5.42578125" style="260" customWidth="1"/>
    <col min="4354" max="4354" width="10.42578125" style="260" customWidth="1"/>
    <col min="4355" max="4355" width="35.7109375" style="260" customWidth="1"/>
    <col min="4356" max="4356" width="8.28515625" style="260" customWidth="1"/>
    <col min="4357" max="4357" width="6.28515625" style="260" customWidth="1"/>
    <col min="4358" max="4358" width="7.28515625" style="260" customWidth="1"/>
    <col min="4359" max="4359" width="8" style="260" customWidth="1"/>
    <col min="4360" max="4360" width="9.42578125" style="260" customWidth="1"/>
    <col min="4361" max="4608" width="9.140625" style="260"/>
    <col min="4609" max="4609" width="5.42578125" style="260" customWidth="1"/>
    <col min="4610" max="4610" width="10.42578125" style="260" customWidth="1"/>
    <col min="4611" max="4611" width="35.7109375" style="260" customWidth="1"/>
    <col min="4612" max="4612" width="8.28515625" style="260" customWidth="1"/>
    <col min="4613" max="4613" width="6.28515625" style="260" customWidth="1"/>
    <col min="4614" max="4614" width="7.28515625" style="260" customWidth="1"/>
    <col min="4615" max="4615" width="8" style="260" customWidth="1"/>
    <col min="4616" max="4616" width="9.42578125" style="260" customWidth="1"/>
    <col min="4617" max="4864" width="9.140625" style="260"/>
    <col min="4865" max="4865" width="5.42578125" style="260" customWidth="1"/>
    <col min="4866" max="4866" width="10.42578125" style="260" customWidth="1"/>
    <col min="4867" max="4867" width="35.7109375" style="260" customWidth="1"/>
    <col min="4868" max="4868" width="8.28515625" style="260" customWidth="1"/>
    <col min="4869" max="4869" width="6.28515625" style="260" customWidth="1"/>
    <col min="4870" max="4870" width="7.28515625" style="260" customWidth="1"/>
    <col min="4871" max="4871" width="8" style="260" customWidth="1"/>
    <col min="4872" max="4872" width="9.42578125" style="260" customWidth="1"/>
    <col min="4873" max="5120" width="9.140625" style="260"/>
    <col min="5121" max="5121" width="5.42578125" style="260" customWidth="1"/>
    <col min="5122" max="5122" width="10.42578125" style="260" customWidth="1"/>
    <col min="5123" max="5123" width="35.7109375" style="260" customWidth="1"/>
    <col min="5124" max="5124" width="8.28515625" style="260" customWidth="1"/>
    <col min="5125" max="5125" width="6.28515625" style="260" customWidth="1"/>
    <col min="5126" max="5126" width="7.28515625" style="260" customWidth="1"/>
    <col min="5127" max="5127" width="8" style="260" customWidth="1"/>
    <col min="5128" max="5128" width="9.42578125" style="260" customWidth="1"/>
    <col min="5129" max="5376" width="9.140625" style="260"/>
    <col min="5377" max="5377" width="5.42578125" style="260" customWidth="1"/>
    <col min="5378" max="5378" width="10.42578125" style="260" customWidth="1"/>
    <col min="5379" max="5379" width="35.7109375" style="260" customWidth="1"/>
    <col min="5380" max="5380" width="8.28515625" style="260" customWidth="1"/>
    <col min="5381" max="5381" width="6.28515625" style="260" customWidth="1"/>
    <col min="5382" max="5382" width="7.28515625" style="260" customWidth="1"/>
    <col min="5383" max="5383" width="8" style="260" customWidth="1"/>
    <col min="5384" max="5384" width="9.42578125" style="260" customWidth="1"/>
    <col min="5385" max="5632" width="9.140625" style="260"/>
    <col min="5633" max="5633" width="5.42578125" style="260" customWidth="1"/>
    <col min="5634" max="5634" width="10.42578125" style="260" customWidth="1"/>
    <col min="5635" max="5635" width="35.7109375" style="260" customWidth="1"/>
    <col min="5636" max="5636" width="8.28515625" style="260" customWidth="1"/>
    <col min="5637" max="5637" width="6.28515625" style="260" customWidth="1"/>
    <col min="5638" max="5638" width="7.28515625" style="260" customWidth="1"/>
    <col min="5639" max="5639" width="8" style="260" customWidth="1"/>
    <col min="5640" max="5640" width="9.42578125" style="260" customWidth="1"/>
    <col min="5641" max="5888" width="9.140625" style="260"/>
    <col min="5889" max="5889" width="5.42578125" style="260" customWidth="1"/>
    <col min="5890" max="5890" width="10.42578125" style="260" customWidth="1"/>
    <col min="5891" max="5891" width="35.7109375" style="260" customWidth="1"/>
    <col min="5892" max="5892" width="8.28515625" style="260" customWidth="1"/>
    <col min="5893" max="5893" width="6.28515625" style="260" customWidth="1"/>
    <col min="5894" max="5894" width="7.28515625" style="260" customWidth="1"/>
    <col min="5895" max="5895" width="8" style="260" customWidth="1"/>
    <col min="5896" max="5896" width="9.42578125" style="260" customWidth="1"/>
    <col min="5897" max="6144" width="9.140625" style="260"/>
    <col min="6145" max="6145" width="5.42578125" style="260" customWidth="1"/>
    <col min="6146" max="6146" width="10.42578125" style="260" customWidth="1"/>
    <col min="6147" max="6147" width="35.7109375" style="260" customWidth="1"/>
    <col min="6148" max="6148" width="8.28515625" style="260" customWidth="1"/>
    <col min="6149" max="6149" width="6.28515625" style="260" customWidth="1"/>
    <col min="6150" max="6150" width="7.28515625" style="260" customWidth="1"/>
    <col min="6151" max="6151" width="8" style="260" customWidth="1"/>
    <col min="6152" max="6152" width="9.42578125" style="260" customWidth="1"/>
    <col min="6153" max="6400" width="9.140625" style="260"/>
    <col min="6401" max="6401" width="5.42578125" style="260" customWidth="1"/>
    <col min="6402" max="6402" width="10.42578125" style="260" customWidth="1"/>
    <col min="6403" max="6403" width="35.7109375" style="260" customWidth="1"/>
    <col min="6404" max="6404" width="8.28515625" style="260" customWidth="1"/>
    <col min="6405" max="6405" width="6.28515625" style="260" customWidth="1"/>
    <col min="6406" max="6406" width="7.28515625" style="260" customWidth="1"/>
    <col min="6407" max="6407" width="8" style="260" customWidth="1"/>
    <col min="6408" max="6408" width="9.42578125" style="260" customWidth="1"/>
    <col min="6409" max="6656" width="9.140625" style="260"/>
    <col min="6657" max="6657" width="5.42578125" style="260" customWidth="1"/>
    <col min="6658" max="6658" width="10.42578125" style="260" customWidth="1"/>
    <col min="6659" max="6659" width="35.7109375" style="260" customWidth="1"/>
    <col min="6660" max="6660" width="8.28515625" style="260" customWidth="1"/>
    <col min="6661" max="6661" width="6.28515625" style="260" customWidth="1"/>
    <col min="6662" max="6662" width="7.28515625" style="260" customWidth="1"/>
    <col min="6663" max="6663" width="8" style="260" customWidth="1"/>
    <col min="6664" max="6664" width="9.42578125" style="260" customWidth="1"/>
    <col min="6665" max="6912" width="9.140625" style="260"/>
    <col min="6913" max="6913" width="5.42578125" style="260" customWidth="1"/>
    <col min="6914" max="6914" width="10.42578125" style="260" customWidth="1"/>
    <col min="6915" max="6915" width="35.7109375" style="260" customWidth="1"/>
    <col min="6916" max="6916" width="8.28515625" style="260" customWidth="1"/>
    <col min="6917" max="6917" width="6.28515625" style="260" customWidth="1"/>
    <col min="6918" max="6918" width="7.28515625" style="260" customWidth="1"/>
    <col min="6919" max="6919" width="8" style="260" customWidth="1"/>
    <col min="6920" max="6920" width="9.42578125" style="260" customWidth="1"/>
    <col min="6921" max="7168" width="9.140625" style="260"/>
    <col min="7169" max="7169" width="5.42578125" style="260" customWidth="1"/>
    <col min="7170" max="7170" width="10.42578125" style="260" customWidth="1"/>
    <col min="7171" max="7171" width="35.7109375" style="260" customWidth="1"/>
    <col min="7172" max="7172" width="8.28515625" style="260" customWidth="1"/>
    <col min="7173" max="7173" width="6.28515625" style="260" customWidth="1"/>
    <col min="7174" max="7174" width="7.28515625" style="260" customWidth="1"/>
    <col min="7175" max="7175" width="8" style="260" customWidth="1"/>
    <col min="7176" max="7176" width="9.42578125" style="260" customWidth="1"/>
    <col min="7177" max="7424" width="9.140625" style="260"/>
    <col min="7425" max="7425" width="5.42578125" style="260" customWidth="1"/>
    <col min="7426" max="7426" width="10.42578125" style="260" customWidth="1"/>
    <col min="7427" max="7427" width="35.7109375" style="260" customWidth="1"/>
    <col min="7428" max="7428" width="8.28515625" style="260" customWidth="1"/>
    <col min="7429" max="7429" width="6.28515625" style="260" customWidth="1"/>
    <col min="7430" max="7430" width="7.28515625" style="260" customWidth="1"/>
    <col min="7431" max="7431" width="8" style="260" customWidth="1"/>
    <col min="7432" max="7432" width="9.42578125" style="260" customWidth="1"/>
    <col min="7433" max="7680" width="9.140625" style="260"/>
    <col min="7681" max="7681" width="5.42578125" style="260" customWidth="1"/>
    <col min="7682" max="7682" width="10.42578125" style="260" customWidth="1"/>
    <col min="7683" max="7683" width="35.7109375" style="260" customWidth="1"/>
    <col min="7684" max="7684" width="8.28515625" style="260" customWidth="1"/>
    <col min="7685" max="7685" width="6.28515625" style="260" customWidth="1"/>
    <col min="7686" max="7686" width="7.28515625" style="260" customWidth="1"/>
    <col min="7687" max="7687" width="8" style="260" customWidth="1"/>
    <col min="7688" max="7688" width="9.42578125" style="260" customWidth="1"/>
    <col min="7689" max="7936" width="9.140625" style="260"/>
    <col min="7937" max="7937" width="5.42578125" style="260" customWidth="1"/>
    <col min="7938" max="7938" width="10.42578125" style="260" customWidth="1"/>
    <col min="7939" max="7939" width="35.7109375" style="260" customWidth="1"/>
    <col min="7940" max="7940" width="8.28515625" style="260" customWidth="1"/>
    <col min="7941" max="7941" width="6.28515625" style="260" customWidth="1"/>
    <col min="7942" max="7942" width="7.28515625" style="260" customWidth="1"/>
    <col min="7943" max="7943" width="8" style="260" customWidth="1"/>
    <col min="7944" max="7944" width="9.42578125" style="260" customWidth="1"/>
    <col min="7945" max="8192" width="9.140625" style="260"/>
    <col min="8193" max="8193" width="5.42578125" style="260" customWidth="1"/>
    <col min="8194" max="8194" width="10.42578125" style="260" customWidth="1"/>
    <col min="8195" max="8195" width="35.7109375" style="260" customWidth="1"/>
    <col min="8196" max="8196" width="8.28515625" style="260" customWidth="1"/>
    <col min="8197" max="8197" width="6.28515625" style="260" customWidth="1"/>
    <col min="8198" max="8198" width="7.28515625" style="260" customWidth="1"/>
    <col min="8199" max="8199" width="8" style="260" customWidth="1"/>
    <col min="8200" max="8200" width="9.42578125" style="260" customWidth="1"/>
    <col min="8201" max="8448" width="9.140625" style="260"/>
    <col min="8449" max="8449" width="5.42578125" style="260" customWidth="1"/>
    <col min="8450" max="8450" width="10.42578125" style="260" customWidth="1"/>
    <col min="8451" max="8451" width="35.7109375" style="260" customWidth="1"/>
    <col min="8452" max="8452" width="8.28515625" style="260" customWidth="1"/>
    <col min="8453" max="8453" width="6.28515625" style="260" customWidth="1"/>
    <col min="8454" max="8454" width="7.28515625" style="260" customWidth="1"/>
    <col min="8455" max="8455" width="8" style="260" customWidth="1"/>
    <col min="8456" max="8456" width="9.42578125" style="260" customWidth="1"/>
    <col min="8457" max="8704" width="9.140625" style="260"/>
    <col min="8705" max="8705" width="5.42578125" style="260" customWidth="1"/>
    <col min="8706" max="8706" width="10.42578125" style="260" customWidth="1"/>
    <col min="8707" max="8707" width="35.7109375" style="260" customWidth="1"/>
    <col min="8708" max="8708" width="8.28515625" style="260" customWidth="1"/>
    <col min="8709" max="8709" width="6.28515625" style="260" customWidth="1"/>
    <col min="8710" max="8710" width="7.28515625" style="260" customWidth="1"/>
    <col min="8711" max="8711" width="8" style="260" customWidth="1"/>
    <col min="8712" max="8712" width="9.42578125" style="260" customWidth="1"/>
    <col min="8713" max="8960" width="9.140625" style="260"/>
    <col min="8961" max="8961" width="5.42578125" style="260" customWidth="1"/>
    <col min="8962" max="8962" width="10.42578125" style="260" customWidth="1"/>
    <col min="8963" max="8963" width="35.7109375" style="260" customWidth="1"/>
    <col min="8964" max="8964" width="8.28515625" style="260" customWidth="1"/>
    <col min="8965" max="8965" width="6.28515625" style="260" customWidth="1"/>
    <col min="8966" max="8966" width="7.28515625" style="260" customWidth="1"/>
    <col min="8967" max="8967" width="8" style="260" customWidth="1"/>
    <col min="8968" max="8968" width="9.42578125" style="260" customWidth="1"/>
    <col min="8969" max="9216" width="9.140625" style="260"/>
    <col min="9217" max="9217" width="5.42578125" style="260" customWidth="1"/>
    <col min="9218" max="9218" width="10.42578125" style="260" customWidth="1"/>
    <col min="9219" max="9219" width="35.7109375" style="260" customWidth="1"/>
    <col min="9220" max="9220" width="8.28515625" style="260" customWidth="1"/>
    <col min="9221" max="9221" width="6.28515625" style="260" customWidth="1"/>
    <col min="9222" max="9222" width="7.28515625" style="260" customWidth="1"/>
    <col min="9223" max="9223" width="8" style="260" customWidth="1"/>
    <col min="9224" max="9224" width="9.42578125" style="260" customWidth="1"/>
    <col min="9225" max="9472" width="9.140625" style="260"/>
    <col min="9473" max="9473" width="5.42578125" style="260" customWidth="1"/>
    <col min="9474" max="9474" width="10.42578125" style="260" customWidth="1"/>
    <col min="9475" max="9475" width="35.7109375" style="260" customWidth="1"/>
    <col min="9476" max="9476" width="8.28515625" style="260" customWidth="1"/>
    <col min="9477" max="9477" width="6.28515625" style="260" customWidth="1"/>
    <col min="9478" max="9478" width="7.28515625" style="260" customWidth="1"/>
    <col min="9479" max="9479" width="8" style="260" customWidth="1"/>
    <col min="9480" max="9480" width="9.42578125" style="260" customWidth="1"/>
    <col min="9481" max="9728" width="9.140625" style="260"/>
    <col min="9729" max="9729" width="5.42578125" style="260" customWidth="1"/>
    <col min="9730" max="9730" width="10.42578125" style="260" customWidth="1"/>
    <col min="9731" max="9731" width="35.7109375" style="260" customWidth="1"/>
    <col min="9732" max="9732" width="8.28515625" style="260" customWidth="1"/>
    <col min="9733" max="9733" width="6.28515625" style="260" customWidth="1"/>
    <col min="9734" max="9734" width="7.28515625" style="260" customWidth="1"/>
    <col min="9735" max="9735" width="8" style="260" customWidth="1"/>
    <col min="9736" max="9736" width="9.42578125" style="260" customWidth="1"/>
    <col min="9737" max="9984" width="9.140625" style="260"/>
    <col min="9985" max="9985" width="5.42578125" style="260" customWidth="1"/>
    <col min="9986" max="9986" width="10.42578125" style="260" customWidth="1"/>
    <col min="9987" max="9987" width="35.7109375" style="260" customWidth="1"/>
    <col min="9988" max="9988" width="8.28515625" style="260" customWidth="1"/>
    <col min="9989" max="9989" width="6.28515625" style="260" customWidth="1"/>
    <col min="9990" max="9990" width="7.28515625" style="260" customWidth="1"/>
    <col min="9991" max="9991" width="8" style="260" customWidth="1"/>
    <col min="9992" max="9992" width="9.42578125" style="260" customWidth="1"/>
    <col min="9993" max="10240" width="9.140625" style="260"/>
    <col min="10241" max="10241" width="5.42578125" style="260" customWidth="1"/>
    <col min="10242" max="10242" width="10.42578125" style="260" customWidth="1"/>
    <col min="10243" max="10243" width="35.7109375" style="260" customWidth="1"/>
    <col min="10244" max="10244" width="8.28515625" style="260" customWidth="1"/>
    <col min="10245" max="10245" width="6.28515625" style="260" customWidth="1"/>
    <col min="10246" max="10246" width="7.28515625" style="260" customWidth="1"/>
    <col min="10247" max="10247" width="8" style="260" customWidth="1"/>
    <col min="10248" max="10248" width="9.42578125" style="260" customWidth="1"/>
    <col min="10249" max="10496" width="9.140625" style="260"/>
    <col min="10497" max="10497" width="5.42578125" style="260" customWidth="1"/>
    <col min="10498" max="10498" width="10.42578125" style="260" customWidth="1"/>
    <col min="10499" max="10499" width="35.7109375" style="260" customWidth="1"/>
    <col min="10500" max="10500" width="8.28515625" style="260" customWidth="1"/>
    <col min="10501" max="10501" width="6.28515625" style="260" customWidth="1"/>
    <col min="10502" max="10502" width="7.28515625" style="260" customWidth="1"/>
    <col min="10503" max="10503" width="8" style="260" customWidth="1"/>
    <col min="10504" max="10504" width="9.42578125" style="260" customWidth="1"/>
    <col min="10505" max="10752" width="9.140625" style="260"/>
    <col min="10753" max="10753" width="5.42578125" style="260" customWidth="1"/>
    <col min="10754" max="10754" width="10.42578125" style="260" customWidth="1"/>
    <col min="10755" max="10755" width="35.7109375" style="260" customWidth="1"/>
    <col min="10756" max="10756" width="8.28515625" style="260" customWidth="1"/>
    <col min="10757" max="10757" width="6.28515625" style="260" customWidth="1"/>
    <col min="10758" max="10758" width="7.28515625" style="260" customWidth="1"/>
    <col min="10759" max="10759" width="8" style="260" customWidth="1"/>
    <col min="10760" max="10760" width="9.42578125" style="260" customWidth="1"/>
    <col min="10761" max="11008" width="9.140625" style="260"/>
    <col min="11009" max="11009" width="5.42578125" style="260" customWidth="1"/>
    <col min="11010" max="11010" width="10.42578125" style="260" customWidth="1"/>
    <col min="11011" max="11011" width="35.7109375" style="260" customWidth="1"/>
    <col min="11012" max="11012" width="8.28515625" style="260" customWidth="1"/>
    <col min="11013" max="11013" width="6.28515625" style="260" customWidth="1"/>
    <col min="11014" max="11014" width="7.28515625" style="260" customWidth="1"/>
    <col min="11015" max="11015" width="8" style="260" customWidth="1"/>
    <col min="11016" max="11016" width="9.42578125" style="260" customWidth="1"/>
    <col min="11017" max="11264" width="9.140625" style="260"/>
    <col min="11265" max="11265" width="5.42578125" style="260" customWidth="1"/>
    <col min="11266" max="11266" width="10.42578125" style="260" customWidth="1"/>
    <col min="11267" max="11267" width="35.7109375" style="260" customWidth="1"/>
    <col min="11268" max="11268" width="8.28515625" style="260" customWidth="1"/>
    <col min="11269" max="11269" width="6.28515625" style="260" customWidth="1"/>
    <col min="11270" max="11270" width="7.28515625" style="260" customWidth="1"/>
    <col min="11271" max="11271" width="8" style="260" customWidth="1"/>
    <col min="11272" max="11272" width="9.42578125" style="260" customWidth="1"/>
    <col min="11273" max="11520" width="9.140625" style="260"/>
    <col min="11521" max="11521" width="5.42578125" style="260" customWidth="1"/>
    <col min="11522" max="11522" width="10.42578125" style="260" customWidth="1"/>
    <col min="11523" max="11523" width="35.7109375" style="260" customWidth="1"/>
    <col min="11524" max="11524" width="8.28515625" style="260" customWidth="1"/>
    <col min="11525" max="11525" width="6.28515625" style="260" customWidth="1"/>
    <col min="11526" max="11526" width="7.28515625" style="260" customWidth="1"/>
    <col min="11527" max="11527" width="8" style="260" customWidth="1"/>
    <col min="11528" max="11528" width="9.42578125" style="260" customWidth="1"/>
    <col min="11529" max="11776" width="9.140625" style="260"/>
    <col min="11777" max="11777" width="5.42578125" style="260" customWidth="1"/>
    <col min="11778" max="11778" width="10.42578125" style="260" customWidth="1"/>
    <col min="11779" max="11779" width="35.7109375" style="260" customWidth="1"/>
    <col min="11780" max="11780" width="8.28515625" style="260" customWidth="1"/>
    <col min="11781" max="11781" width="6.28515625" style="260" customWidth="1"/>
    <col min="11782" max="11782" width="7.28515625" style="260" customWidth="1"/>
    <col min="11783" max="11783" width="8" style="260" customWidth="1"/>
    <col min="11784" max="11784" width="9.42578125" style="260" customWidth="1"/>
    <col min="11785" max="12032" width="9.140625" style="260"/>
    <col min="12033" max="12033" width="5.42578125" style="260" customWidth="1"/>
    <col min="12034" max="12034" width="10.42578125" style="260" customWidth="1"/>
    <col min="12035" max="12035" width="35.7109375" style="260" customWidth="1"/>
    <col min="12036" max="12036" width="8.28515625" style="260" customWidth="1"/>
    <col min="12037" max="12037" width="6.28515625" style="260" customWidth="1"/>
    <col min="12038" max="12038" width="7.28515625" style="260" customWidth="1"/>
    <col min="12039" max="12039" width="8" style="260" customWidth="1"/>
    <col min="12040" max="12040" width="9.42578125" style="260" customWidth="1"/>
    <col min="12041" max="12288" width="9.140625" style="260"/>
    <col min="12289" max="12289" width="5.42578125" style="260" customWidth="1"/>
    <col min="12290" max="12290" width="10.42578125" style="260" customWidth="1"/>
    <col min="12291" max="12291" width="35.7109375" style="260" customWidth="1"/>
    <col min="12292" max="12292" width="8.28515625" style="260" customWidth="1"/>
    <col min="12293" max="12293" width="6.28515625" style="260" customWidth="1"/>
    <col min="12294" max="12294" width="7.28515625" style="260" customWidth="1"/>
    <col min="12295" max="12295" width="8" style="260" customWidth="1"/>
    <col min="12296" max="12296" width="9.42578125" style="260" customWidth="1"/>
    <col min="12297" max="12544" width="9.140625" style="260"/>
    <col min="12545" max="12545" width="5.42578125" style="260" customWidth="1"/>
    <col min="12546" max="12546" width="10.42578125" style="260" customWidth="1"/>
    <col min="12547" max="12547" width="35.7109375" style="260" customWidth="1"/>
    <col min="12548" max="12548" width="8.28515625" style="260" customWidth="1"/>
    <col min="12549" max="12549" width="6.28515625" style="260" customWidth="1"/>
    <col min="12550" max="12550" width="7.28515625" style="260" customWidth="1"/>
    <col min="12551" max="12551" width="8" style="260" customWidth="1"/>
    <col min="12552" max="12552" width="9.42578125" style="260" customWidth="1"/>
    <col min="12553" max="12800" width="9.140625" style="260"/>
    <col min="12801" max="12801" width="5.42578125" style="260" customWidth="1"/>
    <col min="12802" max="12802" width="10.42578125" style="260" customWidth="1"/>
    <col min="12803" max="12803" width="35.7109375" style="260" customWidth="1"/>
    <col min="12804" max="12804" width="8.28515625" style="260" customWidth="1"/>
    <col min="12805" max="12805" width="6.28515625" style="260" customWidth="1"/>
    <col min="12806" max="12806" width="7.28515625" style="260" customWidth="1"/>
    <col min="12807" max="12807" width="8" style="260" customWidth="1"/>
    <col min="12808" max="12808" width="9.42578125" style="260" customWidth="1"/>
    <col min="12809" max="13056" width="9.140625" style="260"/>
    <col min="13057" max="13057" width="5.42578125" style="260" customWidth="1"/>
    <col min="13058" max="13058" width="10.42578125" style="260" customWidth="1"/>
    <col min="13059" max="13059" width="35.7109375" style="260" customWidth="1"/>
    <col min="13060" max="13060" width="8.28515625" style="260" customWidth="1"/>
    <col min="13061" max="13061" width="6.28515625" style="260" customWidth="1"/>
    <col min="13062" max="13062" width="7.28515625" style="260" customWidth="1"/>
    <col min="13063" max="13063" width="8" style="260" customWidth="1"/>
    <col min="13064" max="13064" width="9.42578125" style="260" customWidth="1"/>
    <col min="13065" max="13312" width="9.140625" style="260"/>
    <col min="13313" max="13313" width="5.42578125" style="260" customWidth="1"/>
    <col min="13314" max="13314" width="10.42578125" style="260" customWidth="1"/>
    <col min="13315" max="13315" width="35.7109375" style="260" customWidth="1"/>
    <col min="13316" max="13316" width="8.28515625" style="260" customWidth="1"/>
    <col min="13317" max="13317" width="6.28515625" style="260" customWidth="1"/>
    <col min="13318" max="13318" width="7.28515625" style="260" customWidth="1"/>
    <col min="13319" max="13319" width="8" style="260" customWidth="1"/>
    <col min="13320" max="13320" width="9.42578125" style="260" customWidth="1"/>
    <col min="13321" max="13568" width="9.140625" style="260"/>
    <col min="13569" max="13569" width="5.42578125" style="260" customWidth="1"/>
    <col min="13570" max="13570" width="10.42578125" style="260" customWidth="1"/>
    <col min="13571" max="13571" width="35.7109375" style="260" customWidth="1"/>
    <col min="13572" max="13572" width="8.28515625" style="260" customWidth="1"/>
    <col min="13573" max="13573" width="6.28515625" style="260" customWidth="1"/>
    <col min="13574" max="13574" width="7.28515625" style="260" customWidth="1"/>
    <col min="13575" max="13575" width="8" style="260" customWidth="1"/>
    <col min="13576" max="13576" width="9.42578125" style="260" customWidth="1"/>
    <col min="13577" max="13824" width="9.140625" style="260"/>
    <col min="13825" max="13825" width="5.42578125" style="260" customWidth="1"/>
    <col min="13826" max="13826" width="10.42578125" style="260" customWidth="1"/>
    <col min="13827" max="13827" width="35.7109375" style="260" customWidth="1"/>
    <col min="13828" max="13828" width="8.28515625" style="260" customWidth="1"/>
    <col min="13829" max="13829" width="6.28515625" style="260" customWidth="1"/>
    <col min="13830" max="13830" width="7.28515625" style="260" customWidth="1"/>
    <col min="13831" max="13831" width="8" style="260" customWidth="1"/>
    <col min="13832" max="13832" width="9.42578125" style="260" customWidth="1"/>
    <col min="13833" max="14080" width="9.140625" style="260"/>
    <col min="14081" max="14081" width="5.42578125" style="260" customWidth="1"/>
    <col min="14082" max="14082" width="10.42578125" style="260" customWidth="1"/>
    <col min="14083" max="14083" width="35.7109375" style="260" customWidth="1"/>
    <col min="14084" max="14084" width="8.28515625" style="260" customWidth="1"/>
    <col min="14085" max="14085" width="6.28515625" style="260" customWidth="1"/>
    <col min="14086" max="14086" width="7.28515625" style="260" customWidth="1"/>
    <col min="14087" max="14087" width="8" style="260" customWidth="1"/>
    <col min="14088" max="14088" width="9.42578125" style="260" customWidth="1"/>
    <col min="14089" max="14336" width="9.140625" style="260"/>
    <col min="14337" max="14337" width="5.42578125" style="260" customWidth="1"/>
    <col min="14338" max="14338" width="10.42578125" style="260" customWidth="1"/>
    <col min="14339" max="14339" width="35.7109375" style="260" customWidth="1"/>
    <col min="14340" max="14340" width="8.28515625" style="260" customWidth="1"/>
    <col min="14341" max="14341" width="6.28515625" style="260" customWidth="1"/>
    <col min="14342" max="14342" width="7.28515625" style="260" customWidth="1"/>
    <col min="14343" max="14343" width="8" style="260" customWidth="1"/>
    <col min="14344" max="14344" width="9.42578125" style="260" customWidth="1"/>
    <col min="14345" max="14592" width="9.140625" style="260"/>
    <col min="14593" max="14593" width="5.42578125" style="260" customWidth="1"/>
    <col min="14594" max="14594" width="10.42578125" style="260" customWidth="1"/>
    <col min="14595" max="14595" width="35.7109375" style="260" customWidth="1"/>
    <col min="14596" max="14596" width="8.28515625" style="260" customWidth="1"/>
    <col min="14597" max="14597" width="6.28515625" style="260" customWidth="1"/>
    <col min="14598" max="14598" width="7.28515625" style="260" customWidth="1"/>
    <col min="14599" max="14599" width="8" style="260" customWidth="1"/>
    <col min="14600" max="14600" width="9.42578125" style="260" customWidth="1"/>
    <col min="14601" max="14848" width="9.140625" style="260"/>
    <col min="14849" max="14849" width="5.42578125" style="260" customWidth="1"/>
    <col min="14850" max="14850" width="10.42578125" style="260" customWidth="1"/>
    <col min="14851" max="14851" width="35.7109375" style="260" customWidth="1"/>
    <col min="14852" max="14852" width="8.28515625" style="260" customWidth="1"/>
    <col min="14853" max="14853" width="6.28515625" style="260" customWidth="1"/>
    <col min="14854" max="14854" width="7.28515625" style="260" customWidth="1"/>
    <col min="14855" max="14855" width="8" style="260" customWidth="1"/>
    <col min="14856" max="14856" width="9.42578125" style="260" customWidth="1"/>
    <col min="14857" max="15104" width="9.140625" style="260"/>
    <col min="15105" max="15105" width="5.42578125" style="260" customWidth="1"/>
    <col min="15106" max="15106" width="10.42578125" style="260" customWidth="1"/>
    <col min="15107" max="15107" width="35.7109375" style="260" customWidth="1"/>
    <col min="15108" max="15108" width="8.28515625" style="260" customWidth="1"/>
    <col min="15109" max="15109" width="6.28515625" style="260" customWidth="1"/>
    <col min="15110" max="15110" width="7.28515625" style="260" customWidth="1"/>
    <col min="15111" max="15111" width="8" style="260" customWidth="1"/>
    <col min="15112" max="15112" width="9.42578125" style="260" customWidth="1"/>
    <col min="15113" max="15360" width="9.140625" style="260"/>
    <col min="15361" max="15361" width="5.42578125" style="260" customWidth="1"/>
    <col min="15362" max="15362" width="10.42578125" style="260" customWidth="1"/>
    <col min="15363" max="15363" width="35.7109375" style="260" customWidth="1"/>
    <col min="15364" max="15364" width="8.28515625" style="260" customWidth="1"/>
    <col min="15365" max="15365" width="6.28515625" style="260" customWidth="1"/>
    <col min="15366" max="15366" width="7.28515625" style="260" customWidth="1"/>
    <col min="15367" max="15367" width="8" style="260" customWidth="1"/>
    <col min="15368" max="15368" width="9.42578125" style="260" customWidth="1"/>
    <col min="15369" max="15616" width="9.140625" style="260"/>
    <col min="15617" max="15617" width="5.42578125" style="260" customWidth="1"/>
    <col min="15618" max="15618" width="10.42578125" style="260" customWidth="1"/>
    <col min="15619" max="15619" width="35.7109375" style="260" customWidth="1"/>
    <col min="15620" max="15620" width="8.28515625" style="260" customWidth="1"/>
    <col min="15621" max="15621" width="6.28515625" style="260" customWidth="1"/>
    <col min="15622" max="15622" width="7.28515625" style="260" customWidth="1"/>
    <col min="15623" max="15623" width="8" style="260" customWidth="1"/>
    <col min="15624" max="15624" width="9.42578125" style="260" customWidth="1"/>
    <col min="15625" max="15872" width="9.140625" style="260"/>
    <col min="15873" max="15873" width="5.42578125" style="260" customWidth="1"/>
    <col min="15874" max="15874" width="10.42578125" style="260" customWidth="1"/>
    <col min="15875" max="15875" width="35.7109375" style="260" customWidth="1"/>
    <col min="15876" max="15876" width="8.28515625" style="260" customWidth="1"/>
    <col min="15877" max="15877" width="6.28515625" style="260" customWidth="1"/>
    <col min="15878" max="15878" width="7.28515625" style="260" customWidth="1"/>
    <col min="15879" max="15879" width="8" style="260" customWidth="1"/>
    <col min="15880" max="15880" width="9.42578125" style="260" customWidth="1"/>
    <col min="15881" max="16128" width="9.140625" style="260"/>
    <col min="16129" max="16129" width="5.42578125" style="260" customWidth="1"/>
    <col min="16130" max="16130" width="10.42578125" style="260" customWidth="1"/>
    <col min="16131" max="16131" width="35.7109375" style="260" customWidth="1"/>
    <col min="16132" max="16132" width="8.28515625" style="260" customWidth="1"/>
    <col min="16133" max="16133" width="6.28515625" style="260" customWidth="1"/>
    <col min="16134" max="16134" width="7.28515625" style="260" customWidth="1"/>
    <col min="16135" max="16135" width="8" style="260" customWidth="1"/>
    <col min="16136" max="16136" width="9.42578125" style="260" customWidth="1"/>
    <col min="16137" max="16384" width="9.140625" style="260"/>
  </cols>
  <sheetData>
    <row r="1" spans="1:9" ht="27.75" customHeight="1" x14ac:dyDescent="0.2">
      <c r="A1" s="704" t="s">
        <v>419</v>
      </c>
      <c r="B1" s="704"/>
      <c r="C1" s="704"/>
      <c r="D1" s="704"/>
      <c r="E1" s="704"/>
      <c r="F1" s="704"/>
      <c r="G1" s="704"/>
    </row>
    <row r="2" spans="1:9" ht="10.5" customHeight="1" x14ac:dyDescent="0.2"/>
    <row r="3" spans="1:9" ht="33" customHeight="1" x14ac:dyDescent="0.2">
      <c r="A3" s="704" t="s">
        <v>382</v>
      </c>
      <c r="B3" s="704"/>
      <c r="C3" s="704"/>
      <c r="D3" s="704"/>
      <c r="E3" s="704"/>
      <c r="F3" s="704"/>
      <c r="G3" s="704"/>
      <c r="H3" s="704"/>
    </row>
    <row r="4" spans="1:9" ht="22.5" customHeight="1" x14ac:dyDescent="0.2">
      <c r="A4" s="704" t="s">
        <v>383</v>
      </c>
      <c r="B4" s="704"/>
      <c r="C4" s="704"/>
      <c r="D4" s="704"/>
      <c r="E4" s="106">
        <f>H54*0.001</f>
        <v>0</v>
      </c>
      <c r="F4" s="260" t="s">
        <v>384</v>
      </c>
      <c r="G4" s="260" t="s">
        <v>6</v>
      </c>
    </row>
    <row r="5" spans="1:9" ht="22.5" customHeight="1" x14ac:dyDescent="0.2">
      <c r="A5" s="704" t="s">
        <v>385</v>
      </c>
      <c r="B5" s="704"/>
      <c r="C5" s="704"/>
      <c r="D5" s="704"/>
      <c r="E5" s="260">
        <f>H47*0.001</f>
        <v>0</v>
      </c>
      <c r="F5" s="260" t="s">
        <v>384</v>
      </c>
      <c r="G5" s="260" t="s">
        <v>6</v>
      </c>
    </row>
    <row r="6" spans="1:9" ht="21.75" customHeight="1" x14ac:dyDescent="0.2">
      <c r="A6" s="705" t="s">
        <v>386</v>
      </c>
      <c r="B6" s="706"/>
      <c r="C6" s="706"/>
      <c r="D6" s="706"/>
      <c r="E6" s="706"/>
      <c r="F6" s="706"/>
      <c r="G6" s="706"/>
    </row>
    <row r="7" spans="1:9" ht="18" customHeight="1" x14ac:dyDescent="0.2">
      <c r="A7" s="705"/>
      <c r="B7" s="706"/>
      <c r="C7" s="706"/>
      <c r="D7" s="706"/>
      <c r="E7" s="706"/>
      <c r="F7" s="706"/>
      <c r="G7" s="706"/>
    </row>
    <row r="8" spans="1:9" ht="42.75" customHeight="1" x14ac:dyDescent="0.2">
      <c r="A8" s="707" t="s">
        <v>39</v>
      </c>
      <c r="B8" s="709" t="s">
        <v>40</v>
      </c>
      <c r="C8" s="710" t="s">
        <v>43</v>
      </c>
      <c r="D8" s="709" t="s">
        <v>53</v>
      </c>
      <c r="E8" s="712" t="s">
        <v>54</v>
      </c>
      <c r="F8" s="713"/>
      <c r="G8" s="712" t="s">
        <v>50</v>
      </c>
      <c r="H8" s="713"/>
    </row>
    <row r="9" spans="1:9" ht="79.5" customHeight="1" x14ac:dyDescent="0.2">
      <c r="A9" s="708"/>
      <c r="B9" s="708"/>
      <c r="C9" s="711"/>
      <c r="D9" s="708"/>
      <c r="E9" s="287" t="s">
        <v>56</v>
      </c>
      <c r="F9" s="287" t="s">
        <v>57</v>
      </c>
      <c r="G9" s="287" t="s">
        <v>56</v>
      </c>
      <c r="H9" s="287" t="s">
        <v>58</v>
      </c>
    </row>
    <row r="10" spans="1:9" ht="14.25" customHeight="1" x14ac:dyDescent="0.2">
      <c r="A10" s="256">
        <v>1</v>
      </c>
      <c r="B10" s="256">
        <v>2</v>
      </c>
      <c r="C10" s="288">
        <v>3</v>
      </c>
      <c r="D10" s="256">
        <v>4</v>
      </c>
      <c r="E10" s="256">
        <v>5</v>
      </c>
      <c r="F10" s="256">
        <v>6</v>
      </c>
      <c r="G10" s="256">
        <v>7</v>
      </c>
      <c r="H10" s="256">
        <v>8</v>
      </c>
    </row>
    <row r="11" spans="1:9" ht="45.75" customHeight="1" x14ac:dyDescent="0.2">
      <c r="A11" s="265">
        <v>1</v>
      </c>
      <c r="B11" s="265" t="s">
        <v>387</v>
      </c>
      <c r="C11" s="258" t="s">
        <v>388</v>
      </c>
      <c r="D11" s="265" t="s">
        <v>49</v>
      </c>
      <c r="E11" s="265"/>
      <c r="F11" s="265">
        <f>F14</f>
        <v>1</v>
      </c>
      <c r="G11" s="265"/>
      <c r="H11" s="171">
        <f>SUM(H12:H14)</f>
        <v>0</v>
      </c>
    </row>
    <row r="12" spans="1:9" ht="20.25" customHeight="1" x14ac:dyDescent="0.2">
      <c r="A12" s="256">
        <f>A11+0.1</f>
        <v>1.1000000000000001</v>
      </c>
      <c r="B12" s="256"/>
      <c r="C12" s="288" t="s">
        <v>92</v>
      </c>
      <c r="D12" s="289" t="s">
        <v>1</v>
      </c>
      <c r="E12" s="289">
        <v>2.71</v>
      </c>
      <c r="F12" s="289">
        <f>F11*E12</f>
        <v>2.71</v>
      </c>
      <c r="G12" s="289"/>
      <c r="H12" s="290">
        <f>F12*G12</f>
        <v>0</v>
      </c>
      <c r="I12" s="131"/>
    </row>
    <row r="13" spans="1:9" ht="19.5" customHeight="1" x14ac:dyDescent="0.2">
      <c r="A13" s="256">
        <f>A12+0.1</f>
        <v>1.2</v>
      </c>
      <c r="B13" s="256"/>
      <c r="C13" s="288" t="s">
        <v>28</v>
      </c>
      <c r="D13" s="200" t="s">
        <v>59</v>
      </c>
      <c r="E13" s="200">
        <v>0.06</v>
      </c>
      <c r="F13" s="201">
        <f>F11*E13</f>
        <v>0.06</v>
      </c>
      <c r="G13" s="200"/>
      <c r="H13" s="291">
        <f>F13*G13</f>
        <v>0</v>
      </c>
      <c r="I13" s="131"/>
    </row>
    <row r="14" spans="1:9" ht="18.75" customHeight="1" x14ac:dyDescent="0.2">
      <c r="A14" s="256">
        <f>A13+0.1</f>
        <v>1.3</v>
      </c>
      <c r="B14" s="256"/>
      <c r="C14" s="288" t="s">
        <v>389</v>
      </c>
      <c r="D14" s="256" t="s">
        <v>49</v>
      </c>
      <c r="E14" s="256"/>
      <c r="F14" s="256">
        <v>1</v>
      </c>
      <c r="G14" s="256"/>
      <c r="H14" s="292">
        <f>F14*G14</f>
        <v>0</v>
      </c>
      <c r="I14" s="131"/>
    </row>
    <row r="15" spans="1:9" ht="33" customHeight="1" x14ac:dyDescent="0.2">
      <c r="A15" s="265">
        <v>2</v>
      </c>
      <c r="B15" s="265" t="s">
        <v>390</v>
      </c>
      <c r="C15" s="258" t="s">
        <v>391</v>
      </c>
      <c r="D15" s="265" t="s">
        <v>49</v>
      </c>
      <c r="E15" s="265"/>
      <c r="F15" s="265">
        <f>F19+F18</f>
        <v>5</v>
      </c>
      <c r="G15" s="265"/>
      <c r="H15" s="171">
        <f>SUM(H16:H19)</f>
        <v>0</v>
      </c>
      <c r="I15" s="131"/>
    </row>
    <row r="16" spans="1:9" ht="20.25" customHeight="1" x14ac:dyDescent="0.2">
      <c r="A16" s="256">
        <f>A15+0.1</f>
        <v>2.1</v>
      </c>
      <c r="B16" s="256"/>
      <c r="C16" s="288" t="s">
        <v>92</v>
      </c>
      <c r="D16" s="289" t="s">
        <v>1</v>
      </c>
      <c r="E16" s="289">
        <v>1</v>
      </c>
      <c r="F16" s="289">
        <f>F15*E16</f>
        <v>5</v>
      </c>
      <c r="G16" s="289"/>
      <c r="H16" s="290">
        <f>F16*G16</f>
        <v>0</v>
      </c>
      <c r="I16" s="131"/>
    </row>
    <row r="17" spans="1:9" ht="18" customHeight="1" x14ac:dyDescent="0.2">
      <c r="A17" s="256">
        <f>A16+0.1</f>
        <v>2.2000000000000002</v>
      </c>
      <c r="B17" s="256"/>
      <c r="C17" s="288" t="s">
        <v>28</v>
      </c>
      <c r="D17" s="200" t="s">
        <v>59</v>
      </c>
      <c r="E17" s="200">
        <v>0.05</v>
      </c>
      <c r="F17" s="201">
        <f>F15*E17</f>
        <v>0.25</v>
      </c>
      <c r="G17" s="200"/>
      <c r="H17" s="291">
        <f>F17*G17</f>
        <v>0</v>
      </c>
      <c r="I17" s="131"/>
    </row>
    <row r="18" spans="1:9" ht="19.5" customHeight="1" x14ac:dyDescent="0.2">
      <c r="A18" s="256">
        <f>A17+0.1</f>
        <v>2.2999999999999998</v>
      </c>
      <c r="B18" s="256"/>
      <c r="C18" s="288" t="s">
        <v>392</v>
      </c>
      <c r="D18" s="256" t="s">
        <v>49</v>
      </c>
      <c r="E18" s="256"/>
      <c r="F18" s="256">
        <v>4</v>
      </c>
      <c r="G18" s="256"/>
      <c r="H18" s="292">
        <f>F18*G18</f>
        <v>0</v>
      </c>
      <c r="I18" s="131"/>
    </row>
    <row r="19" spans="1:9" ht="16.5" customHeight="1" x14ac:dyDescent="0.2">
      <c r="A19" s="256">
        <f>A18+0.1</f>
        <v>2.4</v>
      </c>
      <c r="B19" s="256"/>
      <c r="C19" s="288" t="s">
        <v>393</v>
      </c>
      <c r="D19" s="256" t="s">
        <v>49</v>
      </c>
      <c r="E19" s="256"/>
      <c r="F19" s="256">
        <v>1</v>
      </c>
      <c r="G19" s="256"/>
      <c r="H19" s="292">
        <f>F19*G19</f>
        <v>0</v>
      </c>
      <c r="I19" s="131"/>
    </row>
    <row r="20" spans="1:9" ht="32.25" customHeight="1" x14ac:dyDescent="0.2">
      <c r="A20" s="265">
        <v>5</v>
      </c>
      <c r="B20" s="265" t="s">
        <v>394</v>
      </c>
      <c r="C20" s="258" t="s">
        <v>395</v>
      </c>
      <c r="D20" s="265" t="s">
        <v>60</v>
      </c>
      <c r="E20" s="265"/>
      <c r="F20" s="265">
        <f>F23+F24</f>
        <v>250</v>
      </c>
      <c r="G20" s="265"/>
      <c r="H20" s="171">
        <f>SUM(H21:H24)</f>
        <v>0</v>
      </c>
      <c r="I20" s="131"/>
    </row>
    <row r="21" spans="1:9" ht="21.75" customHeight="1" x14ac:dyDescent="0.2">
      <c r="A21" s="256">
        <f>A20+0.1</f>
        <v>5.0999999999999996</v>
      </c>
      <c r="B21" s="256"/>
      <c r="C21" s="288" t="s">
        <v>92</v>
      </c>
      <c r="D21" s="289" t="s">
        <v>1</v>
      </c>
      <c r="E21" s="289">
        <v>0.13</v>
      </c>
      <c r="F21" s="289">
        <f>F20*E21</f>
        <v>32.5</v>
      </c>
      <c r="G21" s="289"/>
      <c r="H21" s="290">
        <f>F21*G21</f>
        <v>0</v>
      </c>
      <c r="I21" s="131"/>
    </row>
    <row r="22" spans="1:9" ht="20.25" customHeight="1" x14ac:dyDescent="0.2">
      <c r="A22" s="256">
        <f>A21+0.1</f>
        <v>5.2</v>
      </c>
      <c r="B22" s="256"/>
      <c r="C22" s="288" t="s">
        <v>28</v>
      </c>
      <c r="D22" s="200" t="s">
        <v>59</v>
      </c>
      <c r="E22" s="200">
        <v>3.6999999999999998E-2</v>
      </c>
      <c r="F22" s="200">
        <f>F20*E22</f>
        <v>9.25</v>
      </c>
      <c r="G22" s="200"/>
      <c r="H22" s="291">
        <f>F22*G22</f>
        <v>0</v>
      </c>
      <c r="I22" s="131"/>
    </row>
    <row r="23" spans="1:9" ht="17.25" customHeight="1" x14ac:dyDescent="0.2">
      <c r="A23" s="256">
        <f>A22+0.1</f>
        <v>5.3</v>
      </c>
      <c r="B23" s="256"/>
      <c r="C23" s="288" t="s">
        <v>396</v>
      </c>
      <c r="D23" s="256" t="s">
        <v>60</v>
      </c>
      <c r="E23" s="256"/>
      <c r="F23" s="256">
        <v>160</v>
      </c>
      <c r="G23" s="256"/>
      <c r="H23" s="292">
        <f>F23*G23</f>
        <v>0</v>
      </c>
      <c r="I23" s="131"/>
    </row>
    <row r="24" spans="1:9" ht="17.25" customHeight="1" x14ac:dyDescent="0.2">
      <c r="A24" s="256">
        <f>A23+0.1</f>
        <v>5.4</v>
      </c>
      <c r="B24" s="256"/>
      <c r="C24" s="288" t="s">
        <v>397</v>
      </c>
      <c r="D24" s="256" t="s">
        <v>60</v>
      </c>
      <c r="E24" s="256"/>
      <c r="F24" s="256">
        <v>90</v>
      </c>
      <c r="G24" s="256"/>
      <c r="H24" s="292">
        <f>F24*G24</f>
        <v>0</v>
      </c>
      <c r="I24" s="131"/>
    </row>
    <row r="25" spans="1:9" ht="36" customHeight="1" x14ac:dyDescent="0.2">
      <c r="A25" s="265">
        <v>6</v>
      </c>
      <c r="B25" s="265" t="s">
        <v>398</v>
      </c>
      <c r="C25" s="258" t="s">
        <v>399</v>
      </c>
      <c r="D25" s="265" t="s">
        <v>49</v>
      </c>
      <c r="E25" s="265"/>
      <c r="F25" s="265">
        <f>F28+F29</f>
        <v>7</v>
      </c>
      <c r="G25" s="265"/>
      <c r="H25" s="171">
        <f>SUM(H26:H29)</f>
        <v>0</v>
      </c>
      <c r="I25" s="131"/>
    </row>
    <row r="26" spans="1:9" ht="18.75" customHeight="1" x14ac:dyDescent="0.2">
      <c r="A26" s="256">
        <f>A25+0.1</f>
        <v>6.1</v>
      </c>
      <c r="B26" s="265"/>
      <c r="C26" s="288" t="s">
        <v>92</v>
      </c>
      <c r="D26" s="289" t="s">
        <v>1</v>
      </c>
      <c r="E26" s="289">
        <v>0.2</v>
      </c>
      <c r="F26" s="289">
        <f>F25*E26</f>
        <v>1.4</v>
      </c>
      <c r="G26" s="289"/>
      <c r="H26" s="290">
        <f>F26*G26</f>
        <v>0</v>
      </c>
      <c r="I26" s="131"/>
    </row>
    <row r="27" spans="1:9" ht="18.75" customHeight="1" x14ac:dyDescent="0.2">
      <c r="A27" s="256">
        <f>A26+0.1</f>
        <v>6.2</v>
      </c>
      <c r="B27" s="256"/>
      <c r="C27" s="288" t="s">
        <v>28</v>
      </c>
      <c r="D27" s="200" t="s">
        <v>59</v>
      </c>
      <c r="E27" s="200">
        <v>5.0000000000000001E-3</v>
      </c>
      <c r="F27" s="200">
        <f>F25*E27</f>
        <v>3.5000000000000003E-2</v>
      </c>
      <c r="G27" s="293"/>
      <c r="H27" s="291">
        <f>F27*G27</f>
        <v>0</v>
      </c>
      <c r="I27" s="131"/>
    </row>
    <row r="28" spans="1:9" ht="18.75" customHeight="1" x14ac:dyDescent="0.2">
      <c r="A28" s="256">
        <f>A27+0.1</f>
        <v>6.3</v>
      </c>
      <c r="B28" s="256"/>
      <c r="C28" s="288" t="s">
        <v>400</v>
      </c>
      <c r="D28" s="256" t="s">
        <v>49</v>
      </c>
      <c r="E28" s="256"/>
      <c r="F28" s="256">
        <v>6</v>
      </c>
      <c r="G28" s="294"/>
      <c r="H28" s="292">
        <f>F28*G28</f>
        <v>0</v>
      </c>
      <c r="I28" s="131"/>
    </row>
    <row r="29" spans="1:9" ht="18.75" customHeight="1" x14ac:dyDescent="0.2">
      <c r="A29" s="256">
        <f>A28+0.1</f>
        <v>6.4</v>
      </c>
      <c r="B29" s="256"/>
      <c r="C29" s="288" t="s">
        <v>401</v>
      </c>
      <c r="D29" s="256" t="s">
        <v>49</v>
      </c>
      <c r="E29" s="256"/>
      <c r="F29" s="256">
        <v>1</v>
      </c>
      <c r="G29" s="294"/>
      <c r="H29" s="292">
        <f>F29*G29</f>
        <v>0</v>
      </c>
      <c r="I29" s="131"/>
    </row>
    <row r="30" spans="1:9" ht="54.75" customHeight="1" x14ac:dyDescent="0.2">
      <c r="A30" s="265">
        <v>7</v>
      </c>
      <c r="B30" s="265" t="s">
        <v>402</v>
      </c>
      <c r="C30" s="258" t="s">
        <v>403</v>
      </c>
      <c r="D30" s="265" t="s">
        <v>49</v>
      </c>
      <c r="E30" s="265"/>
      <c r="F30" s="265">
        <f>F33</f>
        <v>12</v>
      </c>
      <c r="G30" s="265"/>
      <c r="H30" s="171">
        <f>SUM(H31:H33)</f>
        <v>0</v>
      </c>
      <c r="I30" s="131"/>
    </row>
    <row r="31" spans="1:9" ht="21.75" customHeight="1" x14ac:dyDescent="0.2">
      <c r="A31" s="256">
        <f>A30+0.1</f>
        <v>7.1</v>
      </c>
      <c r="B31" s="256"/>
      <c r="C31" s="288" t="s">
        <v>92</v>
      </c>
      <c r="D31" s="289" t="s">
        <v>1</v>
      </c>
      <c r="E31" s="289">
        <v>0.22</v>
      </c>
      <c r="F31" s="289">
        <f>F30*E31</f>
        <v>2.64</v>
      </c>
      <c r="G31" s="289"/>
      <c r="H31" s="290">
        <f>F31*G31</f>
        <v>0</v>
      </c>
      <c r="I31" s="131"/>
    </row>
    <row r="32" spans="1:9" ht="18.75" customHeight="1" x14ac:dyDescent="0.2">
      <c r="A32" s="256">
        <f>A31+0.1</f>
        <v>7.2</v>
      </c>
      <c r="B32" s="256"/>
      <c r="C32" s="288" t="s">
        <v>28</v>
      </c>
      <c r="D32" s="200" t="s">
        <v>59</v>
      </c>
      <c r="E32" s="200">
        <v>2E-3</v>
      </c>
      <c r="F32" s="200">
        <f>F30*E32</f>
        <v>2.4E-2</v>
      </c>
      <c r="G32" s="293"/>
      <c r="H32" s="291">
        <f>F32*G32</f>
        <v>0</v>
      </c>
      <c r="I32" s="131"/>
    </row>
    <row r="33" spans="1:9" ht="20.25" customHeight="1" x14ac:dyDescent="0.2">
      <c r="A33" s="256">
        <f>A32+0.1</f>
        <v>7.3</v>
      </c>
      <c r="B33" s="256"/>
      <c r="C33" s="288" t="s">
        <v>404</v>
      </c>
      <c r="D33" s="256" t="s">
        <v>49</v>
      </c>
      <c r="E33" s="256"/>
      <c r="F33" s="256">
        <v>12</v>
      </c>
      <c r="G33" s="256"/>
      <c r="H33" s="292">
        <f>F33*G33</f>
        <v>0</v>
      </c>
      <c r="I33" s="131"/>
    </row>
    <row r="34" spans="1:9" ht="27.75" customHeight="1" x14ac:dyDescent="0.2">
      <c r="A34" s="265">
        <v>8</v>
      </c>
      <c r="B34" s="265" t="s">
        <v>405</v>
      </c>
      <c r="C34" s="258" t="s">
        <v>406</v>
      </c>
      <c r="D34" s="265" t="s">
        <v>49</v>
      </c>
      <c r="E34" s="265"/>
      <c r="F34" s="265">
        <f>F37</f>
        <v>20</v>
      </c>
      <c r="G34" s="265"/>
      <c r="H34" s="171">
        <f>SUM(H35:H37)</f>
        <v>0</v>
      </c>
      <c r="I34" s="131"/>
    </row>
    <row r="35" spans="1:9" ht="21" customHeight="1" x14ac:dyDescent="0.2">
      <c r="A35" s="256">
        <f>A34+0.1</f>
        <v>8.1</v>
      </c>
      <c r="B35" s="256"/>
      <c r="C35" s="288" t="s">
        <v>92</v>
      </c>
      <c r="D35" s="289" t="s">
        <v>1</v>
      </c>
      <c r="E35" s="289">
        <v>2</v>
      </c>
      <c r="F35" s="289">
        <f>F34*E35</f>
        <v>40</v>
      </c>
      <c r="G35" s="289"/>
      <c r="H35" s="290">
        <f>F35*G35</f>
        <v>0</v>
      </c>
      <c r="I35" s="131"/>
    </row>
    <row r="36" spans="1:9" ht="20.25" customHeight="1" x14ac:dyDescent="0.2">
      <c r="A36" s="256">
        <f>A35+0.1</f>
        <v>8.1999999999999993</v>
      </c>
      <c r="B36" s="256"/>
      <c r="C36" s="288" t="s">
        <v>28</v>
      </c>
      <c r="D36" s="200" t="s">
        <v>59</v>
      </c>
      <c r="E36" s="200">
        <v>0.96</v>
      </c>
      <c r="F36" s="200">
        <f>F34*E36</f>
        <v>19.2</v>
      </c>
      <c r="G36" s="200"/>
      <c r="H36" s="291">
        <f>F36*G36</f>
        <v>0</v>
      </c>
      <c r="I36" s="131"/>
    </row>
    <row r="37" spans="1:9" ht="18.75" customHeight="1" x14ac:dyDescent="0.2">
      <c r="A37" s="256">
        <f>A36+0.1</f>
        <v>8.3000000000000007</v>
      </c>
      <c r="B37" s="256"/>
      <c r="C37" s="288" t="s">
        <v>407</v>
      </c>
      <c r="D37" s="256" t="s">
        <v>49</v>
      </c>
      <c r="E37" s="256"/>
      <c r="F37" s="256">
        <v>20</v>
      </c>
      <c r="G37" s="256"/>
      <c r="H37" s="292">
        <f>F37*G37</f>
        <v>0</v>
      </c>
      <c r="I37" s="131"/>
    </row>
    <row r="38" spans="1:9" ht="39" customHeight="1" x14ac:dyDescent="0.2">
      <c r="A38" s="265">
        <v>8</v>
      </c>
      <c r="B38" s="265" t="s">
        <v>408</v>
      </c>
      <c r="C38" s="258" t="s">
        <v>409</v>
      </c>
      <c r="D38" s="265" t="s">
        <v>49</v>
      </c>
      <c r="E38" s="265"/>
      <c r="F38" s="265">
        <v>5</v>
      </c>
      <c r="G38" s="265"/>
      <c r="H38" s="171">
        <f>SUM(H39:H41)</f>
        <v>0</v>
      </c>
    </row>
    <row r="39" spans="1:9" ht="24.75" customHeight="1" x14ac:dyDescent="0.2">
      <c r="A39" s="259">
        <f>A38+0.1</f>
        <v>8.1</v>
      </c>
      <c r="B39" s="295"/>
      <c r="C39" s="257" t="s">
        <v>92</v>
      </c>
      <c r="D39" s="124" t="s">
        <v>1</v>
      </c>
      <c r="E39" s="124">
        <v>0.9</v>
      </c>
      <c r="F39" s="124">
        <f>F38*E39</f>
        <v>4.5</v>
      </c>
      <c r="G39" s="125"/>
      <c r="H39" s="133">
        <f>F39*G39</f>
        <v>0</v>
      </c>
    </row>
    <row r="40" spans="1:9" ht="24.75" customHeight="1" x14ac:dyDescent="0.2">
      <c r="A40" s="259">
        <f>A39+0.1</f>
        <v>8.1999999999999993</v>
      </c>
      <c r="B40" s="295"/>
      <c r="C40" s="257" t="s">
        <v>28</v>
      </c>
      <c r="D40" s="127" t="s">
        <v>59</v>
      </c>
      <c r="E40" s="127">
        <v>7.0000000000000007E-2</v>
      </c>
      <c r="F40" s="127">
        <f>F38*E40</f>
        <v>0.35</v>
      </c>
      <c r="G40" s="127"/>
      <c r="H40" s="134">
        <f>F40*G40</f>
        <v>0</v>
      </c>
    </row>
    <row r="41" spans="1:9" ht="24.75" customHeight="1" x14ac:dyDescent="0.2">
      <c r="A41" s="259">
        <f>A40+0.1</f>
        <v>8.3000000000000007</v>
      </c>
      <c r="B41" s="295"/>
      <c r="C41" s="257" t="s">
        <v>410</v>
      </c>
      <c r="D41" s="259" t="s">
        <v>60</v>
      </c>
      <c r="E41" s="259"/>
      <c r="F41" s="259">
        <f>2.5*5</f>
        <v>12.5</v>
      </c>
      <c r="G41" s="259"/>
      <c r="H41" s="132">
        <f>F41*G41</f>
        <v>0</v>
      </c>
    </row>
    <row r="42" spans="1:9" ht="41.25" customHeight="1" x14ac:dyDescent="0.2">
      <c r="A42" s="265">
        <v>9</v>
      </c>
      <c r="B42" s="265" t="s">
        <v>411</v>
      </c>
      <c r="C42" s="258" t="s">
        <v>412</v>
      </c>
      <c r="D42" s="265" t="s">
        <v>60</v>
      </c>
      <c r="E42" s="265"/>
      <c r="F42" s="265">
        <v>20</v>
      </c>
      <c r="G42" s="265"/>
      <c r="H42" s="171">
        <f>SUM(H43:H45)</f>
        <v>0</v>
      </c>
    </row>
    <row r="43" spans="1:9" ht="24.75" customHeight="1" x14ac:dyDescent="0.2">
      <c r="A43" s="259">
        <f>A42+0.1</f>
        <v>9.1</v>
      </c>
      <c r="B43" s="295"/>
      <c r="C43" s="257" t="s">
        <v>92</v>
      </c>
      <c r="D43" s="124" t="s">
        <v>1</v>
      </c>
      <c r="E43" s="124">
        <v>0.12</v>
      </c>
      <c r="F43" s="124">
        <f>F42*E43</f>
        <v>2.4</v>
      </c>
      <c r="G43" s="124"/>
      <c r="H43" s="133">
        <f>F43*G43</f>
        <v>0</v>
      </c>
    </row>
    <row r="44" spans="1:9" ht="24.75" customHeight="1" x14ac:dyDescent="0.2">
      <c r="A44" s="259">
        <f>A43+0.1</f>
        <v>9.1999999999999993</v>
      </c>
      <c r="B44" s="295"/>
      <c r="C44" s="257" t="s">
        <v>28</v>
      </c>
      <c r="D44" s="127" t="s">
        <v>59</v>
      </c>
      <c r="E44" s="127">
        <v>8.9999999999999993E-3</v>
      </c>
      <c r="F44" s="127">
        <f>F42*E44</f>
        <v>0.18</v>
      </c>
      <c r="G44" s="127"/>
      <c r="H44" s="134">
        <f>F44*G44</f>
        <v>0</v>
      </c>
    </row>
    <row r="45" spans="1:9" ht="24.75" customHeight="1" x14ac:dyDescent="0.2">
      <c r="A45" s="259">
        <f>A44+0.1</f>
        <v>9.3000000000000007</v>
      </c>
      <c r="B45" s="295"/>
      <c r="C45" s="257" t="s">
        <v>413</v>
      </c>
      <c r="D45" s="259" t="s">
        <v>60</v>
      </c>
      <c r="E45" s="259"/>
      <c r="F45" s="259">
        <v>20</v>
      </c>
      <c r="G45" s="259"/>
      <c r="H45" s="132">
        <f>F45*G45</f>
        <v>0</v>
      </c>
    </row>
    <row r="46" spans="1:9" ht="37.5" customHeight="1" x14ac:dyDescent="0.2">
      <c r="A46" s="265"/>
      <c r="B46" s="265"/>
      <c r="C46" s="258" t="s">
        <v>62</v>
      </c>
      <c r="D46" s="256" t="s">
        <v>6</v>
      </c>
      <c r="E46" s="265"/>
      <c r="F46" s="265"/>
      <c r="G46" s="265"/>
      <c r="H46" s="171">
        <f>H11+H15+H20+H25+H30+H34+H38+H42</f>
        <v>0</v>
      </c>
    </row>
    <row r="47" spans="1:9" ht="23.25" customHeight="1" x14ac:dyDescent="0.2">
      <c r="A47" s="256"/>
      <c r="B47" s="256"/>
      <c r="C47" s="258" t="s">
        <v>226</v>
      </c>
      <c r="D47" s="265" t="s">
        <v>6</v>
      </c>
      <c r="E47" s="289"/>
      <c r="F47" s="289"/>
      <c r="G47" s="289"/>
      <c r="H47" s="290">
        <f>H12+H16+H21+H26+H31+H35+H39+H43</f>
        <v>0</v>
      </c>
    </row>
    <row r="48" spans="1:9" ht="25.5" customHeight="1" x14ac:dyDescent="0.2">
      <c r="A48" s="256"/>
      <c r="B48" s="256"/>
      <c r="C48" s="258" t="s">
        <v>63</v>
      </c>
      <c r="D48" s="265" t="s">
        <v>6</v>
      </c>
      <c r="E48" s="200"/>
      <c r="F48" s="200"/>
      <c r="G48" s="200"/>
      <c r="H48" s="291">
        <f>H13+H17+H22+H27+H32+H36+H40+H44</f>
        <v>0</v>
      </c>
    </row>
    <row r="49" spans="1:10" ht="26.25" customHeight="1" x14ac:dyDescent="0.2">
      <c r="A49" s="256"/>
      <c r="B49" s="256"/>
      <c r="C49" s="258" t="s">
        <v>414</v>
      </c>
      <c r="D49" s="265" t="s">
        <v>6</v>
      </c>
      <c r="E49" s="256"/>
      <c r="F49" s="256"/>
      <c r="G49" s="256"/>
      <c r="H49" s="292">
        <f>H46-H47-H48</f>
        <v>0</v>
      </c>
      <c r="J49" s="131"/>
    </row>
    <row r="50" spans="1:10" ht="45" customHeight="1" x14ac:dyDescent="0.2">
      <c r="A50" s="256"/>
      <c r="B50" s="256"/>
      <c r="C50" s="258" t="s">
        <v>64</v>
      </c>
      <c r="D50" s="265" t="s">
        <v>6</v>
      </c>
      <c r="E50" s="256"/>
      <c r="F50" s="256"/>
      <c r="G50" s="256"/>
      <c r="H50" s="183">
        <f>H47+H48+H49</f>
        <v>0</v>
      </c>
    </row>
    <row r="51" spans="1:10" ht="25.5" customHeight="1" x14ac:dyDescent="0.2">
      <c r="A51" s="256"/>
      <c r="B51" s="256"/>
      <c r="C51" s="258" t="s">
        <v>415</v>
      </c>
      <c r="D51" s="265" t="s">
        <v>6</v>
      </c>
      <c r="E51" s="256"/>
      <c r="F51" s="256"/>
      <c r="G51" s="256"/>
      <c r="H51" s="292">
        <f>H47*0.75</f>
        <v>0</v>
      </c>
    </row>
    <row r="52" spans="1:10" ht="21.75" customHeight="1" x14ac:dyDescent="0.2">
      <c r="A52" s="256"/>
      <c r="B52" s="256"/>
      <c r="C52" s="258" t="s">
        <v>46</v>
      </c>
      <c r="D52" s="265" t="s">
        <v>6</v>
      </c>
      <c r="E52" s="256"/>
      <c r="F52" s="256"/>
      <c r="G52" s="256"/>
      <c r="H52" s="292">
        <f>H50+H51</f>
        <v>0</v>
      </c>
    </row>
    <row r="53" spans="1:10" ht="24" customHeight="1" x14ac:dyDescent="0.2">
      <c r="A53" s="256"/>
      <c r="B53" s="256"/>
      <c r="C53" s="258" t="s">
        <v>619</v>
      </c>
      <c r="D53" s="265" t="s">
        <v>6</v>
      </c>
      <c r="E53" s="256"/>
      <c r="F53" s="256"/>
      <c r="G53" s="256"/>
      <c r="H53" s="292">
        <f>H52*6%</f>
        <v>0</v>
      </c>
    </row>
    <row r="54" spans="1:10" ht="27" customHeight="1" x14ac:dyDescent="0.2">
      <c r="A54" s="256"/>
      <c r="B54" s="256"/>
      <c r="C54" s="258" t="s">
        <v>58</v>
      </c>
      <c r="D54" s="265" t="s">
        <v>6</v>
      </c>
      <c r="E54" s="256"/>
      <c r="F54" s="256"/>
      <c r="G54" s="256"/>
      <c r="H54" s="183">
        <f>H52+H53</f>
        <v>0</v>
      </c>
    </row>
    <row r="57" spans="1:10" ht="16.5" customHeight="1" x14ac:dyDescent="0.2">
      <c r="E57" s="704"/>
      <c r="F57" s="704"/>
      <c r="G57" s="704"/>
    </row>
  </sheetData>
  <mergeCells count="13">
    <mergeCell ref="E57:G57"/>
    <mergeCell ref="A7:G7"/>
    <mergeCell ref="A8:A9"/>
    <mergeCell ref="B8:B9"/>
    <mergeCell ref="C8:C9"/>
    <mergeCell ref="D8:D9"/>
    <mergeCell ref="E8:F8"/>
    <mergeCell ref="G8:H8"/>
    <mergeCell ref="A1:G1"/>
    <mergeCell ref="A3:H3"/>
    <mergeCell ref="A4:D4"/>
    <mergeCell ref="A5:D5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K135"/>
  <sheetViews>
    <sheetView topLeftCell="A35" workbookViewId="0">
      <selection activeCell="C43" sqref="C43"/>
    </sheetView>
  </sheetViews>
  <sheetFormatPr defaultRowHeight="18" x14ac:dyDescent="0.2"/>
  <cols>
    <col min="1" max="1" width="5.85546875" style="264" customWidth="1"/>
    <col min="2" max="2" width="10.5703125" style="264" customWidth="1"/>
    <col min="3" max="3" width="43.140625" style="264" customWidth="1"/>
    <col min="4" max="4" width="7.7109375" style="264" customWidth="1"/>
    <col min="5" max="5" width="6.7109375" style="264" customWidth="1"/>
    <col min="6" max="6" width="7.5703125" style="264" customWidth="1"/>
    <col min="7" max="7" width="6.7109375" style="264" customWidth="1"/>
    <col min="8" max="8" width="8.7109375" style="264" customWidth="1"/>
    <col min="9" max="9" width="10.7109375" style="264" bestFit="1" customWidth="1"/>
    <col min="10" max="10" width="9.28515625" style="264" customWidth="1"/>
    <col min="11" max="11" width="12.28515625" style="264" bestFit="1" customWidth="1"/>
    <col min="12" max="256" width="9.140625" style="264"/>
    <col min="257" max="257" width="5.85546875" style="264" customWidth="1"/>
    <col min="258" max="258" width="10.5703125" style="264" customWidth="1"/>
    <col min="259" max="259" width="43.140625" style="264" customWidth="1"/>
    <col min="260" max="260" width="7.7109375" style="264" customWidth="1"/>
    <col min="261" max="261" width="6.7109375" style="264" customWidth="1"/>
    <col min="262" max="262" width="7.5703125" style="264" customWidth="1"/>
    <col min="263" max="263" width="6.7109375" style="264" customWidth="1"/>
    <col min="264" max="264" width="8.7109375" style="264" customWidth="1"/>
    <col min="265" max="265" width="10.7109375" style="264" bestFit="1" customWidth="1"/>
    <col min="266" max="266" width="9.28515625" style="264" customWidth="1"/>
    <col min="267" max="267" width="12.28515625" style="264" bestFit="1" customWidth="1"/>
    <col min="268" max="512" width="9.140625" style="264"/>
    <col min="513" max="513" width="5.85546875" style="264" customWidth="1"/>
    <col min="514" max="514" width="10.5703125" style="264" customWidth="1"/>
    <col min="515" max="515" width="43.140625" style="264" customWidth="1"/>
    <col min="516" max="516" width="7.7109375" style="264" customWidth="1"/>
    <col min="517" max="517" width="6.7109375" style="264" customWidth="1"/>
    <col min="518" max="518" width="7.5703125" style="264" customWidth="1"/>
    <col min="519" max="519" width="6.7109375" style="264" customWidth="1"/>
    <col min="520" max="520" width="8.7109375" style="264" customWidth="1"/>
    <col min="521" max="521" width="10.7109375" style="264" bestFit="1" customWidth="1"/>
    <col min="522" max="522" width="9.28515625" style="264" customWidth="1"/>
    <col min="523" max="523" width="12.28515625" style="264" bestFit="1" customWidth="1"/>
    <col min="524" max="768" width="9.140625" style="264"/>
    <col min="769" max="769" width="5.85546875" style="264" customWidth="1"/>
    <col min="770" max="770" width="10.5703125" style="264" customWidth="1"/>
    <col min="771" max="771" width="43.140625" style="264" customWidth="1"/>
    <col min="772" max="772" width="7.7109375" style="264" customWidth="1"/>
    <col min="773" max="773" width="6.7109375" style="264" customWidth="1"/>
    <col min="774" max="774" width="7.5703125" style="264" customWidth="1"/>
    <col min="775" max="775" width="6.7109375" style="264" customWidth="1"/>
    <col min="776" max="776" width="8.7109375" style="264" customWidth="1"/>
    <col min="777" max="777" width="10.7109375" style="264" bestFit="1" customWidth="1"/>
    <col min="778" max="778" width="9.28515625" style="264" customWidth="1"/>
    <col min="779" max="779" width="12.28515625" style="264" bestFit="1" customWidth="1"/>
    <col min="780" max="1024" width="9.140625" style="264"/>
    <col min="1025" max="1025" width="5.85546875" style="264" customWidth="1"/>
    <col min="1026" max="1026" width="10.5703125" style="264" customWidth="1"/>
    <col min="1027" max="1027" width="43.140625" style="264" customWidth="1"/>
    <col min="1028" max="1028" width="7.7109375" style="264" customWidth="1"/>
    <col min="1029" max="1029" width="6.7109375" style="264" customWidth="1"/>
    <col min="1030" max="1030" width="7.5703125" style="264" customWidth="1"/>
    <col min="1031" max="1031" width="6.7109375" style="264" customWidth="1"/>
    <col min="1032" max="1032" width="8.7109375" style="264" customWidth="1"/>
    <col min="1033" max="1033" width="10.7109375" style="264" bestFit="1" customWidth="1"/>
    <col min="1034" max="1034" width="9.28515625" style="264" customWidth="1"/>
    <col min="1035" max="1035" width="12.28515625" style="264" bestFit="1" customWidth="1"/>
    <col min="1036" max="1280" width="9.140625" style="264"/>
    <col min="1281" max="1281" width="5.85546875" style="264" customWidth="1"/>
    <col min="1282" max="1282" width="10.5703125" style="264" customWidth="1"/>
    <col min="1283" max="1283" width="43.140625" style="264" customWidth="1"/>
    <col min="1284" max="1284" width="7.7109375" style="264" customWidth="1"/>
    <col min="1285" max="1285" width="6.7109375" style="264" customWidth="1"/>
    <col min="1286" max="1286" width="7.5703125" style="264" customWidth="1"/>
    <col min="1287" max="1287" width="6.7109375" style="264" customWidth="1"/>
    <col min="1288" max="1288" width="8.7109375" style="264" customWidth="1"/>
    <col min="1289" max="1289" width="10.7109375" style="264" bestFit="1" customWidth="1"/>
    <col min="1290" max="1290" width="9.28515625" style="264" customWidth="1"/>
    <col min="1291" max="1291" width="12.28515625" style="264" bestFit="1" customWidth="1"/>
    <col min="1292" max="1536" width="9.140625" style="264"/>
    <col min="1537" max="1537" width="5.85546875" style="264" customWidth="1"/>
    <col min="1538" max="1538" width="10.5703125" style="264" customWidth="1"/>
    <col min="1539" max="1539" width="43.140625" style="264" customWidth="1"/>
    <col min="1540" max="1540" width="7.7109375" style="264" customWidth="1"/>
    <col min="1541" max="1541" width="6.7109375" style="264" customWidth="1"/>
    <col min="1542" max="1542" width="7.5703125" style="264" customWidth="1"/>
    <col min="1543" max="1543" width="6.7109375" style="264" customWidth="1"/>
    <col min="1544" max="1544" width="8.7109375" style="264" customWidth="1"/>
    <col min="1545" max="1545" width="10.7109375" style="264" bestFit="1" customWidth="1"/>
    <col min="1546" max="1546" width="9.28515625" style="264" customWidth="1"/>
    <col min="1547" max="1547" width="12.28515625" style="264" bestFit="1" customWidth="1"/>
    <col min="1548" max="1792" width="9.140625" style="264"/>
    <col min="1793" max="1793" width="5.85546875" style="264" customWidth="1"/>
    <col min="1794" max="1794" width="10.5703125" style="264" customWidth="1"/>
    <col min="1795" max="1795" width="43.140625" style="264" customWidth="1"/>
    <col min="1796" max="1796" width="7.7109375" style="264" customWidth="1"/>
    <col min="1797" max="1797" width="6.7109375" style="264" customWidth="1"/>
    <col min="1798" max="1798" width="7.5703125" style="264" customWidth="1"/>
    <col min="1799" max="1799" width="6.7109375" style="264" customWidth="1"/>
    <col min="1800" max="1800" width="8.7109375" style="264" customWidth="1"/>
    <col min="1801" max="1801" width="10.7109375" style="264" bestFit="1" customWidth="1"/>
    <col min="1802" max="1802" width="9.28515625" style="264" customWidth="1"/>
    <col min="1803" max="1803" width="12.28515625" style="264" bestFit="1" customWidth="1"/>
    <col min="1804" max="2048" width="9.140625" style="264"/>
    <col min="2049" max="2049" width="5.85546875" style="264" customWidth="1"/>
    <col min="2050" max="2050" width="10.5703125" style="264" customWidth="1"/>
    <col min="2051" max="2051" width="43.140625" style="264" customWidth="1"/>
    <col min="2052" max="2052" width="7.7109375" style="264" customWidth="1"/>
    <col min="2053" max="2053" width="6.7109375" style="264" customWidth="1"/>
    <col min="2054" max="2054" width="7.5703125" style="264" customWidth="1"/>
    <col min="2055" max="2055" width="6.7109375" style="264" customWidth="1"/>
    <col min="2056" max="2056" width="8.7109375" style="264" customWidth="1"/>
    <col min="2057" max="2057" width="10.7109375" style="264" bestFit="1" customWidth="1"/>
    <col min="2058" max="2058" width="9.28515625" style="264" customWidth="1"/>
    <col min="2059" max="2059" width="12.28515625" style="264" bestFit="1" customWidth="1"/>
    <col min="2060" max="2304" width="9.140625" style="264"/>
    <col min="2305" max="2305" width="5.85546875" style="264" customWidth="1"/>
    <col min="2306" max="2306" width="10.5703125" style="264" customWidth="1"/>
    <col min="2307" max="2307" width="43.140625" style="264" customWidth="1"/>
    <col min="2308" max="2308" width="7.7109375" style="264" customWidth="1"/>
    <col min="2309" max="2309" width="6.7109375" style="264" customWidth="1"/>
    <col min="2310" max="2310" width="7.5703125" style="264" customWidth="1"/>
    <col min="2311" max="2311" width="6.7109375" style="264" customWidth="1"/>
    <col min="2312" max="2312" width="8.7109375" style="264" customWidth="1"/>
    <col min="2313" max="2313" width="10.7109375" style="264" bestFit="1" customWidth="1"/>
    <col min="2314" max="2314" width="9.28515625" style="264" customWidth="1"/>
    <col min="2315" max="2315" width="12.28515625" style="264" bestFit="1" customWidth="1"/>
    <col min="2316" max="2560" width="9.140625" style="264"/>
    <col min="2561" max="2561" width="5.85546875" style="264" customWidth="1"/>
    <col min="2562" max="2562" width="10.5703125" style="264" customWidth="1"/>
    <col min="2563" max="2563" width="43.140625" style="264" customWidth="1"/>
    <col min="2564" max="2564" width="7.7109375" style="264" customWidth="1"/>
    <col min="2565" max="2565" width="6.7109375" style="264" customWidth="1"/>
    <col min="2566" max="2566" width="7.5703125" style="264" customWidth="1"/>
    <col min="2567" max="2567" width="6.7109375" style="264" customWidth="1"/>
    <col min="2568" max="2568" width="8.7109375" style="264" customWidth="1"/>
    <col min="2569" max="2569" width="10.7109375" style="264" bestFit="1" customWidth="1"/>
    <col min="2570" max="2570" width="9.28515625" style="264" customWidth="1"/>
    <col min="2571" max="2571" width="12.28515625" style="264" bestFit="1" customWidth="1"/>
    <col min="2572" max="2816" width="9.140625" style="264"/>
    <col min="2817" max="2817" width="5.85546875" style="264" customWidth="1"/>
    <col min="2818" max="2818" width="10.5703125" style="264" customWidth="1"/>
    <col min="2819" max="2819" width="43.140625" style="264" customWidth="1"/>
    <col min="2820" max="2820" width="7.7109375" style="264" customWidth="1"/>
    <col min="2821" max="2821" width="6.7109375" style="264" customWidth="1"/>
    <col min="2822" max="2822" width="7.5703125" style="264" customWidth="1"/>
    <col min="2823" max="2823" width="6.7109375" style="264" customWidth="1"/>
    <col min="2824" max="2824" width="8.7109375" style="264" customWidth="1"/>
    <col min="2825" max="2825" width="10.7109375" style="264" bestFit="1" customWidth="1"/>
    <col min="2826" max="2826" width="9.28515625" style="264" customWidth="1"/>
    <col min="2827" max="2827" width="12.28515625" style="264" bestFit="1" customWidth="1"/>
    <col min="2828" max="3072" width="9.140625" style="264"/>
    <col min="3073" max="3073" width="5.85546875" style="264" customWidth="1"/>
    <col min="3074" max="3074" width="10.5703125" style="264" customWidth="1"/>
    <col min="3075" max="3075" width="43.140625" style="264" customWidth="1"/>
    <col min="3076" max="3076" width="7.7109375" style="264" customWidth="1"/>
    <col min="3077" max="3077" width="6.7109375" style="264" customWidth="1"/>
    <col min="3078" max="3078" width="7.5703125" style="264" customWidth="1"/>
    <col min="3079" max="3079" width="6.7109375" style="264" customWidth="1"/>
    <col min="3080" max="3080" width="8.7109375" style="264" customWidth="1"/>
    <col min="3081" max="3081" width="10.7109375" style="264" bestFit="1" customWidth="1"/>
    <col min="3082" max="3082" width="9.28515625" style="264" customWidth="1"/>
    <col min="3083" max="3083" width="12.28515625" style="264" bestFit="1" customWidth="1"/>
    <col min="3084" max="3328" width="9.140625" style="264"/>
    <col min="3329" max="3329" width="5.85546875" style="264" customWidth="1"/>
    <col min="3330" max="3330" width="10.5703125" style="264" customWidth="1"/>
    <col min="3331" max="3331" width="43.140625" style="264" customWidth="1"/>
    <col min="3332" max="3332" width="7.7109375" style="264" customWidth="1"/>
    <col min="3333" max="3333" width="6.7109375" style="264" customWidth="1"/>
    <col min="3334" max="3334" width="7.5703125" style="264" customWidth="1"/>
    <col min="3335" max="3335" width="6.7109375" style="264" customWidth="1"/>
    <col min="3336" max="3336" width="8.7109375" style="264" customWidth="1"/>
    <col min="3337" max="3337" width="10.7109375" style="264" bestFit="1" customWidth="1"/>
    <col min="3338" max="3338" width="9.28515625" style="264" customWidth="1"/>
    <col min="3339" max="3339" width="12.28515625" style="264" bestFit="1" customWidth="1"/>
    <col min="3340" max="3584" width="9.140625" style="264"/>
    <col min="3585" max="3585" width="5.85546875" style="264" customWidth="1"/>
    <col min="3586" max="3586" width="10.5703125" style="264" customWidth="1"/>
    <col min="3587" max="3587" width="43.140625" style="264" customWidth="1"/>
    <col min="3588" max="3588" width="7.7109375" style="264" customWidth="1"/>
    <col min="3589" max="3589" width="6.7109375" style="264" customWidth="1"/>
    <col min="3590" max="3590" width="7.5703125" style="264" customWidth="1"/>
    <col min="3591" max="3591" width="6.7109375" style="264" customWidth="1"/>
    <col min="3592" max="3592" width="8.7109375" style="264" customWidth="1"/>
    <col min="3593" max="3593" width="10.7109375" style="264" bestFit="1" customWidth="1"/>
    <col min="3594" max="3594" width="9.28515625" style="264" customWidth="1"/>
    <col min="3595" max="3595" width="12.28515625" style="264" bestFit="1" customWidth="1"/>
    <col min="3596" max="3840" width="9.140625" style="264"/>
    <col min="3841" max="3841" width="5.85546875" style="264" customWidth="1"/>
    <col min="3842" max="3842" width="10.5703125" style="264" customWidth="1"/>
    <col min="3843" max="3843" width="43.140625" style="264" customWidth="1"/>
    <col min="3844" max="3844" width="7.7109375" style="264" customWidth="1"/>
    <col min="3845" max="3845" width="6.7109375" style="264" customWidth="1"/>
    <col min="3846" max="3846" width="7.5703125" style="264" customWidth="1"/>
    <col min="3847" max="3847" width="6.7109375" style="264" customWidth="1"/>
    <col min="3848" max="3848" width="8.7109375" style="264" customWidth="1"/>
    <col min="3849" max="3849" width="10.7109375" style="264" bestFit="1" customWidth="1"/>
    <col min="3850" max="3850" width="9.28515625" style="264" customWidth="1"/>
    <col min="3851" max="3851" width="12.28515625" style="264" bestFit="1" customWidth="1"/>
    <col min="3852" max="4096" width="9.140625" style="264"/>
    <col min="4097" max="4097" width="5.85546875" style="264" customWidth="1"/>
    <col min="4098" max="4098" width="10.5703125" style="264" customWidth="1"/>
    <col min="4099" max="4099" width="43.140625" style="264" customWidth="1"/>
    <col min="4100" max="4100" width="7.7109375" style="264" customWidth="1"/>
    <col min="4101" max="4101" width="6.7109375" style="264" customWidth="1"/>
    <col min="4102" max="4102" width="7.5703125" style="264" customWidth="1"/>
    <col min="4103" max="4103" width="6.7109375" style="264" customWidth="1"/>
    <col min="4104" max="4104" width="8.7109375" style="264" customWidth="1"/>
    <col min="4105" max="4105" width="10.7109375" style="264" bestFit="1" customWidth="1"/>
    <col min="4106" max="4106" width="9.28515625" style="264" customWidth="1"/>
    <col min="4107" max="4107" width="12.28515625" style="264" bestFit="1" customWidth="1"/>
    <col min="4108" max="4352" width="9.140625" style="264"/>
    <col min="4353" max="4353" width="5.85546875" style="264" customWidth="1"/>
    <col min="4354" max="4354" width="10.5703125" style="264" customWidth="1"/>
    <col min="4355" max="4355" width="43.140625" style="264" customWidth="1"/>
    <col min="4356" max="4356" width="7.7109375" style="264" customWidth="1"/>
    <col min="4357" max="4357" width="6.7109375" style="264" customWidth="1"/>
    <col min="4358" max="4358" width="7.5703125" style="264" customWidth="1"/>
    <col min="4359" max="4359" width="6.7109375" style="264" customWidth="1"/>
    <col min="4360" max="4360" width="8.7109375" style="264" customWidth="1"/>
    <col min="4361" max="4361" width="10.7109375" style="264" bestFit="1" customWidth="1"/>
    <col min="4362" max="4362" width="9.28515625" style="264" customWidth="1"/>
    <col min="4363" max="4363" width="12.28515625" style="264" bestFit="1" customWidth="1"/>
    <col min="4364" max="4608" width="9.140625" style="264"/>
    <col min="4609" max="4609" width="5.85546875" style="264" customWidth="1"/>
    <col min="4610" max="4610" width="10.5703125" style="264" customWidth="1"/>
    <col min="4611" max="4611" width="43.140625" style="264" customWidth="1"/>
    <col min="4612" max="4612" width="7.7109375" style="264" customWidth="1"/>
    <col min="4613" max="4613" width="6.7109375" style="264" customWidth="1"/>
    <col min="4614" max="4614" width="7.5703125" style="264" customWidth="1"/>
    <col min="4615" max="4615" width="6.7109375" style="264" customWidth="1"/>
    <col min="4616" max="4616" width="8.7109375" style="264" customWidth="1"/>
    <col min="4617" max="4617" width="10.7109375" style="264" bestFit="1" customWidth="1"/>
    <col min="4618" max="4618" width="9.28515625" style="264" customWidth="1"/>
    <col min="4619" max="4619" width="12.28515625" style="264" bestFit="1" customWidth="1"/>
    <col min="4620" max="4864" width="9.140625" style="264"/>
    <col min="4865" max="4865" width="5.85546875" style="264" customWidth="1"/>
    <col min="4866" max="4866" width="10.5703125" style="264" customWidth="1"/>
    <col min="4867" max="4867" width="43.140625" style="264" customWidth="1"/>
    <col min="4868" max="4868" width="7.7109375" style="264" customWidth="1"/>
    <col min="4869" max="4869" width="6.7109375" style="264" customWidth="1"/>
    <col min="4870" max="4870" width="7.5703125" style="264" customWidth="1"/>
    <col min="4871" max="4871" width="6.7109375" style="264" customWidth="1"/>
    <col min="4872" max="4872" width="8.7109375" style="264" customWidth="1"/>
    <col min="4873" max="4873" width="10.7109375" style="264" bestFit="1" customWidth="1"/>
    <col min="4874" max="4874" width="9.28515625" style="264" customWidth="1"/>
    <col min="4875" max="4875" width="12.28515625" style="264" bestFit="1" customWidth="1"/>
    <col min="4876" max="5120" width="9.140625" style="264"/>
    <col min="5121" max="5121" width="5.85546875" style="264" customWidth="1"/>
    <col min="5122" max="5122" width="10.5703125" style="264" customWidth="1"/>
    <col min="5123" max="5123" width="43.140625" style="264" customWidth="1"/>
    <col min="5124" max="5124" width="7.7109375" style="264" customWidth="1"/>
    <col min="5125" max="5125" width="6.7109375" style="264" customWidth="1"/>
    <col min="5126" max="5126" width="7.5703125" style="264" customWidth="1"/>
    <col min="5127" max="5127" width="6.7109375" style="264" customWidth="1"/>
    <col min="5128" max="5128" width="8.7109375" style="264" customWidth="1"/>
    <col min="5129" max="5129" width="10.7109375" style="264" bestFit="1" customWidth="1"/>
    <col min="5130" max="5130" width="9.28515625" style="264" customWidth="1"/>
    <col min="5131" max="5131" width="12.28515625" style="264" bestFit="1" customWidth="1"/>
    <col min="5132" max="5376" width="9.140625" style="264"/>
    <col min="5377" max="5377" width="5.85546875" style="264" customWidth="1"/>
    <col min="5378" max="5378" width="10.5703125" style="264" customWidth="1"/>
    <col min="5379" max="5379" width="43.140625" style="264" customWidth="1"/>
    <col min="5380" max="5380" width="7.7109375" style="264" customWidth="1"/>
    <col min="5381" max="5381" width="6.7109375" style="264" customWidth="1"/>
    <col min="5382" max="5382" width="7.5703125" style="264" customWidth="1"/>
    <col min="5383" max="5383" width="6.7109375" style="264" customWidth="1"/>
    <col min="5384" max="5384" width="8.7109375" style="264" customWidth="1"/>
    <col min="5385" max="5385" width="10.7109375" style="264" bestFit="1" customWidth="1"/>
    <col min="5386" max="5386" width="9.28515625" style="264" customWidth="1"/>
    <col min="5387" max="5387" width="12.28515625" style="264" bestFit="1" customWidth="1"/>
    <col min="5388" max="5632" width="9.140625" style="264"/>
    <col min="5633" max="5633" width="5.85546875" style="264" customWidth="1"/>
    <col min="5634" max="5634" width="10.5703125" style="264" customWidth="1"/>
    <col min="5635" max="5635" width="43.140625" style="264" customWidth="1"/>
    <col min="5636" max="5636" width="7.7109375" style="264" customWidth="1"/>
    <col min="5637" max="5637" width="6.7109375" style="264" customWidth="1"/>
    <col min="5638" max="5638" width="7.5703125" style="264" customWidth="1"/>
    <col min="5639" max="5639" width="6.7109375" style="264" customWidth="1"/>
    <col min="5640" max="5640" width="8.7109375" style="264" customWidth="1"/>
    <col min="5641" max="5641" width="10.7109375" style="264" bestFit="1" customWidth="1"/>
    <col min="5642" max="5642" width="9.28515625" style="264" customWidth="1"/>
    <col min="5643" max="5643" width="12.28515625" style="264" bestFit="1" customWidth="1"/>
    <col min="5644" max="5888" width="9.140625" style="264"/>
    <col min="5889" max="5889" width="5.85546875" style="264" customWidth="1"/>
    <col min="5890" max="5890" width="10.5703125" style="264" customWidth="1"/>
    <col min="5891" max="5891" width="43.140625" style="264" customWidth="1"/>
    <col min="5892" max="5892" width="7.7109375" style="264" customWidth="1"/>
    <col min="5893" max="5893" width="6.7109375" style="264" customWidth="1"/>
    <col min="5894" max="5894" width="7.5703125" style="264" customWidth="1"/>
    <col min="5895" max="5895" width="6.7109375" style="264" customWidth="1"/>
    <col min="5896" max="5896" width="8.7109375" style="264" customWidth="1"/>
    <col min="5897" max="5897" width="10.7109375" style="264" bestFit="1" customWidth="1"/>
    <col min="5898" max="5898" width="9.28515625" style="264" customWidth="1"/>
    <col min="5899" max="5899" width="12.28515625" style="264" bestFit="1" customWidth="1"/>
    <col min="5900" max="6144" width="9.140625" style="264"/>
    <col min="6145" max="6145" width="5.85546875" style="264" customWidth="1"/>
    <col min="6146" max="6146" width="10.5703125" style="264" customWidth="1"/>
    <col min="6147" max="6147" width="43.140625" style="264" customWidth="1"/>
    <col min="6148" max="6148" width="7.7109375" style="264" customWidth="1"/>
    <col min="6149" max="6149" width="6.7109375" style="264" customWidth="1"/>
    <col min="6150" max="6150" width="7.5703125" style="264" customWidth="1"/>
    <col min="6151" max="6151" width="6.7109375" style="264" customWidth="1"/>
    <col min="6152" max="6152" width="8.7109375" style="264" customWidth="1"/>
    <col min="6153" max="6153" width="10.7109375" style="264" bestFit="1" customWidth="1"/>
    <col min="6154" max="6154" width="9.28515625" style="264" customWidth="1"/>
    <col min="6155" max="6155" width="12.28515625" style="264" bestFit="1" customWidth="1"/>
    <col min="6156" max="6400" width="9.140625" style="264"/>
    <col min="6401" max="6401" width="5.85546875" style="264" customWidth="1"/>
    <col min="6402" max="6402" width="10.5703125" style="264" customWidth="1"/>
    <col min="6403" max="6403" width="43.140625" style="264" customWidth="1"/>
    <col min="6404" max="6404" width="7.7109375" style="264" customWidth="1"/>
    <col min="6405" max="6405" width="6.7109375" style="264" customWidth="1"/>
    <col min="6406" max="6406" width="7.5703125" style="264" customWidth="1"/>
    <col min="6407" max="6407" width="6.7109375" style="264" customWidth="1"/>
    <col min="6408" max="6408" width="8.7109375" style="264" customWidth="1"/>
    <col min="6409" max="6409" width="10.7109375" style="264" bestFit="1" customWidth="1"/>
    <col min="6410" max="6410" width="9.28515625" style="264" customWidth="1"/>
    <col min="6411" max="6411" width="12.28515625" style="264" bestFit="1" customWidth="1"/>
    <col min="6412" max="6656" width="9.140625" style="264"/>
    <col min="6657" max="6657" width="5.85546875" style="264" customWidth="1"/>
    <col min="6658" max="6658" width="10.5703125" style="264" customWidth="1"/>
    <col min="6659" max="6659" width="43.140625" style="264" customWidth="1"/>
    <col min="6660" max="6660" width="7.7109375" style="264" customWidth="1"/>
    <col min="6661" max="6661" width="6.7109375" style="264" customWidth="1"/>
    <col min="6662" max="6662" width="7.5703125" style="264" customWidth="1"/>
    <col min="6663" max="6663" width="6.7109375" style="264" customWidth="1"/>
    <col min="6664" max="6664" width="8.7109375" style="264" customWidth="1"/>
    <col min="6665" max="6665" width="10.7109375" style="264" bestFit="1" customWidth="1"/>
    <col min="6666" max="6666" width="9.28515625" style="264" customWidth="1"/>
    <col min="6667" max="6667" width="12.28515625" style="264" bestFit="1" customWidth="1"/>
    <col min="6668" max="6912" width="9.140625" style="264"/>
    <col min="6913" max="6913" width="5.85546875" style="264" customWidth="1"/>
    <col min="6914" max="6914" width="10.5703125" style="264" customWidth="1"/>
    <col min="6915" max="6915" width="43.140625" style="264" customWidth="1"/>
    <col min="6916" max="6916" width="7.7109375" style="264" customWidth="1"/>
    <col min="6917" max="6917" width="6.7109375" style="264" customWidth="1"/>
    <col min="6918" max="6918" width="7.5703125" style="264" customWidth="1"/>
    <col min="6919" max="6919" width="6.7109375" style="264" customWidth="1"/>
    <col min="6920" max="6920" width="8.7109375" style="264" customWidth="1"/>
    <col min="6921" max="6921" width="10.7109375" style="264" bestFit="1" customWidth="1"/>
    <col min="6922" max="6922" width="9.28515625" style="264" customWidth="1"/>
    <col min="6923" max="6923" width="12.28515625" style="264" bestFit="1" customWidth="1"/>
    <col min="6924" max="7168" width="9.140625" style="264"/>
    <col min="7169" max="7169" width="5.85546875" style="264" customWidth="1"/>
    <col min="7170" max="7170" width="10.5703125" style="264" customWidth="1"/>
    <col min="7171" max="7171" width="43.140625" style="264" customWidth="1"/>
    <col min="7172" max="7172" width="7.7109375" style="264" customWidth="1"/>
    <col min="7173" max="7173" width="6.7109375" style="264" customWidth="1"/>
    <col min="7174" max="7174" width="7.5703125" style="264" customWidth="1"/>
    <col min="7175" max="7175" width="6.7109375" style="264" customWidth="1"/>
    <col min="7176" max="7176" width="8.7109375" style="264" customWidth="1"/>
    <col min="7177" max="7177" width="10.7109375" style="264" bestFit="1" customWidth="1"/>
    <col min="7178" max="7178" width="9.28515625" style="264" customWidth="1"/>
    <col min="7179" max="7179" width="12.28515625" style="264" bestFit="1" customWidth="1"/>
    <col min="7180" max="7424" width="9.140625" style="264"/>
    <col min="7425" max="7425" width="5.85546875" style="264" customWidth="1"/>
    <col min="7426" max="7426" width="10.5703125" style="264" customWidth="1"/>
    <col min="7427" max="7427" width="43.140625" style="264" customWidth="1"/>
    <col min="7428" max="7428" width="7.7109375" style="264" customWidth="1"/>
    <col min="7429" max="7429" width="6.7109375" style="264" customWidth="1"/>
    <col min="7430" max="7430" width="7.5703125" style="264" customWidth="1"/>
    <col min="7431" max="7431" width="6.7109375" style="264" customWidth="1"/>
    <col min="7432" max="7432" width="8.7109375" style="264" customWidth="1"/>
    <col min="7433" max="7433" width="10.7109375" style="264" bestFit="1" customWidth="1"/>
    <col min="7434" max="7434" width="9.28515625" style="264" customWidth="1"/>
    <col min="7435" max="7435" width="12.28515625" style="264" bestFit="1" customWidth="1"/>
    <col min="7436" max="7680" width="9.140625" style="264"/>
    <col min="7681" max="7681" width="5.85546875" style="264" customWidth="1"/>
    <col min="7682" max="7682" width="10.5703125" style="264" customWidth="1"/>
    <col min="7683" max="7683" width="43.140625" style="264" customWidth="1"/>
    <col min="7684" max="7684" width="7.7109375" style="264" customWidth="1"/>
    <col min="7685" max="7685" width="6.7109375" style="264" customWidth="1"/>
    <col min="7686" max="7686" width="7.5703125" style="264" customWidth="1"/>
    <col min="7687" max="7687" width="6.7109375" style="264" customWidth="1"/>
    <col min="7688" max="7688" width="8.7109375" style="264" customWidth="1"/>
    <col min="7689" max="7689" width="10.7109375" style="264" bestFit="1" customWidth="1"/>
    <col min="7690" max="7690" width="9.28515625" style="264" customWidth="1"/>
    <col min="7691" max="7691" width="12.28515625" style="264" bestFit="1" customWidth="1"/>
    <col min="7692" max="7936" width="9.140625" style="264"/>
    <col min="7937" max="7937" width="5.85546875" style="264" customWidth="1"/>
    <col min="7938" max="7938" width="10.5703125" style="264" customWidth="1"/>
    <col min="7939" max="7939" width="43.140625" style="264" customWidth="1"/>
    <col min="7940" max="7940" width="7.7109375" style="264" customWidth="1"/>
    <col min="7941" max="7941" width="6.7109375" style="264" customWidth="1"/>
    <col min="7942" max="7942" width="7.5703125" style="264" customWidth="1"/>
    <col min="7943" max="7943" width="6.7109375" style="264" customWidth="1"/>
    <col min="7944" max="7944" width="8.7109375" style="264" customWidth="1"/>
    <col min="7945" max="7945" width="10.7109375" style="264" bestFit="1" customWidth="1"/>
    <col min="7946" max="7946" width="9.28515625" style="264" customWidth="1"/>
    <col min="7947" max="7947" width="12.28515625" style="264" bestFit="1" customWidth="1"/>
    <col min="7948" max="8192" width="9.140625" style="264"/>
    <col min="8193" max="8193" width="5.85546875" style="264" customWidth="1"/>
    <col min="8194" max="8194" width="10.5703125" style="264" customWidth="1"/>
    <col min="8195" max="8195" width="43.140625" style="264" customWidth="1"/>
    <col min="8196" max="8196" width="7.7109375" style="264" customWidth="1"/>
    <col min="8197" max="8197" width="6.7109375" style="264" customWidth="1"/>
    <col min="8198" max="8198" width="7.5703125" style="264" customWidth="1"/>
    <col min="8199" max="8199" width="6.7109375" style="264" customWidth="1"/>
    <col min="8200" max="8200" width="8.7109375" style="264" customWidth="1"/>
    <col min="8201" max="8201" width="10.7109375" style="264" bestFit="1" customWidth="1"/>
    <col min="8202" max="8202" width="9.28515625" style="264" customWidth="1"/>
    <col min="8203" max="8203" width="12.28515625" style="264" bestFit="1" customWidth="1"/>
    <col min="8204" max="8448" width="9.140625" style="264"/>
    <col min="8449" max="8449" width="5.85546875" style="264" customWidth="1"/>
    <col min="8450" max="8450" width="10.5703125" style="264" customWidth="1"/>
    <col min="8451" max="8451" width="43.140625" style="264" customWidth="1"/>
    <col min="8452" max="8452" width="7.7109375" style="264" customWidth="1"/>
    <col min="8453" max="8453" width="6.7109375" style="264" customWidth="1"/>
    <col min="8454" max="8454" width="7.5703125" style="264" customWidth="1"/>
    <col min="8455" max="8455" width="6.7109375" style="264" customWidth="1"/>
    <col min="8456" max="8456" width="8.7109375" style="264" customWidth="1"/>
    <col min="8457" max="8457" width="10.7109375" style="264" bestFit="1" customWidth="1"/>
    <col min="8458" max="8458" width="9.28515625" style="264" customWidth="1"/>
    <col min="8459" max="8459" width="12.28515625" style="264" bestFit="1" customWidth="1"/>
    <col min="8460" max="8704" width="9.140625" style="264"/>
    <col min="8705" max="8705" width="5.85546875" style="264" customWidth="1"/>
    <col min="8706" max="8706" width="10.5703125" style="264" customWidth="1"/>
    <col min="8707" max="8707" width="43.140625" style="264" customWidth="1"/>
    <col min="8708" max="8708" width="7.7109375" style="264" customWidth="1"/>
    <col min="8709" max="8709" width="6.7109375" style="264" customWidth="1"/>
    <col min="8710" max="8710" width="7.5703125" style="264" customWidth="1"/>
    <col min="8711" max="8711" width="6.7109375" style="264" customWidth="1"/>
    <col min="8712" max="8712" width="8.7109375" style="264" customWidth="1"/>
    <col min="8713" max="8713" width="10.7109375" style="264" bestFit="1" customWidth="1"/>
    <col min="8714" max="8714" width="9.28515625" style="264" customWidth="1"/>
    <col min="8715" max="8715" width="12.28515625" style="264" bestFit="1" customWidth="1"/>
    <col min="8716" max="8960" width="9.140625" style="264"/>
    <col min="8961" max="8961" width="5.85546875" style="264" customWidth="1"/>
    <col min="8962" max="8962" width="10.5703125" style="264" customWidth="1"/>
    <col min="8963" max="8963" width="43.140625" style="264" customWidth="1"/>
    <col min="8964" max="8964" width="7.7109375" style="264" customWidth="1"/>
    <col min="8965" max="8965" width="6.7109375" style="264" customWidth="1"/>
    <col min="8966" max="8966" width="7.5703125" style="264" customWidth="1"/>
    <col min="8967" max="8967" width="6.7109375" style="264" customWidth="1"/>
    <col min="8968" max="8968" width="8.7109375" style="264" customWidth="1"/>
    <col min="8969" max="8969" width="10.7109375" style="264" bestFit="1" customWidth="1"/>
    <col min="8970" max="8970" width="9.28515625" style="264" customWidth="1"/>
    <col min="8971" max="8971" width="12.28515625" style="264" bestFit="1" customWidth="1"/>
    <col min="8972" max="9216" width="9.140625" style="264"/>
    <col min="9217" max="9217" width="5.85546875" style="264" customWidth="1"/>
    <col min="9218" max="9218" width="10.5703125" style="264" customWidth="1"/>
    <col min="9219" max="9219" width="43.140625" style="264" customWidth="1"/>
    <col min="9220" max="9220" width="7.7109375" style="264" customWidth="1"/>
    <col min="9221" max="9221" width="6.7109375" style="264" customWidth="1"/>
    <col min="9222" max="9222" width="7.5703125" style="264" customWidth="1"/>
    <col min="9223" max="9223" width="6.7109375" style="264" customWidth="1"/>
    <col min="9224" max="9224" width="8.7109375" style="264" customWidth="1"/>
    <col min="9225" max="9225" width="10.7109375" style="264" bestFit="1" customWidth="1"/>
    <col min="9226" max="9226" width="9.28515625" style="264" customWidth="1"/>
    <col min="9227" max="9227" width="12.28515625" style="264" bestFit="1" customWidth="1"/>
    <col min="9228" max="9472" width="9.140625" style="264"/>
    <col min="9473" max="9473" width="5.85546875" style="264" customWidth="1"/>
    <col min="9474" max="9474" width="10.5703125" style="264" customWidth="1"/>
    <col min="9475" max="9475" width="43.140625" style="264" customWidth="1"/>
    <col min="9476" max="9476" width="7.7109375" style="264" customWidth="1"/>
    <col min="9477" max="9477" width="6.7109375" style="264" customWidth="1"/>
    <col min="9478" max="9478" width="7.5703125" style="264" customWidth="1"/>
    <col min="9479" max="9479" width="6.7109375" style="264" customWidth="1"/>
    <col min="9480" max="9480" width="8.7109375" style="264" customWidth="1"/>
    <col min="9481" max="9481" width="10.7109375" style="264" bestFit="1" customWidth="1"/>
    <col min="9482" max="9482" width="9.28515625" style="264" customWidth="1"/>
    <col min="9483" max="9483" width="12.28515625" style="264" bestFit="1" customWidth="1"/>
    <col min="9484" max="9728" width="9.140625" style="264"/>
    <col min="9729" max="9729" width="5.85546875" style="264" customWidth="1"/>
    <col min="9730" max="9730" width="10.5703125" style="264" customWidth="1"/>
    <col min="9731" max="9731" width="43.140625" style="264" customWidth="1"/>
    <col min="9732" max="9732" width="7.7109375" style="264" customWidth="1"/>
    <col min="9733" max="9733" width="6.7109375" style="264" customWidth="1"/>
    <col min="9734" max="9734" width="7.5703125" style="264" customWidth="1"/>
    <col min="9735" max="9735" width="6.7109375" style="264" customWidth="1"/>
    <col min="9736" max="9736" width="8.7109375" style="264" customWidth="1"/>
    <col min="9737" max="9737" width="10.7109375" style="264" bestFit="1" customWidth="1"/>
    <col min="9738" max="9738" width="9.28515625" style="264" customWidth="1"/>
    <col min="9739" max="9739" width="12.28515625" style="264" bestFit="1" customWidth="1"/>
    <col min="9740" max="9984" width="9.140625" style="264"/>
    <col min="9985" max="9985" width="5.85546875" style="264" customWidth="1"/>
    <col min="9986" max="9986" width="10.5703125" style="264" customWidth="1"/>
    <col min="9987" max="9987" width="43.140625" style="264" customWidth="1"/>
    <col min="9988" max="9988" width="7.7109375" style="264" customWidth="1"/>
    <col min="9989" max="9989" width="6.7109375" style="264" customWidth="1"/>
    <col min="9990" max="9990" width="7.5703125" style="264" customWidth="1"/>
    <col min="9991" max="9991" width="6.7109375" style="264" customWidth="1"/>
    <col min="9992" max="9992" width="8.7109375" style="264" customWidth="1"/>
    <col min="9993" max="9993" width="10.7109375" style="264" bestFit="1" customWidth="1"/>
    <col min="9994" max="9994" width="9.28515625" style="264" customWidth="1"/>
    <col min="9995" max="9995" width="12.28515625" style="264" bestFit="1" customWidth="1"/>
    <col min="9996" max="10240" width="9.140625" style="264"/>
    <col min="10241" max="10241" width="5.85546875" style="264" customWidth="1"/>
    <col min="10242" max="10242" width="10.5703125" style="264" customWidth="1"/>
    <col min="10243" max="10243" width="43.140625" style="264" customWidth="1"/>
    <col min="10244" max="10244" width="7.7109375" style="264" customWidth="1"/>
    <col min="10245" max="10245" width="6.7109375" style="264" customWidth="1"/>
    <col min="10246" max="10246" width="7.5703125" style="264" customWidth="1"/>
    <col min="10247" max="10247" width="6.7109375" style="264" customWidth="1"/>
    <col min="10248" max="10248" width="8.7109375" style="264" customWidth="1"/>
    <col min="10249" max="10249" width="10.7109375" style="264" bestFit="1" customWidth="1"/>
    <col min="10250" max="10250" width="9.28515625" style="264" customWidth="1"/>
    <col min="10251" max="10251" width="12.28515625" style="264" bestFit="1" customWidth="1"/>
    <col min="10252" max="10496" width="9.140625" style="264"/>
    <col min="10497" max="10497" width="5.85546875" style="264" customWidth="1"/>
    <col min="10498" max="10498" width="10.5703125" style="264" customWidth="1"/>
    <col min="10499" max="10499" width="43.140625" style="264" customWidth="1"/>
    <col min="10500" max="10500" width="7.7109375" style="264" customWidth="1"/>
    <col min="10501" max="10501" width="6.7109375" style="264" customWidth="1"/>
    <col min="10502" max="10502" width="7.5703125" style="264" customWidth="1"/>
    <col min="10503" max="10503" width="6.7109375" style="264" customWidth="1"/>
    <col min="10504" max="10504" width="8.7109375" style="264" customWidth="1"/>
    <col min="10505" max="10505" width="10.7109375" style="264" bestFit="1" customWidth="1"/>
    <col min="10506" max="10506" width="9.28515625" style="264" customWidth="1"/>
    <col min="10507" max="10507" width="12.28515625" style="264" bestFit="1" customWidth="1"/>
    <col min="10508" max="10752" width="9.140625" style="264"/>
    <col min="10753" max="10753" width="5.85546875" style="264" customWidth="1"/>
    <col min="10754" max="10754" width="10.5703125" style="264" customWidth="1"/>
    <col min="10755" max="10755" width="43.140625" style="264" customWidth="1"/>
    <col min="10756" max="10756" width="7.7109375" style="264" customWidth="1"/>
    <col min="10757" max="10757" width="6.7109375" style="264" customWidth="1"/>
    <col min="10758" max="10758" width="7.5703125" style="264" customWidth="1"/>
    <col min="10759" max="10759" width="6.7109375" style="264" customWidth="1"/>
    <col min="10760" max="10760" width="8.7109375" style="264" customWidth="1"/>
    <col min="10761" max="10761" width="10.7109375" style="264" bestFit="1" customWidth="1"/>
    <col min="10762" max="10762" width="9.28515625" style="264" customWidth="1"/>
    <col min="10763" max="10763" width="12.28515625" style="264" bestFit="1" customWidth="1"/>
    <col min="10764" max="11008" width="9.140625" style="264"/>
    <col min="11009" max="11009" width="5.85546875" style="264" customWidth="1"/>
    <col min="11010" max="11010" width="10.5703125" style="264" customWidth="1"/>
    <col min="11011" max="11011" width="43.140625" style="264" customWidth="1"/>
    <col min="11012" max="11012" width="7.7109375" style="264" customWidth="1"/>
    <col min="11013" max="11013" width="6.7109375" style="264" customWidth="1"/>
    <col min="11014" max="11014" width="7.5703125" style="264" customWidth="1"/>
    <col min="11015" max="11015" width="6.7109375" style="264" customWidth="1"/>
    <col min="11016" max="11016" width="8.7109375" style="264" customWidth="1"/>
    <col min="11017" max="11017" width="10.7109375" style="264" bestFit="1" customWidth="1"/>
    <col min="11018" max="11018" width="9.28515625" style="264" customWidth="1"/>
    <col min="11019" max="11019" width="12.28515625" style="264" bestFit="1" customWidth="1"/>
    <col min="11020" max="11264" width="9.140625" style="264"/>
    <col min="11265" max="11265" width="5.85546875" style="264" customWidth="1"/>
    <col min="11266" max="11266" width="10.5703125" style="264" customWidth="1"/>
    <col min="11267" max="11267" width="43.140625" style="264" customWidth="1"/>
    <col min="11268" max="11268" width="7.7109375" style="264" customWidth="1"/>
    <col min="11269" max="11269" width="6.7109375" style="264" customWidth="1"/>
    <col min="11270" max="11270" width="7.5703125" style="264" customWidth="1"/>
    <col min="11271" max="11271" width="6.7109375" style="264" customWidth="1"/>
    <col min="11272" max="11272" width="8.7109375" style="264" customWidth="1"/>
    <col min="11273" max="11273" width="10.7109375" style="264" bestFit="1" customWidth="1"/>
    <col min="11274" max="11274" width="9.28515625" style="264" customWidth="1"/>
    <col min="11275" max="11275" width="12.28515625" style="264" bestFit="1" customWidth="1"/>
    <col min="11276" max="11520" width="9.140625" style="264"/>
    <col min="11521" max="11521" width="5.85546875" style="264" customWidth="1"/>
    <col min="11522" max="11522" width="10.5703125" style="264" customWidth="1"/>
    <col min="11523" max="11523" width="43.140625" style="264" customWidth="1"/>
    <col min="11524" max="11524" width="7.7109375" style="264" customWidth="1"/>
    <col min="11525" max="11525" width="6.7109375" style="264" customWidth="1"/>
    <col min="11526" max="11526" width="7.5703125" style="264" customWidth="1"/>
    <col min="11527" max="11527" width="6.7109375" style="264" customWidth="1"/>
    <col min="11528" max="11528" width="8.7109375" style="264" customWidth="1"/>
    <col min="11529" max="11529" width="10.7109375" style="264" bestFit="1" customWidth="1"/>
    <col min="11530" max="11530" width="9.28515625" style="264" customWidth="1"/>
    <col min="11531" max="11531" width="12.28515625" style="264" bestFit="1" customWidth="1"/>
    <col min="11532" max="11776" width="9.140625" style="264"/>
    <col min="11777" max="11777" width="5.85546875" style="264" customWidth="1"/>
    <col min="11778" max="11778" width="10.5703125" style="264" customWidth="1"/>
    <col min="11779" max="11779" width="43.140625" style="264" customWidth="1"/>
    <col min="11780" max="11780" width="7.7109375" style="264" customWidth="1"/>
    <col min="11781" max="11781" width="6.7109375" style="264" customWidth="1"/>
    <col min="11782" max="11782" width="7.5703125" style="264" customWidth="1"/>
    <col min="11783" max="11783" width="6.7109375" style="264" customWidth="1"/>
    <col min="11784" max="11784" width="8.7109375" style="264" customWidth="1"/>
    <col min="11785" max="11785" width="10.7109375" style="264" bestFit="1" customWidth="1"/>
    <col min="11786" max="11786" width="9.28515625" style="264" customWidth="1"/>
    <col min="11787" max="11787" width="12.28515625" style="264" bestFit="1" customWidth="1"/>
    <col min="11788" max="12032" width="9.140625" style="264"/>
    <col min="12033" max="12033" width="5.85546875" style="264" customWidth="1"/>
    <col min="12034" max="12034" width="10.5703125" style="264" customWidth="1"/>
    <col min="12035" max="12035" width="43.140625" style="264" customWidth="1"/>
    <col min="12036" max="12036" width="7.7109375" style="264" customWidth="1"/>
    <col min="12037" max="12037" width="6.7109375" style="264" customWidth="1"/>
    <col min="12038" max="12038" width="7.5703125" style="264" customWidth="1"/>
    <col min="12039" max="12039" width="6.7109375" style="264" customWidth="1"/>
    <col min="12040" max="12040" width="8.7109375" style="264" customWidth="1"/>
    <col min="12041" max="12041" width="10.7109375" style="264" bestFit="1" customWidth="1"/>
    <col min="12042" max="12042" width="9.28515625" style="264" customWidth="1"/>
    <col min="12043" max="12043" width="12.28515625" style="264" bestFit="1" customWidth="1"/>
    <col min="12044" max="12288" width="9.140625" style="264"/>
    <col min="12289" max="12289" width="5.85546875" style="264" customWidth="1"/>
    <col min="12290" max="12290" width="10.5703125" style="264" customWidth="1"/>
    <col min="12291" max="12291" width="43.140625" style="264" customWidth="1"/>
    <col min="12292" max="12292" width="7.7109375" style="264" customWidth="1"/>
    <col min="12293" max="12293" width="6.7109375" style="264" customWidth="1"/>
    <col min="12294" max="12294" width="7.5703125" style="264" customWidth="1"/>
    <col min="12295" max="12295" width="6.7109375" style="264" customWidth="1"/>
    <col min="12296" max="12296" width="8.7109375" style="264" customWidth="1"/>
    <col min="12297" max="12297" width="10.7109375" style="264" bestFit="1" customWidth="1"/>
    <col min="12298" max="12298" width="9.28515625" style="264" customWidth="1"/>
    <col min="12299" max="12299" width="12.28515625" style="264" bestFit="1" customWidth="1"/>
    <col min="12300" max="12544" width="9.140625" style="264"/>
    <col min="12545" max="12545" width="5.85546875" style="264" customWidth="1"/>
    <col min="12546" max="12546" width="10.5703125" style="264" customWidth="1"/>
    <col min="12547" max="12547" width="43.140625" style="264" customWidth="1"/>
    <col min="12548" max="12548" width="7.7109375" style="264" customWidth="1"/>
    <col min="12549" max="12549" width="6.7109375" style="264" customWidth="1"/>
    <col min="12550" max="12550" width="7.5703125" style="264" customWidth="1"/>
    <col min="12551" max="12551" width="6.7109375" style="264" customWidth="1"/>
    <col min="12552" max="12552" width="8.7109375" style="264" customWidth="1"/>
    <col min="12553" max="12553" width="10.7109375" style="264" bestFit="1" customWidth="1"/>
    <col min="12554" max="12554" width="9.28515625" style="264" customWidth="1"/>
    <col min="12555" max="12555" width="12.28515625" style="264" bestFit="1" customWidth="1"/>
    <col min="12556" max="12800" width="9.140625" style="264"/>
    <col min="12801" max="12801" width="5.85546875" style="264" customWidth="1"/>
    <col min="12802" max="12802" width="10.5703125" style="264" customWidth="1"/>
    <col min="12803" max="12803" width="43.140625" style="264" customWidth="1"/>
    <col min="12804" max="12804" width="7.7109375" style="264" customWidth="1"/>
    <col min="12805" max="12805" width="6.7109375" style="264" customWidth="1"/>
    <col min="12806" max="12806" width="7.5703125" style="264" customWidth="1"/>
    <col min="12807" max="12807" width="6.7109375" style="264" customWidth="1"/>
    <col min="12808" max="12808" width="8.7109375" style="264" customWidth="1"/>
    <col min="12809" max="12809" width="10.7109375" style="264" bestFit="1" customWidth="1"/>
    <col min="12810" max="12810" width="9.28515625" style="264" customWidth="1"/>
    <col min="12811" max="12811" width="12.28515625" style="264" bestFit="1" customWidth="1"/>
    <col min="12812" max="13056" width="9.140625" style="264"/>
    <col min="13057" max="13057" width="5.85546875" style="264" customWidth="1"/>
    <col min="13058" max="13058" width="10.5703125" style="264" customWidth="1"/>
    <col min="13059" max="13059" width="43.140625" style="264" customWidth="1"/>
    <col min="13060" max="13060" width="7.7109375" style="264" customWidth="1"/>
    <col min="13061" max="13061" width="6.7109375" style="264" customWidth="1"/>
    <col min="13062" max="13062" width="7.5703125" style="264" customWidth="1"/>
    <col min="13063" max="13063" width="6.7109375" style="264" customWidth="1"/>
    <col min="13064" max="13064" width="8.7109375" style="264" customWidth="1"/>
    <col min="13065" max="13065" width="10.7109375" style="264" bestFit="1" customWidth="1"/>
    <col min="13066" max="13066" width="9.28515625" style="264" customWidth="1"/>
    <col min="13067" max="13067" width="12.28515625" style="264" bestFit="1" customWidth="1"/>
    <col min="13068" max="13312" width="9.140625" style="264"/>
    <col min="13313" max="13313" width="5.85546875" style="264" customWidth="1"/>
    <col min="13314" max="13314" width="10.5703125" style="264" customWidth="1"/>
    <col min="13315" max="13315" width="43.140625" style="264" customWidth="1"/>
    <col min="13316" max="13316" width="7.7109375" style="264" customWidth="1"/>
    <col min="13317" max="13317" width="6.7109375" style="264" customWidth="1"/>
    <col min="13318" max="13318" width="7.5703125" style="264" customWidth="1"/>
    <col min="13319" max="13319" width="6.7109375" style="264" customWidth="1"/>
    <col min="13320" max="13320" width="8.7109375" style="264" customWidth="1"/>
    <col min="13321" max="13321" width="10.7109375" style="264" bestFit="1" customWidth="1"/>
    <col min="13322" max="13322" width="9.28515625" style="264" customWidth="1"/>
    <col min="13323" max="13323" width="12.28515625" style="264" bestFit="1" customWidth="1"/>
    <col min="13324" max="13568" width="9.140625" style="264"/>
    <col min="13569" max="13569" width="5.85546875" style="264" customWidth="1"/>
    <col min="13570" max="13570" width="10.5703125" style="264" customWidth="1"/>
    <col min="13571" max="13571" width="43.140625" style="264" customWidth="1"/>
    <col min="13572" max="13572" width="7.7109375" style="264" customWidth="1"/>
    <col min="13573" max="13573" width="6.7109375" style="264" customWidth="1"/>
    <col min="13574" max="13574" width="7.5703125" style="264" customWidth="1"/>
    <col min="13575" max="13575" width="6.7109375" style="264" customWidth="1"/>
    <col min="13576" max="13576" width="8.7109375" style="264" customWidth="1"/>
    <col min="13577" max="13577" width="10.7109375" style="264" bestFit="1" customWidth="1"/>
    <col min="13578" max="13578" width="9.28515625" style="264" customWidth="1"/>
    <col min="13579" max="13579" width="12.28515625" style="264" bestFit="1" customWidth="1"/>
    <col min="13580" max="13824" width="9.140625" style="264"/>
    <col min="13825" max="13825" width="5.85546875" style="264" customWidth="1"/>
    <col min="13826" max="13826" width="10.5703125" style="264" customWidth="1"/>
    <col min="13827" max="13827" width="43.140625" style="264" customWidth="1"/>
    <col min="13828" max="13828" width="7.7109375" style="264" customWidth="1"/>
    <col min="13829" max="13829" width="6.7109375" style="264" customWidth="1"/>
    <col min="13830" max="13830" width="7.5703125" style="264" customWidth="1"/>
    <col min="13831" max="13831" width="6.7109375" style="264" customWidth="1"/>
    <col min="13832" max="13832" width="8.7109375" style="264" customWidth="1"/>
    <col min="13833" max="13833" width="10.7109375" style="264" bestFit="1" customWidth="1"/>
    <col min="13834" max="13834" width="9.28515625" style="264" customWidth="1"/>
    <col min="13835" max="13835" width="12.28515625" style="264" bestFit="1" customWidth="1"/>
    <col min="13836" max="14080" width="9.140625" style="264"/>
    <col min="14081" max="14081" width="5.85546875" style="264" customWidth="1"/>
    <col min="14082" max="14082" width="10.5703125" style="264" customWidth="1"/>
    <col min="14083" max="14083" width="43.140625" style="264" customWidth="1"/>
    <col min="14084" max="14084" width="7.7109375" style="264" customWidth="1"/>
    <col min="14085" max="14085" width="6.7109375" style="264" customWidth="1"/>
    <col min="14086" max="14086" width="7.5703125" style="264" customWidth="1"/>
    <col min="14087" max="14087" width="6.7109375" style="264" customWidth="1"/>
    <col min="14088" max="14088" width="8.7109375" style="264" customWidth="1"/>
    <col min="14089" max="14089" width="10.7109375" style="264" bestFit="1" customWidth="1"/>
    <col min="14090" max="14090" width="9.28515625" style="264" customWidth="1"/>
    <col min="14091" max="14091" width="12.28515625" style="264" bestFit="1" customWidth="1"/>
    <col min="14092" max="14336" width="9.140625" style="264"/>
    <col min="14337" max="14337" width="5.85546875" style="264" customWidth="1"/>
    <col min="14338" max="14338" width="10.5703125" style="264" customWidth="1"/>
    <col min="14339" max="14339" width="43.140625" style="264" customWidth="1"/>
    <col min="14340" max="14340" width="7.7109375" style="264" customWidth="1"/>
    <col min="14341" max="14341" width="6.7109375" style="264" customWidth="1"/>
    <col min="14342" max="14342" width="7.5703125" style="264" customWidth="1"/>
    <col min="14343" max="14343" width="6.7109375" style="264" customWidth="1"/>
    <col min="14344" max="14344" width="8.7109375" style="264" customWidth="1"/>
    <col min="14345" max="14345" width="10.7109375" style="264" bestFit="1" customWidth="1"/>
    <col min="14346" max="14346" width="9.28515625" style="264" customWidth="1"/>
    <col min="14347" max="14347" width="12.28515625" style="264" bestFit="1" customWidth="1"/>
    <col min="14348" max="14592" width="9.140625" style="264"/>
    <col min="14593" max="14593" width="5.85546875" style="264" customWidth="1"/>
    <col min="14594" max="14594" width="10.5703125" style="264" customWidth="1"/>
    <col min="14595" max="14595" width="43.140625" style="264" customWidth="1"/>
    <col min="14596" max="14596" width="7.7109375" style="264" customWidth="1"/>
    <col min="14597" max="14597" width="6.7109375" style="264" customWidth="1"/>
    <col min="14598" max="14598" width="7.5703125" style="264" customWidth="1"/>
    <col min="14599" max="14599" width="6.7109375" style="264" customWidth="1"/>
    <col min="14600" max="14600" width="8.7109375" style="264" customWidth="1"/>
    <col min="14601" max="14601" width="10.7109375" style="264" bestFit="1" customWidth="1"/>
    <col min="14602" max="14602" width="9.28515625" style="264" customWidth="1"/>
    <col min="14603" max="14603" width="12.28515625" style="264" bestFit="1" customWidth="1"/>
    <col min="14604" max="14848" width="9.140625" style="264"/>
    <col min="14849" max="14849" width="5.85546875" style="264" customWidth="1"/>
    <col min="14850" max="14850" width="10.5703125" style="264" customWidth="1"/>
    <col min="14851" max="14851" width="43.140625" style="264" customWidth="1"/>
    <col min="14852" max="14852" width="7.7109375" style="264" customWidth="1"/>
    <col min="14853" max="14853" width="6.7109375" style="264" customWidth="1"/>
    <col min="14854" max="14854" width="7.5703125" style="264" customWidth="1"/>
    <col min="14855" max="14855" width="6.7109375" style="264" customWidth="1"/>
    <col min="14856" max="14856" width="8.7109375" style="264" customWidth="1"/>
    <col min="14857" max="14857" width="10.7109375" style="264" bestFit="1" customWidth="1"/>
    <col min="14858" max="14858" width="9.28515625" style="264" customWidth="1"/>
    <col min="14859" max="14859" width="12.28515625" style="264" bestFit="1" customWidth="1"/>
    <col min="14860" max="15104" width="9.140625" style="264"/>
    <col min="15105" max="15105" width="5.85546875" style="264" customWidth="1"/>
    <col min="15106" max="15106" width="10.5703125" style="264" customWidth="1"/>
    <col min="15107" max="15107" width="43.140625" style="264" customWidth="1"/>
    <col min="15108" max="15108" width="7.7109375" style="264" customWidth="1"/>
    <col min="15109" max="15109" width="6.7109375" style="264" customWidth="1"/>
    <col min="15110" max="15110" width="7.5703125" style="264" customWidth="1"/>
    <col min="15111" max="15111" width="6.7109375" style="264" customWidth="1"/>
    <col min="15112" max="15112" width="8.7109375" style="264" customWidth="1"/>
    <col min="15113" max="15113" width="10.7109375" style="264" bestFit="1" customWidth="1"/>
    <col min="15114" max="15114" width="9.28515625" style="264" customWidth="1"/>
    <col min="15115" max="15115" width="12.28515625" style="264" bestFit="1" customWidth="1"/>
    <col min="15116" max="15360" width="9.140625" style="264"/>
    <col min="15361" max="15361" width="5.85546875" style="264" customWidth="1"/>
    <col min="15362" max="15362" width="10.5703125" style="264" customWidth="1"/>
    <col min="15363" max="15363" width="43.140625" style="264" customWidth="1"/>
    <col min="15364" max="15364" width="7.7109375" style="264" customWidth="1"/>
    <col min="15365" max="15365" width="6.7109375" style="264" customWidth="1"/>
    <col min="15366" max="15366" width="7.5703125" style="264" customWidth="1"/>
    <col min="15367" max="15367" width="6.7109375" style="264" customWidth="1"/>
    <col min="15368" max="15368" width="8.7109375" style="264" customWidth="1"/>
    <col min="15369" max="15369" width="10.7109375" style="264" bestFit="1" customWidth="1"/>
    <col min="15370" max="15370" width="9.28515625" style="264" customWidth="1"/>
    <col min="15371" max="15371" width="12.28515625" style="264" bestFit="1" customWidth="1"/>
    <col min="15372" max="15616" width="9.140625" style="264"/>
    <col min="15617" max="15617" width="5.85546875" style="264" customWidth="1"/>
    <col min="15618" max="15618" width="10.5703125" style="264" customWidth="1"/>
    <col min="15619" max="15619" width="43.140625" style="264" customWidth="1"/>
    <col min="15620" max="15620" width="7.7109375" style="264" customWidth="1"/>
    <col min="15621" max="15621" width="6.7109375" style="264" customWidth="1"/>
    <col min="15622" max="15622" width="7.5703125" style="264" customWidth="1"/>
    <col min="15623" max="15623" width="6.7109375" style="264" customWidth="1"/>
    <col min="15624" max="15624" width="8.7109375" style="264" customWidth="1"/>
    <col min="15625" max="15625" width="10.7109375" style="264" bestFit="1" customWidth="1"/>
    <col min="15626" max="15626" width="9.28515625" style="264" customWidth="1"/>
    <col min="15627" max="15627" width="12.28515625" style="264" bestFit="1" customWidth="1"/>
    <col min="15628" max="15872" width="9.140625" style="264"/>
    <col min="15873" max="15873" width="5.85546875" style="264" customWidth="1"/>
    <col min="15874" max="15874" width="10.5703125" style="264" customWidth="1"/>
    <col min="15875" max="15875" width="43.140625" style="264" customWidth="1"/>
    <col min="15876" max="15876" width="7.7109375" style="264" customWidth="1"/>
    <col min="15877" max="15877" width="6.7109375" style="264" customWidth="1"/>
    <col min="15878" max="15878" width="7.5703125" style="264" customWidth="1"/>
    <col min="15879" max="15879" width="6.7109375" style="264" customWidth="1"/>
    <col min="15880" max="15880" width="8.7109375" style="264" customWidth="1"/>
    <col min="15881" max="15881" width="10.7109375" style="264" bestFit="1" customWidth="1"/>
    <col min="15882" max="15882" width="9.28515625" style="264" customWidth="1"/>
    <col min="15883" max="15883" width="12.28515625" style="264" bestFit="1" customWidth="1"/>
    <col min="15884" max="16128" width="9.140625" style="264"/>
    <col min="16129" max="16129" width="5.85546875" style="264" customWidth="1"/>
    <col min="16130" max="16130" width="10.5703125" style="264" customWidth="1"/>
    <col min="16131" max="16131" width="43.140625" style="264" customWidth="1"/>
    <col min="16132" max="16132" width="7.7109375" style="264" customWidth="1"/>
    <col min="16133" max="16133" width="6.7109375" style="264" customWidth="1"/>
    <col min="16134" max="16134" width="7.5703125" style="264" customWidth="1"/>
    <col min="16135" max="16135" width="6.7109375" style="264" customWidth="1"/>
    <col min="16136" max="16136" width="8.7109375" style="264" customWidth="1"/>
    <col min="16137" max="16137" width="10.7109375" style="264" bestFit="1" customWidth="1"/>
    <col min="16138" max="16138" width="9.28515625" style="264" customWidth="1"/>
    <col min="16139" max="16139" width="12.28515625" style="264" bestFit="1" customWidth="1"/>
    <col min="16140" max="16384" width="9.140625" style="264"/>
  </cols>
  <sheetData>
    <row r="2" spans="1:10" ht="25.5" customHeight="1" x14ac:dyDescent="0.2">
      <c r="A2" s="725" t="s">
        <v>418</v>
      </c>
      <c r="B2" s="725"/>
      <c r="C2" s="725"/>
      <c r="D2" s="725"/>
      <c r="E2" s="725"/>
      <c r="F2" s="725"/>
      <c r="G2" s="725"/>
      <c r="H2" s="725"/>
    </row>
    <row r="3" spans="1:10" ht="8.25" customHeight="1" x14ac:dyDescent="0.2"/>
    <row r="4" spans="1:10" ht="33" customHeight="1" x14ac:dyDescent="0.2">
      <c r="A4" s="726" t="s">
        <v>416</v>
      </c>
      <c r="B4" s="726"/>
      <c r="C4" s="726"/>
      <c r="D4" s="726"/>
      <c r="E4" s="726"/>
      <c r="F4" s="726"/>
      <c r="G4" s="726"/>
      <c r="H4" s="726"/>
      <c r="J4" s="264" t="s">
        <v>38</v>
      </c>
    </row>
    <row r="5" spans="1:10" ht="8.25" customHeight="1" x14ac:dyDescent="0.2">
      <c r="A5" s="726"/>
      <c r="B5" s="726"/>
      <c r="C5" s="726"/>
      <c r="D5" s="726"/>
      <c r="E5" s="726"/>
      <c r="F5" s="726"/>
      <c r="G5" s="726"/>
      <c r="H5" s="726"/>
    </row>
    <row r="6" spans="1:10" ht="20.100000000000001" customHeight="1" x14ac:dyDescent="0.2">
      <c r="C6" s="264" t="s">
        <v>12</v>
      </c>
      <c r="D6" s="140">
        <f>H40/1000</f>
        <v>0</v>
      </c>
      <c r="E6" s="140"/>
      <c r="F6" s="716" t="s">
        <v>9</v>
      </c>
      <c r="G6" s="716"/>
      <c r="H6" s="716"/>
    </row>
    <row r="7" spans="1:10" ht="20.100000000000001" customHeight="1" x14ac:dyDescent="0.2">
      <c r="B7" s="726" t="s">
        <v>13</v>
      </c>
      <c r="C7" s="726"/>
      <c r="D7" s="140">
        <f>H33*0.001</f>
        <v>0</v>
      </c>
      <c r="E7" s="140"/>
      <c r="F7" s="716" t="s">
        <v>9</v>
      </c>
      <c r="G7" s="716"/>
      <c r="H7" s="716"/>
      <c r="I7" s="141"/>
    </row>
    <row r="8" spans="1:10" ht="20.100000000000001" customHeight="1" x14ac:dyDescent="0.2">
      <c r="A8" s="715" t="s">
        <v>15</v>
      </c>
      <c r="B8" s="715"/>
      <c r="C8" s="716" t="s">
        <v>238</v>
      </c>
      <c r="D8" s="716"/>
      <c r="E8" s="716"/>
      <c r="F8" s="716"/>
      <c r="G8" s="716"/>
      <c r="H8" s="716"/>
    </row>
    <row r="9" spans="1:10" ht="18.75" customHeight="1" x14ac:dyDescent="0.2">
      <c r="A9" s="717"/>
      <c r="B9" s="717"/>
      <c r="C9" s="717"/>
      <c r="D9" s="717"/>
      <c r="E9" s="717"/>
      <c r="F9" s="717"/>
      <c r="G9" s="717"/>
      <c r="H9" s="717"/>
    </row>
    <row r="10" spans="1:10" ht="44.25" customHeight="1" x14ac:dyDescent="0.2">
      <c r="A10" s="718" t="s">
        <v>39</v>
      </c>
      <c r="B10" s="720" t="s">
        <v>15</v>
      </c>
      <c r="C10" s="718" t="s">
        <v>16</v>
      </c>
      <c r="D10" s="720" t="s">
        <v>75</v>
      </c>
      <c r="E10" s="723" t="s">
        <v>17</v>
      </c>
      <c r="F10" s="724"/>
      <c r="G10" s="723" t="s">
        <v>12</v>
      </c>
      <c r="H10" s="724"/>
    </row>
    <row r="11" spans="1:10" ht="81.75" customHeight="1" x14ac:dyDescent="0.2">
      <c r="A11" s="719"/>
      <c r="B11" s="721"/>
      <c r="C11" s="719"/>
      <c r="D11" s="722"/>
      <c r="E11" s="263" t="s">
        <v>239</v>
      </c>
      <c r="F11" s="263" t="s">
        <v>240</v>
      </c>
      <c r="G11" s="263" t="s">
        <v>239</v>
      </c>
      <c r="H11" s="142" t="s">
        <v>18</v>
      </c>
    </row>
    <row r="12" spans="1:10" ht="12.75" customHeight="1" x14ac:dyDescent="0.2">
      <c r="A12" s="262">
        <v>1</v>
      </c>
      <c r="B12" s="262">
        <v>2</v>
      </c>
      <c r="C12" s="262">
        <v>3</v>
      </c>
      <c r="D12" s="143">
        <v>4</v>
      </c>
      <c r="E12" s="143">
        <v>5</v>
      </c>
      <c r="F12" s="143">
        <v>6</v>
      </c>
      <c r="G12" s="143">
        <v>7</v>
      </c>
      <c r="H12" s="262">
        <v>8</v>
      </c>
    </row>
    <row r="13" spans="1:10" ht="36" customHeight="1" x14ac:dyDescent="0.2">
      <c r="A13" s="144">
        <v>1</v>
      </c>
      <c r="B13" s="143" t="s">
        <v>249</v>
      </c>
      <c r="C13" s="162" t="s">
        <v>250</v>
      </c>
      <c r="D13" s="144" t="s">
        <v>241</v>
      </c>
      <c r="E13" s="143"/>
      <c r="F13" s="146">
        <v>70</v>
      </c>
      <c r="G13" s="147"/>
      <c r="H13" s="163">
        <f>SUM(H14:H16)</f>
        <v>0</v>
      </c>
      <c r="I13" s="141"/>
    </row>
    <row r="14" spans="1:10" ht="36.75" customHeight="1" x14ac:dyDescent="0.2">
      <c r="A14" s="143">
        <f>A13+0.1</f>
        <v>1.1000000000000001</v>
      </c>
      <c r="B14" s="143"/>
      <c r="C14" s="153" t="s">
        <v>23</v>
      </c>
      <c r="D14" s="148" t="s">
        <v>24</v>
      </c>
      <c r="E14" s="148">
        <v>0.28000000000000003</v>
      </c>
      <c r="F14" s="149">
        <f>F13*E14</f>
        <v>19.600000000000001</v>
      </c>
      <c r="G14" s="149"/>
      <c r="H14" s="164">
        <f>F14*G14</f>
        <v>0</v>
      </c>
      <c r="I14" s="141"/>
      <c r="J14" s="140"/>
    </row>
    <row r="15" spans="1:10" ht="21.75" customHeight="1" x14ac:dyDescent="0.2">
      <c r="A15" s="143">
        <f>A14+0.1</f>
        <v>1.2</v>
      </c>
      <c r="B15" s="143"/>
      <c r="C15" s="153" t="s">
        <v>225</v>
      </c>
      <c r="D15" s="150" t="s">
        <v>199</v>
      </c>
      <c r="E15" s="150">
        <v>1.6E-2</v>
      </c>
      <c r="F15" s="150">
        <f>E15*F13</f>
        <v>1.1200000000000001</v>
      </c>
      <c r="G15" s="150"/>
      <c r="H15" s="165">
        <f>F15*G15</f>
        <v>0</v>
      </c>
      <c r="I15" s="141"/>
    </row>
    <row r="16" spans="1:10" ht="21.75" customHeight="1" x14ac:dyDescent="0.2">
      <c r="A16" s="143">
        <f>A15+0.1</f>
        <v>1.3</v>
      </c>
      <c r="B16" s="143"/>
      <c r="C16" s="153" t="s">
        <v>251</v>
      </c>
      <c r="D16" s="143" t="s">
        <v>241</v>
      </c>
      <c r="E16" s="143"/>
      <c r="F16" s="147">
        <v>70</v>
      </c>
      <c r="G16" s="152"/>
      <c r="H16" s="166">
        <f>F16*G16</f>
        <v>0</v>
      </c>
      <c r="I16" s="141"/>
    </row>
    <row r="17" spans="1:10" ht="49.5" customHeight="1" x14ac:dyDescent="0.2">
      <c r="A17" s="144">
        <v>2</v>
      </c>
      <c r="B17" s="145" t="s">
        <v>252</v>
      </c>
      <c r="C17" s="162" t="s">
        <v>253</v>
      </c>
      <c r="D17" s="144" t="s">
        <v>198</v>
      </c>
      <c r="E17" s="143"/>
      <c r="F17" s="146">
        <v>1</v>
      </c>
      <c r="G17" s="147"/>
      <c r="H17" s="163">
        <f>SUM(H18:H20)</f>
        <v>0</v>
      </c>
      <c r="I17" s="141"/>
    </row>
    <row r="18" spans="1:10" ht="36.75" customHeight="1" x14ac:dyDescent="0.2">
      <c r="A18" s="143">
        <f>A17+0.1</f>
        <v>2.1</v>
      </c>
      <c r="B18" s="143"/>
      <c r="C18" s="153" t="s">
        <v>23</v>
      </c>
      <c r="D18" s="148" t="s">
        <v>24</v>
      </c>
      <c r="E18" s="148">
        <v>75</v>
      </c>
      <c r="F18" s="149">
        <f>F17*E18</f>
        <v>75</v>
      </c>
      <c r="G18" s="149"/>
      <c r="H18" s="164">
        <f>F18*G18</f>
        <v>0</v>
      </c>
      <c r="I18" s="141"/>
      <c r="J18" s="140"/>
    </row>
    <row r="19" spans="1:10" ht="21.75" customHeight="1" x14ac:dyDescent="0.2">
      <c r="A19" s="143">
        <f>A18+0.1</f>
        <v>2.2000000000000002</v>
      </c>
      <c r="B19" s="143"/>
      <c r="C19" s="153" t="s">
        <v>225</v>
      </c>
      <c r="D19" s="150" t="s">
        <v>199</v>
      </c>
      <c r="E19" s="150">
        <v>0.08</v>
      </c>
      <c r="F19" s="150">
        <f>E19*F17</f>
        <v>0.08</v>
      </c>
      <c r="G19" s="150"/>
      <c r="H19" s="165">
        <f>F19*G19</f>
        <v>0</v>
      </c>
      <c r="I19" s="141"/>
    </row>
    <row r="20" spans="1:10" ht="51" customHeight="1" x14ac:dyDescent="0.2">
      <c r="A20" s="143">
        <f>A19+0.1</f>
        <v>2.2999999999999998</v>
      </c>
      <c r="B20" s="143"/>
      <c r="C20" s="167" t="s">
        <v>254</v>
      </c>
      <c r="D20" s="143" t="s">
        <v>198</v>
      </c>
      <c r="E20" s="143"/>
      <c r="F20" s="147">
        <v>1</v>
      </c>
      <c r="G20" s="168"/>
      <c r="H20" s="166">
        <f>F20*G20</f>
        <v>0</v>
      </c>
      <c r="I20" s="141"/>
    </row>
    <row r="21" spans="1:10" ht="29.25" customHeight="1" x14ac:dyDescent="0.2">
      <c r="A21" s="144">
        <v>3</v>
      </c>
      <c r="B21" s="143" t="s">
        <v>255</v>
      </c>
      <c r="C21" s="162" t="s">
        <v>256</v>
      </c>
      <c r="D21" s="144" t="s">
        <v>198</v>
      </c>
      <c r="E21" s="143"/>
      <c r="F21" s="146">
        <v>1</v>
      </c>
      <c r="G21" s="147"/>
      <c r="H21" s="163">
        <f>SUM(H22:H23)</f>
        <v>0</v>
      </c>
      <c r="I21" s="141"/>
    </row>
    <row r="22" spans="1:10" ht="36.75" customHeight="1" x14ac:dyDescent="0.2">
      <c r="A22" s="143">
        <f>A21+0.1</f>
        <v>3.1</v>
      </c>
      <c r="B22" s="143"/>
      <c r="C22" s="153" t="s">
        <v>23</v>
      </c>
      <c r="D22" s="148" t="s">
        <v>24</v>
      </c>
      <c r="E22" s="148">
        <v>19</v>
      </c>
      <c r="F22" s="149">
        <f>F21*E22</f>
        <v>19</v>
      </c>
      <c r="G22" s="149"/>
      <c r="H22" s="164">
        <f>F22*G22</f>
        <v>0</v>
      </c>
      <c r="I22" s="141"/>
      <c r="J22" s="140"/>
    </row>
    <row r="23" spans="1:10" ht="21.75" customHeight="1" x14ac:dyDescent="0.2">
      <c r="A23" s="143">
        <f>A22+0.1</f>
        <v>3.2</v>
      </c>
      <c r="C23" s="167" t="s">
        <v>256</v>
      </c>
      <c r="D23" s="143" t="s">
        <v>198</v>
      </c>
      <c r="E23" s="143"/>
      <c r="F23" s="147">
        <v>1</v>
      </c>
      <c r="G23" s="147"/>
      <c r="H23" s="166">
        <f>F23*G23</f>
        <v>0</v>
      </c>
      <c r="I23" s="141"/>
    </row>
    <row r="24" spans="1:10" ht="39" customHeight="1" x14ac:dyDescent="0.2">
      <c r="A24" s="144">
        <v>4</v>
      </c>
      <c r="B24" s="145" t="s">
        <v>242</v>
      </c>
      <c r="C24" s="162" t="s">
        <v>243</v>
      </c>
      <c r="D24" s="144" t="s">
        <v>198</v>
      </c>
      <c r="E24" s="143"/>
      <c r="F24" s="146">
        <v>1</v>
      </c>
      <c r="G24" s="147"/>
      <c r="H24" s="163">
        <f>SUM(H25:H27)</f>
        <v>0</v>
      </c>
      <c r="I24" s="141"/>
    </row>
    <row r="25" spans="1:10" ht="25.5" customHeight="1" x14ac:dyDescent="0.2">
      <c r="A25" s="143">
        <f>A24+0.1</f>
        <v>4.0999999999999996</v>
      </c>
      <c r="B25" s="143"/>
      <c r="C25" s="153" t="s">
        <v>23</v>
      </c>
      <c r="D25" s="148" t="s">
        <v>24</v>
      </c>
      <c r="E25" s="148">
        <v>2</v>
      </c>
      <c r="F25" s="149">
        <f>F24*E25</f>
        <v>2</v>
      </c>
      <c r="G25" s="149"/>
      <c r="H25" s="164">
        <f>F25*G25</f>
        <v>0</v>
      </c>
      <c r="I25" s="141"/>
    </row>
    <row r="26" spans="1:10" ht="21.75" customHeight="1" x14ac:dyDescent="0.2">
      <c r="A26" s="143">
        <f>A25+0.1</f>
        <v>4.2</v>
      </c>
      <c r="B26" s="143"/>
      <c r="C26" s="153" t="s">
        <v>225</v>
      </c>
      <c r="D26" s="150" t="s">
        <v>199</v>
      </c>
      <c r="E26" s="150">
        <v>4.9000000000000002E-2</v>
      </c>
      <c r="F26" s="150">
        <f>E26*F24</f>
        <v>4.9000000000000002E-2</v>
      </c>
      <c r="G26" s="150"/>
      <c r="H26" s="165">
        <f>F26*G26</f>
        <v>0</v>
      </c>
      <c r="I26" s="141"/>
    </row>
    <row r="27" spans="1:10" ht="21.75" customHeight="1" x14ac:dyDescent="0.2">
      <c r="A27" s="143">
        <f>A26+0.1</f>
        <v>4.3</v>
      </c>
      <c r="C27" s="167" t="s">
        <v>244</v>
      </c>
      <c r="D27" s="143" t="s">
        <v>198</v>
      </c>
      <c r="E27" s="143"/>
      <c r="F27" s="147">
        <v>1</v>
      </c>
      <c r="G27" s="152"/>
      <c r="H27" s="166">
        <f>F27*G27</f>
        <v>0</v>
      </c>
      <c r="I27" s="141"/>
    </row>
    <row r="28" spans="1:10" ht="48" customHeight="1" x14ac:dyDescent="0.2">
      <c r="A28" s="144">
        <v>5</v>
      </c>
      <c r="B28" s="145" t="s">
        <v>257</v>
      </c>
      <c r="C28" s="162" t="s">
        <v>258</v>
      </c>
      <c r="D28" s="144" t="s">
        <v>198</v>
      </c>
      <c r="E28" s="143"/>
      <c r="F28" s="146">
        <v>3</v>
      </c>
      <c r="G28" s="147"/>
      <c r="H28" s="163">
        <f>SUM(H29:H31)</f>
        <v>0</v>
      </c>
      <c r="I28" s="141"/>
    </row>
    <row r="29" spans="1:10" ht="36.75" customHeight="1" x14ac:dyDescent="0.2">
      <c r="A29" s="143">
        <f>A28+0.1</f>
        <v>5.0999999999999996</v>
      </c>
      <c r="B29" s="143"/>
      <c r="C29" s="153" t="s">
        <v>23</v>
      </c>
      <c r="D29" s="148" t="s">
        <v>24</v>
      </c>
      <c r="E29" s="148">
        <v>10</v>
      </c>
      <c r="F29" s="149">
        <f>F28*E29</f>
        <v>30</v>
      </c>
      <c r="G29" s="149"/>
      <c r="H29" s="164">
        <f>F29*G29</f>
        <v>0</v>
      </c>
      <c r="I29" s="141"/>
      <c r="J29" s="140"/>
    </row>
    <row r="30" spans="1:10" ht="21.75" customHeight="1" x14ac:dyDescent="0.2">
      <c r="A30" s="143">
        <f>A29+0.1</f>
        <v>5.2</v>
      </c>
      <c r="B30" s="143" t="s">
        <v>259</v>
      </c>
      <c r="C30" s="153" t="s">
        <v>225</v>
      </c>
      <c r="D30" s="150" t="s">
        <v>199</v>
      </c>
      <c r="E30" s="150">
        <v>1.78</v>
      </c>
      <c r="F30" s="150">
        <f>E30*F28</f>
        <v>5.34</v>
      </c>
      <c r="G30" s="150"/>
      <c r="H30" s="165">
        <f>F30*G30</f>
        <v>0</v>
      </c>
      <c r="I30" s="141"/>
    </row>
    <row r="31" spans="1:10" ht="33" customHeight="1" x14ac:dyDescent="0.2">
      <c r="A31" s="143">
        <f>A30+0.1</f>
        <v>5.3</v>
      </c>
      <c r="B31" s="262" t="s">
        <v>260</v>
      </c>
      <c r="C31" s="153" t="s">
        <v>258</v>
      </c>
      <c r="D31" s="143" t="s">
        <v>198</v>
      </c>
      <c r="E31" s="143"/>
      <c r="F31" s="147">
        <v>3</v>
      </c>
      <c r="G31" s="152"/>
      <c r="H31" s="166">
        <f>F31*G31</f>
        <v>0</v>
      </c>
      <c r="I31" s="141"/>
    </row>
    <row r="32" spans="1:10" ht="37.5" customHeight="1" x14ac:dyDescent="0.2">
      <c r="A32" s="169"/>
      <c r="B32" s="262"/>
      <c r="C32" s="162" t="s">
        <v>245</v>
      </c>
      <c r="D32" s="143"/>
      <c r="E32" s="143"/>
      <c r="F32" s="143"/>
      <c r="G32" s="143"/>
      <c r="H32" s="168">
        <f>H13+H17+H21+H24+H28</f>
        <v>0</v>
      </c>
    </row>
    <row r="33" spans="1:11" ht="24.75" customHeight="1" x14ac:dyDescent="0.2">
      <c r="A33" s="169"/>
      <c r="B33" s="144"/>
      <c r="C33" s="162" t="s">
        <v>246</v>
      </c>
      <c r="D33" s="143" t="s">
        <v>10</v>
      </c>
      <c r="E33" s="143"/>
      <c r="F33" s="143"/>
      <c r="G33" s="143"/>
      <c r="H33" s="164">
        <f>H14+H18+H22+H25+H29</f>
        <v>0</v>
      </c>
      <c r="J33" s="140"/>
    </row>
    <row r="34" spans="1:11" ht="24.75" customHeight="1" x14ac:dyDescent="0.2">
      <c r="A34" s="143"/>
      <c r="B34" s="144"/>
      <c r="C34" s="162" t="s">
        <v>247</v>
      </c>
      <c r="D34" s="143" t="s">
        <v>10</v>
      </c>
      <c r="E34" s="148"/>
      <c r="F34" s="149"/>
      <c r="G34" s="149"/>
      <c r="H34" s="165">
        <f>H15+H19+H26+H30</f>
        <v>0</v>
      </c>
      <c r="J34" s="140"/>
    </row>
    <row r="35" spans="1:11" ht="20.25" customHeight="1" x14ac:dyDescent="0.2">
      <c r="A35" s="143"/>
      <c r="B35" s="143"/>
      <c r="C35" s="162" t="s">
        <v>248</v>
      </c>
      <c r="D35" s="143" t="s">
        <v>10</v>
      </c>
      <c r="E35" s="150"/>
      <c r="F35" s="151"/>
      <c r="G35" s="151"/>
      <c r="H35" s="168">
        <f>H32-H33-H34</f>
        <v>0</v>
      </c>
    </row>
    <row r="36" spans="1:11" ht="50.25" customHeight="1" x14ac:dyDescent="0.2">
      <c r="A36" s="143"/>
      <c r="B36" s="143"/>
      <c r="C36" s="162" t="s">
        <v>22</v>
      </c>
      <c r="D36" s="143" t="s">
        <v>10</v>
      </c>
      <c r="E36" s="143"/>
      <c r="F36" s="147"/>
      <c r="G36" s="147"/>
      <c r="H36" s="168">
        <f>SUM(H33:H35)</f>
        <v>0</v>
      </c>
    </row>
    <row r="37" spans="1:11" ht="36" customHeight="1" x14ac:dyDescent="0.2">
      <c r="A37" s="143"/>
      <c r="B37" s="143"/>
      <c r="C37" s="162" t="s">
        <v>261</v>
      </c>
      <c r="D37" s="143" t="s">
        <v>10</v>
      </c>
      <c r="E37" s="143"/>
      <c r="F37" s="147"/>
      <c r="G37" s="147"/>
      <c r="H37" s="168">
        <f>H33*0.72</f>
        <v>0</v>
      </c>
      <c r="J37" s="141"/>
    </row>
    <row r="38" spans="1:11" ht="23.25" customHeight="1" x14ac:dyDescent="0.2">
      <c r="A38" s="153"/>
      <c r="B38" s="143"/>
      <c r="C38" s="162" t="s">
        <v>11</v>
      </c>
      <c r="D38" s="143" t="s">
        <v>10</v>
      </c>
      <c r="E38" s="143"/>
      <c r="F38" s="147"/>
      <c r="G38" s="147"/>
      <c r="H38" s="168">
        <f>H36+H37</f>
        <v>0</v>
      </c>
      <c r="J38" s="141"/>
      <c r="K38" s="141"/>
    </row>
    <row r="39" spans="1:11" ht="27" customHeight="1" x14ac:dyDescent="0.2">
      <c r="A39" s="153"/>
      <c r="B39" s="154"/>
      <c r="C39" s="162" t="s">
        <v>378</v>
      </c>
      <c r="D39" s="143" t="s">
        <v>10</v>
      </c>
      <c r="E39" s="143"/>
      <c r="F39" s="147"/>
      <c r="G39" s="147"/>
      <c r="H39" s="168">
        <f>H38*0.08</f>
        <v>0</v>
      </c>
      <c r="J39" s="141"/>
    </row>
    <row r="40" spans="1:11" ht="27" customHeight="1" x14ac:dyDescent="0.2">
      <c r="A40" s="153"/>
      <c r="B40" s="143"/>
      <c r="C40" s="162" t="s">
        <v>18</v>
      </c>
      <c r="D40" s="143" t="s">
        <v>10</v>
      </c>
      <c r="E40" s="143"/>
      <c r="F40" s="143"/>
      <c r="G40" s="143"/>
      <c r="H40" s="168">
        <f>H38+H39</f>
        <v>0</v>
      </c>
      <c r="I40" s="141"/>
      <c r="J40" s="141"/>
    </row>
    <row r="41" spans="1:11" ht="19.5" customHeight="1" x14ac:dyDescent="0.2">
      <c r="A41" s="261"/>
      <c r="B41" s="155"/>
      <c r="C41" s="156"/>
      <c r="D41" s="155"/>
      <c r="E41" s="155"/>
      <c r="F41" s="155"/>
      <c r="G41" s="155"/>
      <c r="H41" s="157"/>
      <c r="I41" s="141"/>
      <c r="J41" s="141"/>
    </row>
    <row r="42" spans="1:11" x14ac:dyDescent="0.2">
      <c r="A42" s="261"/>
      <c r="B42" s="158"/>
      <c r="C42" s="261"/>
      <c r="D42" s="155"/>
      <c r="E42" s="155"/>
      <c r="F42" s="155"/>
      <c r="G42" s="155"/>
      <c r="H42" s="157"/>
      <c r="I42" s="141"/>
    </row>
    <row r="43" spans="1:11" ht="24" customHeight="1" x14ac:dyDescent="0.2">
      <c r="A43" s="261"/>
      <c r="B43" s="158"/>
      <c r="C43" s="261"/>
      <c r="D43" s="155"/>
      <c r="E43" s="714"/>
      <c r="F43" s="714"/>
      <c r="G43" s="714"/>
      <c r="H43" s="157"/>
      <c r="I43" s="141"/>
      <c r="J43" s="140"/>
    </row>
    <row r="44" spans="1:11" ht="23.25" customHeight="1" x14ac:dyDescent="0.2">
      <c r="B44" s="158"/>
      <c r="J44" s="140"/>
    </row>
    <row r="45" spans="1:11" ht="20.100000000000001" customHeight="1" x14ac:dyDescent="0.2"/>
    <row r="46" spans="1:11" ht="20.100000000000001" customHeight="1" x14ac:dyDescent="0.2"/>
    <row r="47" spans="1:11" ht="20.100000000000001" customHeight="1" x14ac:dyDescent="0.2"/>
    <row r="48" spans="1:11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</sheetData>
  <mergeCells count="16">
    <mergeCell ref="A2:H2"/>
    <mergeCell ref="A4:H4"/>
    <mergeCell ref="A5:H5"/>
    <mergeCell ref="F6:H6"/>
    <mergeCell ref="B7:C7"/>
    <mergeCell ref="F7:H7"/>
    <mergeCell ref="E43:G43"/>
    <mergeCell ref="A8:B8"/>
    <mergeCell ref="C8:H8"/>
    <mergeCell ref="A9:H9"/>
    <mergeCell ref="A10:A11"/>
    <mergeCell ref="B10:B11"/>
    <mergeCell ref="C10:C11"/>
    <mergeCell ref="D10:D11"/>
    <mergeCell ref="E10:F10"/>
    <mergeCell ref="G10:H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topLeftCell="A97" workbookViewId="0">
      <selection activeCell="C111" sqref="C111:E111"/>
    </sheetView>
  </sheetViews>
  <sheetFormatPr defaultRowHeight="16.5" x14ac:dyDescent="0.2"/>
  <cols>
    <col min="1" max="1" width="6.5703125" style="279" customWidth="1"/>
    <col min="2" max="2" width="9.42578125" style="279" customWidth="1"/>
    <col min="3" max="4" width="9.140625" style="279"/>
    <col min="5" max="5" width="17.140625" style="279" customWidth="1"/>
    <col min="6" max="6" width="7.5703125" style="279" customWidth="1"/>
    <col min="7" max="7" width="8.140625" style="279" customWidth="1"/>
    <col min="8" max="8" width="8" style="279" customWidth="1"/>
    <col min="9" max="9" width="7.7109375" style="279" customWidth="1"/>
    <col min="10" max="10" width="8.28515625" style="279" customWidth="1"/>
    <col min="11" max="256" width="9.140625" style="279"/>
    <col min="257" max="257" width="6.5703125" style="279" customWidth="1"/>
    <col min="258" max="258" width="9.42578125" style="279" customWidth="1"/>
    <col min="259" max="260" width="9.140625" style="279"/>
    <col min="261" max="261" width="17.140625" style="279" customWidth="1"/>
    <col min="262" max="262" width="7.5703125" style="279" customWidth="1"/>
    <col min="263" max="263" width="8.140625" style="279" customWidth="1"/>
    <col min="264" max="264" width="8" style="279" customWidth="1"/>
    <col min="265" max="265" width="7.7109375" style="279" customWidth="1"/>
    <col min="266" max="266" width="8.28515625" style="279" customWidth="1"/>
    <col min="267" max="512" width="9.140625" style="279"/>
    <col min="513" max="513" width="6.5703125" style="279" customWidth="1"/>
    <col min="514" max="514" width="9.42578125" style="279" customWidth="1"/>
    <col min="515" max="516" width="9.140625" style="279"/>
    <col min="517" max="517" width="17.140625" style="279" customWidth="1"/>
    <col min="518" max="518" width="7.5703125" style="279" customWidth="1"/>
    <col min="519" max="519" width="8.140625" style="279" customWidth="1"/>
    <col min="520" max="520" width="8" style="279" customWidth="1"/>
    <col min="521" max="521" width="7.7109375" style="279" customWidth="1"/>
    <col min="522" max="522" width="8.28515625" style="279" customWidth="1"/>
    <col min="523" max="768" width="9.140625" style="279"/>
    <col min="769" max="769" width="6.5703125" style="279" customWidth="1"/>
    <col min="770" max="770" width="9.42578125" style="279" customWidth="1"/>
    <col min="771" max="772" width="9.140625" style="279"/>
    <col min="773" max="773" width="17.140625" style="279" customWidth="1"/>
    <col min="774" max="774" width="7.5703125" style="279" customWidth="1"/>
    <col min="775" max="775" width="8.140625" style="279" customWidth="1"/>
    <col min="776" max="776" width="8" style="279" customWidth="1"/>
    <col min="777" max="777" width="7.7109375" style="279" customWidth="1"/>
    <col min="778" max="778" width="8.28515625" style="279" customWidth="1"/>
    <col min="779" max="1024" width="9.140625" style="279"/>
    <col min="1025" max="1025" width="6.5703125" style="279" customWidth="1"/>
    <col min="1026" max="1026" width="9.42578125" style="279" customWidth="1"/>
    <col min="1027" max="1028" width="9.140625" style="279"/>
    <col min="1029" max="1029" width="17.140625" style="279" customWidth="1"/>
    <col min="1030" max="1030" width="7.5703125" style="279" customWidth="1"/>
    <col min="1031" max="1031" width="8.140625" style="279" customWidth="1"/>
    <col min="1032" max="1032" width="8" style="279" customWidth="1"/>
    <col min="1033" max="1033" width="7.7109375" style="279" customWidth="1"/>
    <col min="1034" max="1034" width="8.28515625" style="279" customWidth="1"/>
    <col min="1035" max="1280" width="9.140625" style="279"/>
    <col min="1281" max="1281" width="6.5703125" style="279" customWidth="1"/>
    <col min="1282" max="1282" width="9.42578125" style="279" customWidth="1"/>
    <col min="1283" max="1284" width="9.140625" style="279"/>
    <col min="1285" max="1285" width="17.140625" style="279" customWidth="1"/>
    <col min="1286" max="1286" width="7.5703125" style="279" customWidth="1"/>
    <col min="1287" max="1287" width="8.140625" style="279" customWidth="1"/>
    <col min="1288" max="1288" width="8" style="279" customWidth="1"/>
    <col min="1289" max="1289" width="7.7109375" style="279" customWidth="1"/>
    <col min="1290" max="1290" width="8.28515625" style="279" customWidth="1"/>
    <col min="1291" max="1536" width="9.140625" style="279"/>
    <col min="1537" max="1537" width="6.5703125" style="279" customWidth="1"/>
    <col min="1538" max="1538" width="9.42578125" style="279" customWidth="1"/>
    <col min="1539" max="1540" width="9.140625" style="279"/>
    <col min="1541" max="1541" width="17.140625" style="279" customWidth="1"/>
    <col min="1542" max="1542" width="7.5703125" style="279" customWidth="1"/>
    <col min="1543" max="1543" width="8.140625" style="279" customWidth="1"/>
    <col min="1544" max="1544" width="8" style="279" customWidth="1"/>
    <col min="1545" max="1545" width="7.7109375" style="279" customWidth="1"/>
    <col min="1546" max="1546" width="8.28515625" style="279" customWidth="1"/>
    <col min="1547" max="1792" width="9.140625" style="279"/>
    <col min="1793" max="1793" width="6.5703125" style="279" customWidth="1"/>
    <col min="1794" max="1794" width="9.42578125" style="279" customWidth="1"/>
    <col min="1795" max="1796" width="9.140625" style="279"/>
    <col min="1797" max="1797" width="17.140625" style="279" customWidth="1"/>
    <col min="1798" max="1798" width="7.5703125" style="279" customWidth="1"/>
    <col min="1799" max="1799" width="8.140625" style="279" customWidth="1"/>
    <col min="1800" max="1800" width="8" style="279" customWidth="1"/>
    <col min="1801" max="1801" width="7.7109375" style="279" customWidth="1"/>
    <col min="1802" max="1802" width="8.28515625" style="279" customWidth="1"/>
    <col min="1803" max="2048" width="9.140625" style="279"/>
    <col min="2049" max="2049" width="6.5703125" style="279" customWidth="1"/>
    <col min="2050" max="2050" width="9.42578125" style="279" customWidth="1"/>
    <col min="2051" max="2052" width="9.140625" style="279"/>
    <col min="2053" max="2053" width="17.140625" style="279" customWidth="1"/>
    <col min="2054" max="2054" width="7.5703125" style="279" customWidth="1"/>
    <col min="2055" max="2055" width="8.140625" style="279" customWidth="1"/>
    <col min="2056" max="2056" width="8" style="279" customWidth="1"/>
    <col min="2057" max="2057" width="7.7109375" style="279" customWidth="1"/>
    <col min="2058" max="2058" width="8.28515625" style="279" customWidth="1"/>
    <col min="2059" max="2304" width="9.140625" style="279"/>
    <col min="2305" max="2305" width="6.5703125" style="279" customWidth="1"/>
    <col min="2306" max="2306" width="9.42578125" style="279" customWidth="1"/>
    <col min="2307" max="2308" width="9.140625" style="279"/>
    <col min="2309" max="2309" width="17.140625" style="279" customWidth="1"/>
    <col min="2310" max="2310" width="7.5703125" style="279" customWidth="1"/>
    <col min="2311" max="2311" width="8.140625" style="279" customWidth="1"/>
    <col min="2312" max="2312" width="8" style="279" customWidth="1"/>
    <col min="2313" max="2313" width="7.7109375" style="279" customWidth="1"/>
    <col min="2314" max="2314" width="8.28515625" style="279" customWidth="1"/>
    <col min="2315" max="2560" width="9.140625" style="279"/>
    <col min="2561" max="2561" width="6.5703125" style="279" customWidth="1"/>
    <col min="2562" max="2562" width="9.42578125" style="279" customWidth="1"/>
    <col min="2563" max="2564" width="9.140625" style="279"/>
    <col min="2565" max="2565" width="17.140625" style="279" customWidth="1"/>
    <col min="2566" max="2566" width="7.5703125" style="279" customWidth="1"/>
    <col min="2567" max="2567" width="8.140625" style="279" customWidth="1"/>
    <col min="2568" max="2568" width="8" style="279" customWidth="1"/>
    <col min="2569" max="2569" width="7.7109375" style="279" customWidth="1"/>
    <col min="2570" max="2570" width="8.28515625" style="279" customWidth="1"/>
    <col min="2571" max="2816" width="9.140625" style="279"/>
    <col min="2817" max="2817" width="6.5703125" style="279" customWidth="1"/>
    <col min="2818" max="2818" width="9.42578125" style="279" customWidth="1"/>
    <col min="2819" max="2820" width="9.140625" style="279"/>
    <col min="2821" max="2821" width="17.140625" style="279" customWidth="1"/>
    <col min="2822" max="2822" width="7.5703125" style="279" customWidth="1"/>
    <col min="2823" max="2823" width="8.140625" style="279" customWidth="1"/>
    <col min="2824" max="2824" width="8" style="279" customWidth="1"/>
    <col min="2825" max="2825" width="7.7109375" style="279" customWidth="1"/>
    <col min="2826" max="2826" width="8.28515625" style="279" customWidth="1"/>
    <col min="2827" max="3072" width="9.140625" style="279"/>
    <col min="3073" max="3073" width="6.5703125" style="279" customWidth="1"/>
    <col min="3074" max="3074" width="9.42578125" style="279" customWidth="1"/>
    <col min="3075" max="3076" width="9.140625" style="279"/>
    <col min="3077" max="3077" width="17.140625" style="279" customWidth="1"/>
    <col min="3078" max="3078" width="7.5703125" style="279" customWidth="1"/>
    <col min="3079" max="3079" width="8.140625" style="279" customWidth="1"/>
    <col min="3080" max="3080" width="8" style="279" customWidth="1"/>
    <col min="3081" max="3081" width="7.7109375" style="279" customWidth="1"/>
    <col min="3082" max="3082" width="8.28515625" style="279" customWidth="1"/>
    <col min="3083" max="3328" width="9.140625" style="279"/>
    <col min="3329" max="3329" width="6.5703125" style="279" customWidth="1"/>
    <col min="3330" max="3330" width="9.42578125" style="279" customWidth="1"/>
    <col min="3331" max="3332" width="9.140625" style="279"/>
    <col min="3333" max="3333" width="17.140625" style="279" customWidth="1"/>
    <col min="3334" max="3334" width="7.5703125" style="279" customWidth="1"/>
    <col min="3335" max="3335" width="8.140625" style="279" customWidth="1"/>
    <col min="3336" max="3336" width="8" style="279" customWidth="1"/>
    <col min="3337" max="3337" width="7.7109375" style="279" customWidth="1"/>
    <col min="3338" max="3338" width="8.28515625" style="279" customWidth="1"/>
    <col min="3339" max="3584" width="9.140625" style="279"/>
    <col min="3585" max="3585" width="6.5703125" style="279" customWidth="1"/>
    <col min="3586" max="3586" width="9.42578125" style="279" customWidth="1"/>
    <col min="3587" max="3588" width="9.140625" style="279"/>
    <col min="3589" max="3589" width="17.140625" style="279" customWidth="1"/>
    <col min="3590" max="3590" width="7.5703125" style="279" customWidth="1"/>
    <col min="3591" max="3591" width="8.140625" style="279" customWidth="1"/>
    <col min="3592" max="3592" width="8" style="279" customWidth="1"/>
    <col min="3593" max="3593" width="7.7109375" style="279" customWidth="1"/>
    <col min="3594" max="3594" width="8.28515625" style="279" customWidth="1"/>
    <col min="3595" max="3840" width="9.140625" style="279"/>
    <col min="3841" max="3841" width="6.5703125" style="279" customWidth="1"/>
    <col min="3842" max="3842" width="9.42578125" style="279" customWidth="1"/>
    <col min="3843" max="3844" width="9.140625" style="279"/>
    <col min="3845" max="3845" width="17.140625" style="279" customWidth="1"/>
    <col min="3846" max="3846" width="7.5703125" style="279" customWidth="1"/>
    <col min="3847" max="3847" width="8.140625" style="279" customWidth="1"/>
    <col min="3848" max="3848" width="8" style="279" customWidth="1"/>
    <col min="3849" max="3849" width="7.7109375" style="279" customWidth="1"/>
    <col min="3850" max="3850" width="8.28515625" style="279" customWidth="1"/>
    <col min="3851" max="4096" width="9.140625" style="279"/>
    <col min="4097" max="4097" width="6.5703125" style="279" customWidth="1"/>
    <col min="4098" max="4098" width="9.42578125" style="279" customWidth="1"/>
    <col min="4099" max="4100" width="9.140625" style="279"/>
    <col min="4101" max="4101" width="17.140625" style="279" customWidth="1"/>
    <col min="4102" max="4102" width="7.5703125" style="279" customWidth="1"/>
    <col min="4103" max="4103" width="8.140625" style="279" customWidth="1"/>
    <col min="4104" max="4104" width="8" style="279" customWidth="1"/>
    <col min="4105" max="4105" width="7.7109375" style="279" customWidth="1"/>
    <col min="4106" max="4106" width="8.28515625" style="279" customWidth="1"/>
    <col min="4107" max="4352" width="9.140625" style="279"/>
    <col min="4353" max="4353" width="6.5703125" style="279" customWidth="1"/>
    <col min="4354" max="4354" width="9.42578125" style="279" customWidth="1"/>
    <col min="4355" max="4356" width="9.140625" style="279"/>
    <col min="4357" max="4357" width="17.140625" style="279" customWidth="1"/>
    <col min="4358" max="4358" width="7.5703125" style="279" customWidth="1"/>
    <col min="4359" max="4359" width="8.140625" style="279" customWidth="1"/>
    <col min="4360" max="4360" width="8" style="279" customWidth="1"/>
    <col min="4361" max="4361" width="7.7109375" style="279" customWidth="1"/>
    <col min="4362" max="4362" width="8.28515625" style="279" customWidth="1"/>
    <col min="4363" max="4608" width="9.140625" style="279"/>
    <col min="4609" max="4609" width="6.5703125" style="279" customWidth="1"/>
    <col min="4610" max="4610" width="9.42578125" style="279" customWidth="1"/>
    <col min="4611" max="4612" width="9.140625" style="279"/>
    <col min="4613" max="4613" width="17.140625" style="279" customWidth="1"/>
    <col min="4614" max="4614" width="7.5703125" style="279" customWidth="1"/>
    <col min="4615" max="4615" width="8.140625" style="279" customWidth="1"/>
    <col min="4616" max="4616" width="8" style="279" customWidth="1"/>
    <col min="4617" max="4617" width="7.7109375" style="279" customWidth="1"/>
    <col min="4618" max="4618" width="8.28515625" style="279" customWidth="1"/>
    <col min="4619" max="4864" width="9.140625" style="279"/>
    <col min="4865" max="4865" width="6.5703125" style="279" customWidth="1"/>
    <col min="4866" max="4866" width="9.42578125" style="279" customWidth="1"/>
    <col min="4867" max="4868" width="9.140625" style="279"/>
    <col min="4869" max="4869" width="17.140625" style="279" customWidth="1"/>
    <col min="4870" max="4870" width="7.5703125" style="279" customWidth="1"/>
    <col min="4871" max="4871" width="8.140625" style="279" customWidth="1"/>
    <col min="4872" max="4872" width="8" style="279" customWidth="1"/>
    <col min="4873" max="4873" width="7.7109375" style="279" customWidth="1"/>
    <col min="4874" max="4874" width="8.28515625" style="279" customWidth="1"/>
    <col min="4875" max="5120" width="9.140625" style="279"/>
    <col min="5121" max="5121" width="6.5703125" style="279" customWidth="1"/>
    <col min="5122" max="5122" width="9.42578125" style="279" customWidth="1"/>
    <col min="5123" max="5124" width="9.140625" style="279"/>
    <col min="5125" max="5125" width="17.140625" style="279" customWidth="1"/>
    <col min="5126" max="5126" width="7.5703125" style="279" customWidth="1"/>
    <col min="5127" max="5127" width="8.140625" style="279" customWidth="1"/>
    <col min="5128" max="5128" width="8" style="279" customWidth="1"/>
    <col min="5129" max="5129" width="7.7109375" style="279" customWidth="1"/>
    <col min="5130" max="5130" width="8.28515625" style="279" customWidth="1"/>
    <col min="5131" max="5376" width="9.140625" style="279"/>
    <col min="5377" max="5377" width="6.5703125" style="279" customWidth="1"/>
    <col min="5378" max="5378" width="9.42578125" style="279" customWidth="1"/>
    <col min="5379" max="5380" width="9.140625" style="279"/>
    <col min="5381" max="5381" width="17.140625" style="279" customWidth="1"/>
    <col min="5382" max="5382" width="7.5703125" style="279" customWidth="1"/>
    <col min="5383" max="5383" width="8.140625" style="279" customWidth="1"/>
    <col min="5384" max="5384" width="8" style="279" customWidth="1"/>
    <col min="5385" max="5385" width="7.7109375" style="279" customWidth="1"/>
    <col min="5386" max="5386" width="8.28515625" style="279" customWidth="1"/>
    <col min="5387" max="5632" width="9.140625" style="279"/>
    <col min="5633" max="5633" width="6.5703125" style="279" customWidth="1"/>
    <col min="5634" max="5634" width="9.42578125" style="279" customWidth="1"/>
    <col min="5635" max="5636" width="9.140625" style="279"/>
    <col min="5637" max="5637" width="17.140625" style="279" customWidth="1"/>
    <col min="5638" max="5638" width="7.5703125" style="279" customWidth="1"/>
    <col min="5639" max="5639" width="8.140625" style="279" customWidth="1"/>
    <col min="5640" max="5640" width="8" style="279" customWidth="1"/>
    <col min="5641" max="5641" width="7.7109375" style="279" customWidth="1"/>
    <col min="5642" max="5642" width="8.28515625" style="279" customWidth="1"/>
    <col min="5643" max="5888" width="9.140625" style="279"/>
    <col min="5889" max="5889" width="6.5703125" style="279" customWidth="1"/>
    <col min="5890" max="5890" width="9.42578125" style="279" customWidth="1"/>
    <col min="5891" max="5892" width="9.140625" style="279"/>
    <col min="5893" max="5893" width="17.140625" style="279" customWidth="1"/>
    <col min="5894" max="5894" width="7.5703125" style="279" customWidth="1"/>
    <col min="5895" max="5895" width="8.140625" style="279" customWidth="1"/>
    <col min="5896" max="5896" width="8" style="279" customWidth="1"/>
    <col min="5897" max="5897" width="7.7109375" style="279" customWidth="1"/>
    <col min="5898" max="5898" width="8.28515625" style="279" customWidth="1"/>
    <col min="5899" max="6144" width="9.140625" style="279"/>
    <col min="6145" max="6145" width="6.5703125" style="279" customWidth="1"/>
    <col min="6146" max="6146" width="9.42578125" style="279" customWidth="1"/>
    <col min="6147" max="6148" width="9.140625" style="279"/>
    <col min="6149" max="6149" width="17.140625" style="279" customWidth="1"/>
    <col min="6150" max="6150" width="7.5703125" style="279" customWidth="1"/>
    <col min="6151" max="6151" width="8.140625" style="279" customWidth="1"/>
    <col min="6152" max="6152" width="8" style="279" customWidth="1"/>
    <col min="6153" max="6153" width="7.7109375" style="279" customWidth="1"/>
    <col min="6154" max="6154" width="8.28515625" style="279" customWidth="1"/>
    <col min="6155" max="6400" width="9.140625" style="279"/>
    <col min="6401" max="6401" width="6.5703125" style="279" customWidth="1"/>
    <col min="6402" max="6402" width="9.42578125" style="279" customWidth="1"/>
    <col min="6403" max="6404" width="9.140625" style="279"/>
    <col min="6405" max="6405" width="17.140625" style="279" customWidth="1"/>
    <col min="6406" max="6406" width="7.5703125" style="279" customWidth="1"/>
    <col min="6407" max="6407" width="8.140625" style="279" customWidth="1"/>
    <col min="6408" max="6408" width="8" style="279" customWidth="1"/>
    <col min="6409" max="6409" width="7.7109375" style="279" customWidth="1"/>
    <col min="6410" max="6410" width="8.28515625" style="279" customWidth="1"/>
    <col min="6411" max="6656" width="9.140625" style="279"/>
    <col min="6657" max="6657" width="6.5703125" style="279" customWidth="1"/>
    <col min="6658" max="6658" width="9.42578125" style="279" customWidth="1"/>
    <col min="6659" max="6660" width="9.140625" style="279"/>
    <col min="6661" max="6661" width="17.140625" style="279" customWidth="1"/>
    <col min="6662" max="6662" width="7.5703125" style="279" customWidth="1"/>
    <col min="6663" max="6663" width="8.140625" style="279" customWidth="1"/>
    <col min="6664" max="6664" width="8" style="279" customWidth="1"/>
    <col min="6665" max="6665" width="7.7109375" style="279" customWidth="1"/>
    <col min="6666" max="6666" width="8.28515625" style="279" customWidth="1"/>
    <col min="6667" max="6912" width="9.140625" style="279"/>
    <col min="6913" max="6913" width="6.5703125" style="279" customWidth="1"/>
    <col min="6914" max="6914" width="9.42578125" style="279" customWidth="1"/>
    <col min="6915" max="6916" width="9.140625" style="279"/>
    <col min="6917" max="6917" width="17.140625" style="279" customWidth="1"/>
    <col min="6918" max="6918" width="7.5703125" style="279" customWidth="1"/>
    <col min="6919" max="6919" width="8.140625" style="279" customWidth="1"/>
    <col min="6920" max="6920" width="8" style="279" customWidth="1"/>
    <col min="6921" max="6921" width="7.7109375" style="279" customWidth="1"/>
    <col min="6922" max="6922" width="8.28515625" style="279" customWidth="1"/>
    <col min="6923" max="7168" width="9.140625" style="279"/>
    <col min="7169" max="7169" width="6.5703125" style="279" customWidth="1"/>
    <col min="7170" max="7170" width="9.42578125" style="279" customWidth="1"/>
    <col min="7171" max="7172" width="9.140625" style="279"/>
    <col min="7173" max="7173" width="17.140625" style="279" customWidth="1"/>
    <col min="7174" max="7174" width="7.5703125" style="279" customWidth="1"/>
    <col min="7175" max="7175" width="8.140625" style="279" customWidth="1"/>
    <col min="7176" max="7176" width="8" style="279" customWidth="1"/>
    <col min="7177" max="7177" width="7.7109375" style="279" customWidth="1"/>
    <col min="7178" max="7178" width="8.28515625" style="279" customWidth="1"/>
    <col min="7179" max="7424" width="9.140625" style="279"/>
    <col min="7425" max="7425" width="6.5703125" style="279" customWidth="1"/>
    <col min="7426" max="7426" width="9.42578125" style="279" customWidth="1"/>
    <col min="7427" max="7428" width="9.140625" style="279"/>
    <col min="7429" max="7429" width="17.140625" style="279" customWidth="1"/>
    <col min="7430" max="7430" width="7.5703125" style="279" customWidth="1"/>
    <col min="7431" max="7431" width="8.140625" style="279" customWidth="1"/>
    <col min="7432" max="7432" width="8" style="279" customWidth="1"/>
    <col min="7433" max="7433" width="7.7109375" style="279" customWidth="1"/>
    <col min="7434" max="7434" width="8.28515625" style="279" customWidth="1"/>
    <col min="7435" max="7680" width="9.140625" style="279"/>
    <col min="7681" max="7681" width="6.5703125" style="279" customWidth="1"/>
    <col min="7682" max="7682" width="9.42578125" style="279" customWidth="1"/>
    <col min="7683" max="7684" width="9.140625" style="279"/>
    <col min="7685" max="7685" width="17.140625" style="279" customWidth="1"/>
    <col min="7686" max="7686" width="7.5703125" style="279" customWidth="1"/>
    <col min="7687" max="7687" width="8.140625" style="279" customWidth="1"/>
    <col min="7688" max="7688" width="8" style="279" customWidth="1"/>
    <col min="7689" max="7689" width="7.7109375" style="279" customWidth="1"/>
    <col min="7690" max="7690" width="8.28515625" style="279" customWidth="1"/>
    <col min="7691" max="7936" width="9.140625" style="279"/>
    <col min="7937" max="7937" width="6.5703125" style="279" customWidth="1"/>
    <col min="7938" max="7938" width="9.42578125" style="279" customWidth="1"/>
    <col min="7939" max="7940" width="9.140625" style="279"/>
    <col min="7941" max="7941" width="17.140625" style="279" customWidth="1"/>
    <col min="7942" max="7942" width="7.5703125" style="279" customWidth="1"/>
    <col min="7943" max="7943" width="8.140625" style="279" customWidth="1"/>
    <col min="7944" max="7944" width="8" style="279" customWidth="1"/>
    <col min="7945" max="7945" width="7.7109375" style="279" customWidth="1"/>
    <col min="7946" max="7946" width="8.28515625" style="279" customWidth="1"/>
    <col min="7947" max="8192" width="9.140625" style="279"/>
    <col min="8193" max="8193" width="6.5703125" style="279" customWidth="1"/>
    <col min="8194" max="8194" width="9.42578125" style="279" customWidth="1"/>
    <col min="8195" max="8196" width="9.140625" style="279"/>
    <col min="8197" max="8197" width="17.140625" style="279" customWidth="1"/>
    <col min="8198" max="8198" width="7.5703125" style="279" customWidth="1"/>
    <col min="8199" max="8199" width="8.140625" style="279" customWidth="1"/>
    <col min="8200" max="8200" width="8" style="279" customWidth="1"/>
    <col min="8201" max="8201" width="7.7109375" style="279" customWidth="1"/>
    <col min="8202" max="8202" width="8.28515625" style="279" customWidth="1"/>
    <col min="8203" max="8448" width="9.140625" style="279"/>
    <col min="8449" max="8449" width="6.5703125" style="279" customWidth="1"/>
    <col min="8450" max="8450" width="9.42578125" style="279" customWidth="1"/>
    <col min="8451" max="8452" width="9.140625" style="279"/>
    <col min="8453" max="8453" width="17.140625" style="279" customWidth="1"/>
    <col min="8454" max="8454" width="7.5703125" style="279" customWidth="1"/>
    <col min="8455" max="8455" width="8.140625" style="279" customWidth="1"/>
    <col min="8456" max="8456" width="8" style="279" customWidth="1"/>
    <col min="8457" max="8457" width="7.7109375" style="279" customWidth="1"/>
    <col min="8458" max="8458" width="8.28515625" style="279" customWidth="1"/>
    <col min="8459" max="8704" width="9.140625" style="279"/>
    <col min="8705" max="8705" width="6.5703125" style="279" customWidth="1"/>
    <col min="8706" max="8706" width="9.42578125" style="279" customWidth="1"/>
    <col min="8707" max="8708" width="9.140625" style="279"/>
    <col min="8709" max="8709" width="17.140625" style="279" customWidth="1"/>
    <col min="8710" max="8710" width="7.5703125" style="279" customWidth="1"/>
    <col min="8711" max="8711" width="8.140625" style="279" customWidth="1"/>
    <col min="8712" max="8712" width="8" style="279" customWidth="1"/>
    <col min="8713" max="8713" width="7.7109375" style="279" customWidth="1"/>
    <col min="8714" max="8714" width="8.28515625" style="279" customWidth="1"/>
    <col min="8715" max="8960" width="9.140625" style="279"/>
    <col min="8961" max="8961" width="6.5703125" style="279" customWidth="1"/>
    <col min="8962" max="8962" width="9.42578125" style="279" customWidth="1"/>
    <col min="8963" max="8964" width="9.140625" style="279"/>
    <col min="8965" max="8965" width="17.140625" style="279" customWidth="1"/>
    <col min="8966" max="8966" width="7.5703125" style="279" customWidth="1"/>
    <col min="8967" max="8967" width="8.140625" style="279" customWidth="1"/>
    <col min="8968" max="8968" width="8" style="279" customWidth="1"/>
    <col min="8969" max="8969" width="7.7109375" style="279" customWidth="1"/>
    <col min="8970" max="8970" width="8.28515625" style="279" customWidth="1"/>
    <col min="8971" max="9216" width="9.140625" style="279"/>
    <col min="9217" max="9217" width="6.5703125" style="279" customWidth="1"/>
    <col min="9218" max="9218" width="9.42578125" style="279" customWidth="1"/>
    <col min="9219" max="9220" width="9.140625" style="279"/>
    <col min="9221" max="9221" width="17.140625" style="279" customWidth="1"/>
    <col min="9222" max="9222" width="7.5703125" style="279" customWidth="1"/>
    <col min="9223" max="9223" width="8.140625" style="279" customWidth="1"/>
    <col min="9224" max="9224" width="8" style="279" customWidth="1"/>
    <col min="9225" max="9225" width="7.7109375" style="279" customWidth="1"/>
    <col min="9226" max="9226" width="8.28515625" style="279" customWidth="1"/>
    <col min="9227" max="9472" width="9.140625" style="279"/>
    <col min="9473" max="9473" width="6.5703125" style="279" customWidth="1"/>
    <col min="9474" max="9474" width="9.42578125" style="279" customWidth="1"/>
    <col min="9475" max="9476" width="9.140625" style="279"/>
    <col min="9477" max="9477" width="17.140625" style="279" customWidth="1"/>
    <col min="9478" max="9478" width="7.5703125" style="279" customWidth="1"/>
    <col min="9479" max="9479" width="8.140625" style="279" customWidth="1"/>
    <col min="9480" max="9480" width="8" style="279" customWidth="1"/>
    <col min="9481" max="9481" width="7.7109375" style="279" customWidth="1"/>
    <col min="9482" max="9482" width="8.28515625" style="279" customWidth="1"/>
    <col min="9483" max="9728" width="9.140625" style="279"/>
    <col min="9729" max="9729" width="6.5703125" style="279" customWidth="1"/>
    <col min="9730" max="9730" width="9.42578125" style="279" customWidth="1"/>
    <col min="9731" max="9732" width="9.140625" style="279"/>
    <col min="9733" max="9733" width="17.140625" style="279" customWidth="1"/>
    <col min="9734" max="9734" width="7.5703125" style="279" customWidth="1"/>
    <col min="9735" max="9735" width="8.140625" style="279" customWidth="1"/>
    <col min="9736" max="9736" width="8" style="279" customWidth="1"/>
    <col min="9737" max="9737" width="7.7109375" style="279" customWidth="1"/>
    <col min="9738" max="9738" width="8.28515625" style="279" customWidth="1"/>
    <col min="9739" max="9984" width="9.140625" style="279"/>
    <col min="9985" max="9985" width="6.5703125" style="279" customWidth="1"/>
    <col min="9986" max="9986" width="9.42578125" style="279" customWidth="1"/>
    <col min="9987" max="9988" width="9.140625" style="279"/>
    <col min="9989" max="9989" width="17.140625" style="279" customWidth="1"/>
    <col min="9990" max="9990" width="7.5703125" style="279" customWidth="1"/>
    <col min="9991" max="9991" width="8.140625" style="279" customWidth="1"/>
    <col min="9992" max="9992" width="8" style="279" customWidth="1"/>
    <col min="9993" max="9993" width="7.7109375" style="279" customWidth="1"/>
    <col min="9994" max="9994" width="8.28515625" style="279" customWidth="1"/>
    <col min="9995" max="10240" width="9.140625" style="279"/>
    <col min="10241" max="10241" width="6.5703125" style="279" customWidth="1"/>
    <col min="10242" max="10242" width="9.42578125" style="279" customWidth="1"/>
    <col min="10243" max="10244" width="9.140625" style="279"/>
    <col min="10245" max="10245" width="17.140625" style="279" customWidth="1"/>
    <col min="10246" max="10246" width="7.5703125" style="279" customWidth="1"/>
    <col min="10247" max="10247" width="8.140625" style="279" customWidth="1"/>
    <col min="10248" max="10248" width="8" style="279" customWidth="1"/>
    <col min="10249" max="10249" width="7.7109375" style="279" customWidth="1"/>
    <col min="10250" max="10250" width="8.28515625" style="279" customWidth="1"/>
    <col min="10251" max="10496" width="9.140625" style="279"/>
    <col min="10497" max="10497" width="6.5703125" style="279" customWidth="1"/>
    <col min="10498" max="10498" width="9.42578125" style="279" customWidth="1"/>
    <col min="10499" max="10500" width="9.140625" style="279"/>
    <col min="10501" max="10501" width="17.140625" style="279" customWidth="1"/>
    <col min="10502" max="10502" width="7.5703125" style="279" customWidth="1"/>
    <col min="10503" max="10503" width="8.140625" style="279" customWidth="1"/>
    <col min="10504" max="10504" width="8" style="279" customWidth="1"/>
    <col min="10505" max="10505" width="7.7109375" style="279" customWidth="1"/>
    <col min="10506" max="10506" width="8.28515625" style="279" customWidth="1"/>
    <col min="10507" max="10752" width="9.140625" style="279"/>
    <col min="10753" max="10753" width="6.5703125" style="279" customWidth="1"/>
    <col min="10754" max="10754" width="9.42578125" style="279" customWidth="1"/>
    <col min="10755" max="10756" width="9.140625" style="279"/>
    <col min="10757" max="10757" width="17.140625" style="279" customWidth="1"/>
    <col min="10758" max="10758" width="7.5703125" style="279" customWidth="1"/>
    <col min="10759" max="10759" width="8.140625" style="279" customWidth="1"/>
    <col min="10760" max="10760" width="8" style="279" customWidth="1"/>
    <col min="10761" max="10761" width="7.7109375" style="279" customWidth="1"/>
    <col min="10762" max="10762" width="8.28515625" style="279" customWidth="1"/>
    <col min="10763" max="11008" width="9.140625" style="279"/>
    <col min="11009" max="11009" width="6.5703125" style="279" customWidth="1"/>
    <col min="11010" max="11010" width="9.42578125" style="279" customWidth="1"/>
    <col min="11011" max="11012" width="9.140625" style="279"/>
    <col min="11013" max="11013" width="17.140625" style="279" customWidth="1"/>
    <col min="11014" max="11014" width="7.5703125" style="279" customWidth="1"/>
    <col min="11015" max="11015" width="8.140625" style="279" customWidth="1"/>
    <col min="11016" max="11016" width="8" style="279" customWidth="1"/>
    <col min="11017" max="11017" width="7.7109375" style="279" customWidth="1"/>
    <col min="11018" max="11018" width="8.28515625" style="279" customWidth="1"/>
    <col min="11019" max="11264" width="9.140625" style="279"/>
    <col min="11265" max="11265" width="6.5703125" style="279" customWidth="1"/>
    <col min="11266" max="11266" width="9.42578125" style="279" customWidth="1"/>
    <col min="11267" max="11268" width="9.140625" style="279"/>
    <col min="11269" max="11269" width="17.140625" style="279" customWidth="1"/>
    <col min="11270" max="11270" width="7.5703125" style="279" customWidth="1"/>
    <col min="11271" max="11271" width="8.140625" style="279" customWidth="1"/>
    <col min="11272" max="11272" width="8" style="279" customWidth="1"/>
    <col min="11273" max="11273" width="7.7109375" style="279" customWidth="1"/>
    <col min="11274" max="11274" width="8.28515625" style="279" customWidth="1"/>
    <col min="11275" max="11520" width="9.140625" style="279"/>
    <col min="11521" max="11521" width="6.5703125" style="279" customWidth="1"/>
    <col min="11522" max="11522" width="9.42578125" style="279" customWidth="1"/>
    <col min="11523" max="11524" width="9.140625" style="279"/>
    <col min="11525" max="11525" width="17.140625" style="279" customWidth="1"/>
    <col min="11526" max="11526" width="7.5703125" style="279" customWidth="1"/>
    <col min="11527" max="11527" width="8.140625" style="279" customWidth="1"/>
    <col min="11528" max="11528" width="8" style="279" customWidth="1"/>
    <col min="11529" max="11529" width="7.7109375" style="279" customWidth="1"/>
    <col min="11530" max="11530" width="8.28515625" style="279" customWidth="1"/>
    <col min="11531" max="11776" width="9.140625" style="279"/>
    <col min="11777" max="11777" width="6.5703125" style="279" customWidth="1"/>
    <col min="11778" max="11778" width="9.42578125" style="279" customWidth="1"/>
    <col min="11779" max="11780" width="9.140625" style="279"/>
    <col min="11781" max="11781" width="17.140625" style="279" customWidth="1"/>
    <col min="11782" max="11782" width="7.5703125" style="279" customWidth="1"/>
    <col min="11783" max="11783" width="8.140625" style="279" customWidth="1"/>
    <col min="11784" max="11784" width="8" style="279" customWidth="1"/>
    <col min="11785" max="11785" width="7.7109375" style="279" customWidth="1"/>
    <col min="11786" max="11786" width="8.28515625" style="279" customWidth="1"/>
    <col min="11787" max="12032" width="9.140625" style="279"/>
    <col min="12033" max="12033" width="6.5703125" style="279" customWidth="1"/>
    <col min="12034" max="12034" width="9.42578125" style="279" customWidth="1"/>
    <col min="12035" max="12036" width="9.140625" style="279"/>
    <col min="12037" max="12037" width="17.140625" style="279" customWidth="1"/>
    <col min="12038" max="12038" width="7.5703125" style="279" customWidth="1"/>
    <col min="12039" max="12039" width="8.140625" style="279" customWidth="1"/>
    <col min="12040" max="12040" width="8" style="279" customWidth="1"/>
    <col min="12041" max="12041" width="7.7109375" style="279" customWidth="1"/>
    <col min="12042" max="12042" width="8.28515625" style="279" customWidth="1"/>
    <col min="12043" max="12288" width="9.140625" style="279"/>
    <col min="12289" max="12289" width="6.5703125" style="279" customWidth="1"/>
    <col min="12290" max="12290" width="9.42578125" style="279" customWidth="1"/>
    <col min="12291" max="12292" width="9.140625" style="279"/>
    <col min="12293" max="12293" width="17.140625" style="279" customWidth="1"/>
    <col min="12294" max="12294" width="7.5703125" style="279" customWidth="1"/>
    <col min="12295" max="12295" width="8.140625" style="279" customWidth="1"/>
    <col min="12296" max="12296" width="8" style="279" customWidth="1"/>
    <col min="12297" max="12297" width="7.7109375" style="279" customWidth="1"/>
    <col min="12298" max="12298" width="8.28515625" style="279" customWidth="1"/>
    <col min="12299" max="12544" width="9.140625" style="279"/>
    <col min="12545" max="12545" width="6.5703125" style="279" customWidth="1"/>
    <col min="12546" max="12546" width="9.42578125" style="279" customWidth="1"/>
    <col min="12547" max="12548" width="9.140625" style="279"/>
    <col min="12549" max="12549" width="17.140625" style="279" customWidth="1"/>
    <col min="12550" max="12550" width="7.5703125" style="279" customWidth="1"/>
    <col min="12551" max="12551" width="8.140625" style="279" customWidth="1"/>
    <col min="12552" max="12552" width="8" style="279" customWidth="1"/>
    <col min="12553" max="12553" width="7.7109375" style="279" customWidth="1"/>
    <col min="12554" max="12554" width="8.28515625" style="279" customWidth="1"/>
    <col min="12555" max="12800" width="9.140625" style="279"/>
    <col min="12801" max="12801" width="6.5703125" style="279" customWidth="1"/>
    <col min="12802" max="12802" width="9.42578125" style="279" customWidth="1"/>
    <col min="12803" max="12804" width="9.140625" style="279"/>
    <col min="12805" max="12805" width="17.140625" style="279" customWidth="1"/>
    <col min="12806" max="12806" width="7.5703125" style="279" customWidth="1"/>
    <col min="12807" max="12807" width="8.140625" style="279" customWidth="1"/>
    <col min="12808" max="12808" width="8" style="279" customWidth="1"/>
    <col min="12809" max="12809" width="7.7109375" style="279" customWidth="1"/>
    <col min="12810" max="12810" width="8.28515625" style="279" customWidth="1"/>
    <col min="12811" max="13056" width="9.140625" style="279"/>
    <col min="13057" max="13057" width="6.5703125" style="279" customWidth="1"/>
    <col min="13058" max="13058" width="9.42578125" style="279" customWidth="1"/>
    <col min="13059" max="13060" width="9.140625" style="279"/>
    <col min="13061" max="13061" width="17.140625" style="279" customWidth="1"/>
    <col min="13062" max="13062" width="7.5703125" style="279" customWidth="1"/>
    <col min="13063" max="13063" width="8.140625" style="279" customWidth="1"/>
    <col min="13064" max="13064" width="8" style="279" customWidth="1"/>
    <col min="13065" max="13065" width="7.7109375" style="279" customWidth="1"/>
    <col min="13066" max="13066" width="8.28515625" style="279" customWidth="1"/>
    <col min="13067" max="13312" width="9.140625" style="279"/>
    <col min="13313" max="13313" width="6.5703125" style="279" customWidth="1"/>
    <col min="13314" max="13314" width="9.42578125" style="279" customWidth="1"/>
    <col min="13315" max="13316" width="9.140625" style="279"/>
    <col min="13317" max="13317" width="17.140625" style="279" customWidth="1"/>
    <col min="13318" max="13318" width="7.5703125" style="279" customWidth="1"/>
    <col min="13319" max="13319" width="8.140625" style="279" customWidth="1"/>
    <col min="13320" max="13320" width="8" style="279" customWidth="1"/>
    <col min="13321" max="13321" width="7.7109375" style="279" customWidth="1"/>
    <col min="13322" max="13322" width="8.28515625" style="279" customWidth="1"/>
    <col min="13323" max="13568" width="9.140625" style="279"/>
    <col min="13569" max="13569" width="6.5703125" style="279" customWidth="1"/>
    <col min="13570" max="13570" width="9.42578125" style="279" customWidth="1"/>
    <col min="13571" max="13572" width="9.140625" style="279"/>
    <col min="13573" max="13573" width="17.140625" style="279" customWidth="1"/>
    <col min="13574" max="13574" width="7.5703125" style="279" customWidth="1"/>
    <col min="13575" max="13575" width="8.140625" style="279" customWidth="1"/>
    <col min="13576" max="13576" width="8" style="279" customWidth="1"/>
    <col min="13577" max="13577" width="7.7109375" style="279" customWidth="1"/>
    <col min="13578" max="13578" width="8.28515625" style="279" customWidth="1"/>
    <col min="13579" max="13824" width="9.140625" style="279"/>
    <col min="13825" max="13825" width="6.5703125" style="279" customWidth="1"/>
    <col min="13826" max="13826" width="9.42578125" style="279" customWidth="1"/>
    <col min="13827" max="13828" width="9.140625" style="279"/>
    <col min="13829" max="13829" width="17.140625" style="279" customWidth="1"/>
    <col min="13830" max="13830" width="7.5703125" style="279" customWidth="1"/>
    <col min="13831" max="13831" width="8.140625" style="279" customWidth="1"/>
    <col min="13832" max="13832" width="8" style="279" customWidth="1"/>
    <col min="13833" max="13833" width="7.7109375" style="279" customWidth="1"/>
    <col min="13834" max="13834" width="8.28515625" style="279" customWidth="1"/>
    <col min="13835" max="14080" width="9.140625" style="279"/>
    <col min="14081" max="14081" width="6.5703125" style="279" customWidth="1"/>
    <col min="14082" max="14082" width="9.42578125" style="279" customWidth="1"/>
    <col min="14083" max="14084" width="9.140625" style="279"/>
    <col min="14085" max="14085" width="17.140625" style="279" customWidth="1"/>
    <col min="14086" max="14086" width="7.5703125" style="279" customWidth="1"/>
    <col min="14087" max="14087" width="8.140625" style="279" customWidth="1"/>
    <col min="14088" max="14088" width="8" style="279" customWidth="1"/>
    <col min="14089" max="14089" width="7.7109375" style="279" customWidth="1"/>
    <col min="14090" max="14090" width="8.28515625" style="279" customWidth="1"/>
    <col min="14091" max="14336" width="9.140625" style="279"/>
    <col min="14337" max="14337" width="6.5703125" style="279" customWidth="1"/>
    <col min="14338" max="14338" width="9.42578125" style="279" customWidth="1"/>
    <col min="14339" max="14340" width="9.140625" style="279"/>
    <col min="14341" max="14341" width="17.140625" style="279" customWidth="1"/>
    <col min="14342" max="14342" width="7.5703125" style="279" customWidth="1"/>
    <col min="14343" max="14343" width="8.140625" style="279" customWidth="1"/>
    <col min="14344" max="14344" width="8" style="279" customWidth="1"/>
    <col min="14345" max="14345" width="7.7109375" style="279" customWidth="1"/>
    <col min="14346" max="14346" width="8.28515625" style="279" customWidth="1"/>
    <col min="14347" max="14592" width="9.140625" style="279"/>
    <col min="14593" max="14593" width="6.5703125" style="279" customWidth="1"/>
    <col min="14594" max="14594" width="9.42578125" style="279" customWidth="1"/>
    <col min="14595" max="14596" width="9.140625" style="279"/>
    <col min="14597" max="14597" width="17.140625" style="279" customWidth="1"/>
    <col min="14598" max="14598" width="7.5703125" style="279" customWidth="1"/>
    <col min="14599" max="14599" width="8.140625" style="279" customWidth="1"/>
    <col min="14600" max="14600" width="8" style="279" customWidth="1"/>
    <col min="14601" max="14601" width="7.7109375" style="279" customWidth="1"/>
    <col min="14602" max="14602" width="8.28515625" style="279" customWidth="1"/>
    <col min="14603" max="14848" width="9.140625" style="279"/>
    <col min="14849" max="14849" width="6.5703125" style="279" customWidth="1"/>
    <col min="14850" max="14850" width="9.42578125" style="279" customWidth="1"/>
    <col min="14851" max="14852" width="9.140625" style="279"/>
    <col min="14853" max="14853" width="17.140625" style="279" customWidth="1"/>
    <col min="14854" max="14854" width="7.5703125" style="279" customWidth="1"/>
    <col min="14855" max="14855" width="8.140625" style="279" customWidth="1"/>
    <col min="14856" max="14856" width="8" style="279" customWidth="1"/>
    <col min="14857" max="14857" width="7.7109375" style="279" customWidth="1"/>
    <col min="14858" max="14858" width="8.28515625" style="279" customWidth="1"/>
    <col min="14859" max="15104" width="9.140625" style="279"/>
    <col min="15105" max="15105" width="6.5703125" style="279" customWidth="1"/>
    <col min="15106" max="15106" width="9.42578125" style="279" customWidth="1"/>
    <col min="15107" max="15108" width="9.140625" style="279"/>
    <col min="15109" max="15109" width="17.140625" style="279" customWidth="1"/>
    <col min="15110" max="15110" width="7.5703125" style="279" customWidth="1"/>
    <col min="15111" max="15111" width="8.140625" style="279" customWidth="1"/>
    <col min="15112" max="15112" width="8" style="279" customWidth="1"/>
    <col min="15113" max="15113" width="7.7109375" style="279" customWidth="1"/>
    <col min="15114" max="15114" width="8.28515625" style="279" customWidth="1"/>
    <col min="15115" max="15360" width="9.140625" style="279"/>
    <col min="15361" max="15361" width="6.5703125" style="279" customWidth="1"/>
    <col min="15362" max="15362" width="9.42578125" style="279" customWidth="1"/>
    <col min="15363" max="15364" width="9.140625" style="279"/>
    <col min="15365" max="15365" width="17.140625" style="279" customWidth="1"/>
    <col min="15366" max="15366" width="7.5703125" style="279" customWidth="1"/>
    <col min="15367" max="15367" width="8.140625" style="279" customWidth="1"/>
    <col min="15368" max="15368" width="8" style="279" customWidth="1"/>
    <col min="15369" max="15369" width="7.7109375" style="279" customWidth="1"/>
    <col min="15370" max="15370" width="8.28515625" style="279" customWidth="1"/>
    <col min="15371" max="15616" width="9.140625" style="279"/>
    <col min="15617" max="15617" width="6.5703125" style="279" customWidth="1"/>
    <col min="15618" max="15618" width="9.42578125" style="279" customWidth="1"/>
    <col min="15619" max="15620" width="9.140625" style="279"/>
    <col min="15621" max="15621" width="17.140625" style="279" customWidth="1"/>
    <col min="15622" max="15622" width="7.5703125" style="279" customWidth="1"/>
    <col min="15623" max="15623" width="8.140625" style="279" customWidth="1"/>
    <col min="15624" max="15624" width="8" style="279" customWidth="1"/>
    <col min="15625" max="15625" width="7.7109375" style="279" customWidth="1"/>
    <col min="15626" max="15626" width="8.28515625" style="279" customWidth="1"/>
    <col min="15627" max="15872" width="9.140625" style="279"/>
    <col min="15873" max="15873" width="6.5703125" style="279" customWidth="1"/>
    <col min="15874" max="15874" width="9.42578125" style="279" customWidth="1"/>
    <col min="15875" max="15876" width="9.140625" style="279"/>
    <col min="15877" max="15877" width="17.140625" style="279" customWidth="1"/>
    <col min="15878" max="15878" width="7.5703125" style="279" customWidth="1"/>
    <col min="15879" max="15879" width="8.140625" style="279" customWidth="1"/>
    <col min="15880" max="15880" width="8" style="279" customWidth="1"/>
    <col min="15881" max="15881" width="7.7109375" style="279" customWidth="1"/>
    <col min="15882" max="15882" width="8.28515625" style="279" customWidth="1"/>
    <col min="15883" max="16128" width="9.140625" style="279"/>
    <col min="16129" max="16129" width="6.5703125" style="279" customWidth="1"/>
    <col min="16130" max="16130" width="9.42578125" style="279" customWidth="1"/>
    <col min="16131" max="16132" width="9.140625" style="279"/>
    <col min="16133" max="16133" width="17.140625" style="279" customWidth="1"/>
    <col min="16134" max="16134" width="7.5703125" style="279" customWidth="1"/>
    <col min="16135" max="16135" width="8.140625" style="279" customWidth="1"/>
    <col min="16136" max="16136" width="8" style="279" customWidth="1"/>
    <col min="16137" max="16137" width="7.7109375" style="279" customWidth="1"/>
    <col min="16138" max="16138" width="8.28515625" style="279" customWidth="1"/>
    <col min="16139" max="16384" width="9.140625" style="279"/>
  </cols>
  <sheetData>
    <row r="1" spans="1:10" ht="27.75" customHeight="1" x14ac:dyDescent="0.2">
      <c r="A1" s="727" t="s">
        <v>621</v>
      </c>
      <c r="B1" s="727"/>
      <c r="C1" s="727"/>
      <c r="D1" s="727"/>
      <c r="E1" s="727"/>
      <c r="F1" s="727"/>
      <c r="G1" s="727"/>
      <c r="H1" s="727"/>
      <c r="I1" s="727"/>
    </row>
    <row r="2" spans="1:10" ht="63" customHeight="1" x14ac:dyDescent="0.2">
      <c r="A2" s="690" t="s">
        <v>488</v>
      </c>
      <c r="B2" s="690"/>
      <c r="C2" s="690"/>
      <c r="D2" s="690"/>
      <c r="E2" s="690"/>
      <c r="F2" s="690"/>
      <c r="G2" s="690"/>
      <c r="H2" s="690"/>
      <c r="I2" s="690"/>
      <c r="J2" s="690"/>
    </row>
    <row r="3" spans="1:10" ht="22.5" customHeight="1" x14ac:dyDescent="0.2">
      <c r="A3" s="727" t="s">
        <v>262</v>
      </c>
      <c r="B3" s="727"/>
      <c r="C3" s="727"/>
      <c r="D3" s="727"/>
      <c r="E3" s="727"/>
      <c r="F3" s="727"/>
      <c r="G3" s="106">
        <f>J106/1000</f>
        <v>0</v>
      </c>
      <c r="H3" s="283" t="s">
        <v>263</v>
      </c>
      <c r="I3" s="283" t="s">
        <v>10</v>
      </c>
    </row>
    <row r="4" spans="1:10" ht="16.5" customHeight="1" x14ac:dyDescent="0.2">
      <c r="A4" s="728" t="s">
        <v>270</v>
      </c>
      <c r="B4" s="728"/>
      <c r="C4" s="728"/>
      <c r="D4" s="728"/>
      <c r="E4" s="728"/>
      <c r="F4" s="170"/>
      <c r="G4" s="170"/>
      <c r="H4" s="170"/>
      <c r="I4" s="170"/>
    </row>
    <row r="5" spans="1:10" ht="16.5" customHeight="1" x14ac:dyDescent="0.2">
      <c r="A5" s="728"/>
      <c r="B5" s="728"/>
      <c r="C5" s="728"/>
      <c r="D5" s="728"/>
      <c r="E5" s="728"/>
      <c r="F5" s="728"/>
      <c r="G5" s="170"/>
      <c r="H5" s="170"/>
      <c r="I5" s="170"/>
    </row>
    <row r="6" spans="1:10" ht="42.75" customHeight="1" x14ac:dyDescent="0.2">
      <c r="A6" s="696" t="s">
        <v>39</v>
      </c>
      <c r="B6" s="650" t="s">
        <v>15</v>
      </c>
      <c r="C6" s="698" t="s">
        <v>264</v>
      </c>
      <c r="D6" s="699"/>
      <c r="E6" s="700"/>
      <c r="F6" s="650" t="s">
        <v>265</v>
      </c>
      <c r="G6" s="273" t="s">
        <v>17</v>
      </c>
      <c r="H6" s="370"/>
      <c r="I6" s="670" t="s">
        <v>262</v>
      </c>
      <c r="J6" s="672"/>
    </row>
    <row r="7" spans="1:10" ht="73.5" customHeight="1" x14ac:dyDescent="0.2">
      <c r="A7" s="697"/>
      <c r="B7" s="697"/>
      <c r="C7" s="701"/>
      <c r="D7" s="702"/>
      <c r="E7" s="703"/>
      <c r="F7" s="697"/>
      <c r="G7" s="268" t="s">
        <v>266</v>
      </c>
      <c r="H7" s="268" t="s">
        <v>240</v>
      </c>
      <c r="I7" s="268" t="s">
        <v>271</v>
      </c>
      <c r="J7" s="268" t="s">
        <v>18</v>
      </c>
    </row>
    <row r="8" spans="1:10" ht="70.5" customHeight="1" x14ac:dyDescent="0.2">
      <c r="A8" s="282">
        <v>1</v>
      </c>
      <c r="B8" s="271" t="s">
        <v>272</v>
      </c>
      <c r="C8" s="729" t="s">
        <v>273</v>
      </c>
      <c r="D8" s="675"/>
      <c r="E8" s="676"/>
      <c r="F8" s="271" t="s">
        <v>274</v>
      </c>
      <c r="G8" s="124"/>
      <c r="H8" s="282">
        <v>1.1000000000000001</v>
      </c>
      <c r="I8" s="282"/>
      <c r="J8" s="171">
        <f>SUM(J9:J12)</f>
        <v>0</v>
      </c>
    </row>
    <row r="9" spans="1:10" x14ac:dyDescent="0.2">
      <c r="A9" s="275">
        <f>A8+0.1</f>
        <v>1.1000000000000001</v>
      </c>
      <c r="B9" s="275"/>
      <c r="C9" s="670" t="s">
        <v>268</v>
      </c>
      <c r="D9" s="671"/>
      <c r="E9" s="672"/>
      <c r="F9" s="172" t="s">
        <v>24</v>
      </c>
      <c r="G9" s="124">
        <v>58.3</v>
      </c>
      <c r="H9" s="126">
        <f>H8*G9</f>
        <v>64.13</v>
      </c>
      <c r="I9" s="124"/>
      <c r="J9" s="133">
        <f>H9*I9</f>
        <v>0</v>
      </c>
    </row>
    <row r="10" spans="1:10" x14ac:dyDescent="0.2">
      <c r="A10" s="275">
        <f>A9+0.1</f>
        <v>1.2</v>
      </c>
      <c r="B10" s="275"/>
      <c r="C10" s="670" t="s">
        <v>225</v>
      </c>
      <c r="D10" s="671"/>
      <c r="E10" s="672"/>
      <c r="F10" s="173" t="s">
        <v>199</v>
      </c>
      <c r="G10" s="127">
        <v>0.46</v>
      </c>
      <c r="H10" s="128">
        <f>G10*H8</f>
        <v>0.51</v>
      </c>
      <c r="I10" s="127"/>
      <c r="J10" s="134">
        <f>H10*I10</f>
        <v>0</v>
      </c>
    </row>
    <row r="11" spans="1:10" x14ac:dyDescent="0.2">
      <c r="A11" s="275">
        <f>A10+0.1</f>
        <v>1.3</v>
      </c>
      <c r="B11" s="275" t="s">
        <v>37</v>
      </c>
      <c r="C11" s="670" t="s">
        <v>275</v>
      </c>
      <c r="D11" s="671"/>
      <c r="E11" s="672"/>
      <c r="F11" s="284" t="s">
        <v>241</v>
      </c>
      <c r="G11" s="275">
        <v>100</v>
      </c>
      <c r="H11" s="275">
        <f>H8*G11</f>
        <v>110</v>
      </c>
      <c r="I11" s="275"/>
      <c r="J11" s="132">
        <f>H11*I11</f>
        <v>0</v>
      </c>
    </row>
    <row r="12" spans="1:10" x14ac:dyDescent="0.2">
      <c r="A12" s="275">
        <v>1.4</v>
      </c>
      <c r="B12" s="275"/>
      <c r="C12" s="670" t="s">
        <v>269</v>
      </c>
      <c r="D12" s="671"/>
      <c r="E12" s="672"/>
      <c r="F12" s="173" t="s">
        <v>199</v>
      </c>
      <c r="G12" s="275">
        <v>20.8</v>
      </c>
      <c r="H12" s="275">
        <f>H8*G12</f>
        <v>22.88</v>
      </c>
      <c r="I12" s="275"/>
      <c r="J12" s="132">
        <f>H12*I12</f>
        <v>0</v>
      </c>
    </row>
    <row r="13" spans="1:10" ht="70.5" customHeight="1" x14ac:dyDescent="0.2">
      <c r="A13" s="282">
        <v>3</v>
      </c>
      <c r="B13" s="271" t="s">
        <v>276</v>
      </c>
      <c r="C13" s="729" t="s">
        <v>489</v>
      </c>
      <c r="D13" s="675"/>
      <c r="E13" s="676"/>
      <c r="F13" s="271" t="s">
        <v>274</v>
      </c>
      <c r="G13" s="124"/>
      <c r="H13" s="282">
        <v>5.22</v>
      </c>
      <c r="I13" s="282"/>
      <c r="J13" s="171">
        <f>SUM(J14:J17)</f>
        <v>0</v>
      </c>
    </row>
    <row r="14" spans="1:10" x14ac:dyDescent="0.2">
      <c r="A14" s="275">
        <f>A13+0.1</f>
        <v>3.1</v>
      </c>
      <c r="B14" s="275"/>
      <c r="C14" s="670" t="s">
        <v>268</v>
      </c>
      <c r="D14" s="671"/>
      <c r="E14" s="672"/>
      <c r="F14" s="172" t="s">
        <v>24</v>
      </c>
      <c r="G14" s="124">
        <v>60.9</v>
      </c>
      <c r="H14" s="126">
        <f>H13*G14</f>
        <v>317.89999999999998</v>
      </c>
      <c r="I14" s="124"/>
      <c r="J14" s="133">
        <f>H14*I14</f>
        <v>0</v>
      </c>
    </row>
    <row r="15" spans="1:10" x14ac:dyDescent="0.2">
      <c r="A15" s="275">
        <f>A14+0.1</f>
        <v>3.2</v>
      </c>
      <c r="B15" s="275"/>
      <c r="C15" s="670" t="s">
        <v>225</v>
      </c>
      <c r="D15" s="671"/>
      <c r="E15" s="672"/>
      <c r="F15" s="173" t="s">
        <v>199</v>
      </c>
      <c r="G15" s="127">
        <v>0.21</v>
      </c>
      <c r="H15" s="128">
        <f>G15*H13</f>
        <v>1.1000000000000001</v>
      </c>
      <c r="I15" s="127"/>
      <c r="J15" s="134">
        <f>H15*I15</f>
        <v>0</v>
      </c>
    </row>
    <row r="16" spans="1:10" x14ac:dyDescent="0.2">
      <c r="A16" s="275">
        <f>A15+0.1</f>
        <v>3.3</v>
      </c>
      <c r="B16" s="275" t="s">
        <v>37</v>
      </c>
      <c r="C16" s="670" t="s">
        <v>490</v>
      </c>
      <c r="D16" s="671"/>
      <c r="E16" s="672"/>
      <c r="F16" s="284" t="s">
        <v>241</v>
      </c>
      <c r="G16" s="275">
        <v>100</v>
      </c>
      <c r="H16" s="275">
        <f>H13*G16</f>
        <v>522</v>
      </c>
      <c r="I16" s="275"/>
      <c r="J16" s="132">
        <f>H16*I16</f>
        <v>0</v>
      </c>
    </row>
    <row r="17" spans="1:10" x14ac:dyDescent="0.2">
      <c r="A17" s="275">
        <v>1.4</v>
      </c>
      <c r="B17" s="275"/>
      <c r="C17" s="670" t="s">
        <v>269</v>
      </c>
      <c r="D17" s="671"/>
      <c r="E17" s="672"/>
      <c r="F17" s="173" t="s">
        <v>199</v>
      </c>
      <c r="G17" s="275">
        <v>5.6</v>
      </c>
      <c r="H17" s="275">
        <f>H13*G17</f>
        <v>29.231999999999999</v>
      </c>
      <c r="I17" s="275"/>
      <c r="J17" s="132">
        <f>H17*I17</f>
        <v>0</v>
      </c>
    </row>
    <row r="18" spans="1:10" ht="70.5" customHeight="1" x14ac:dyDescent="0.2">
      <c r="A18" s="282">
        <v>4</v>
      </c>
      <c r="B18" s="271" t="s">
        <v>276</v>
      </c>
      <c r="C18" s="729" t="s">
        <v>491</v>
      </c>
      <c r="D18" s="675"/>
      <c r="E18" s="676"/>
      <c r="F18" s="271" t="s">
        <v>349</v>
      </c>
      <c r="G18" s="124"/>
      <c r="H18" s="282">
        <v>1</v>
      </c>
      <c r="I18" s="282"/>
      <c r="J18" s="171">
        <f>SUM(J19:J22)</f>
        <v>0</v>
      </c>
    </row>
    <row r="19" spans="1:10" x14ac:dyDescent="0.2">
      <c r="A19" s="275">
        <f>A18+0.1</f>
        <v>4.0999999999999996</v>
      </c>
      <c r="B19" s="275"/>
      <c r="C19" s="670" t="s">
        <v>268</v>
      </c>
      <c r="D19" s="671"/>
      <c r="E19" s="672"/>
      <c r="F19" s="172" t="s">
        <v>24</v>
      </c>
      <c r="G19" s="124">
        <v>20</v>
      </c>
      <c r="H19" s="126">
        <f>H18*G19</f>
        <v>20</v>
      </c>
      <c r="I19" s="124"/>
      <c r="J19" s="133">
        <f>H19*I19</f>
        <v>0</v>
      </c>
    </row>
    <row r="20" spans="1:10" x14ac:dyDescent="0.2">
      <c r="A20" s="275">
        <f>A19+0.1</f>
        <v>4.2</v>
      </c>
      <c r="B20" s="275"/>
      <c r="C20" s="670" t="s">
        <v>225</v>
      </c>
      <c r="D20" s="671"/>
      <c r="E20" s="672"/>
      <c r="F20" s="173" t="s">
        <v>199</v>
      </c>
      <c r="G20" s="127">
        <v>5</v>
      </c>
      <c r="H20" s="128">
        <f>G20*H18</f>
        <v>5</v>
      </c>
      <c r="I20" s="127"/>
      <c r="J20" s="134">
        <f>H20*I20</f>
        <v>0</v>
      </c>
    </row>
    <row r="21" spans="1:10" x14ac:dyDescent="0.2">
      <c r="A21" s="275">
        <f>A20+0.1</f>
        <v>4.3</v>
      </c>
      <c r="B21" s="275" t="s">
        <v>37</v>
      </c>
      <c r="C21" s="670" t="s">
        <v>492</v>
      </c>
      <c r="D21" s="671"/>
      <c r="E21" s="672"/>
      <c r="F21" s="284" t="s">
        <v>241</v>
      </c>
      <c r="G21" s="275"/>
      <c r="H21" s="275">
        <v>1</v>
      </c>
      <c r="I21" s="275"/>
      <c r="J21" s="132">
        <f>H21*I21</f>
        <v>0</v>
      </c>
    </row>
    <row r="22" spans="1:10" x14ac:dyDescent="0.2">
      <c r="A22" s="275">
        <v>1.4</v>
      </c>
      <c r="B22" s="275"/>
      <c r="C22" s="670" t="s">
        <v>493</v>
      </c>
      <c r="D22" s="671"/>
      <c r="E22" s="672"/>
      <c r="F22" s="173" t="s">
        <v>198</v>
      </c>
      <c r="G22" s="275"/>
      <c r="H22" s="275">
        <v>1</v>
      </c>
      <c r="I22" s="275"/>
      <c r="J22" s="132">
        <f>H22*I22</f>
        <v>0</v>
      </c>
    </row>
    <row r="23" spans="1:10" ht="54" customHeight="1" x14ac:dyDescent="0.2">
      <c r="A23" s="282"/>
      <c r="B23" s="271"/>
      <c r="C23" s="729" t="s">
        <v>494</v>
      </c>
      <c r="D23" s="730"/>
      <c r="E23" s="731"/>
      <c r="F23" s="271" t="s">
        <v>198</v>
      </c>
      <c r="G23" s="124"/>
      <c r="H23" s="282">
        <v>3</v>
      </c>
      <c r="I23" s="282"/>
      <c r="J23" s="171">
        <f>J24+J25+J26+J27</f>
        <v>0</v>
      </c>
    </row>
    <row r="24" spans="1:10" ht="16.5" customHeight="1" x14ac:dyDescent="0.2">
      <c r="A24" s="275">
        <f>A23+0.1</f>
        <v>0.1</v>
      </c>
      <c r="B24" s="275"/>
      <c r="C24" s="670" t="s">
        <v>268</v>
      </c>
      <c r="D24" s="671"/>
      <c r="E24" s="672"/>
      <c r="F24" s="172" t="s">
        <v>24</v>
      </c>
      <c r="G24" s="124">
        <v>6</v>
      </c>
      <c r="H24" s="126">
        <f>H23*G24</f>
        <v>18</v>
      </c>
      <c r="I24" s="124"/>
      <c r="J24" s="133">
        <f>H24*I24</f>
        <v>0</v>
      </c>
    </row>
    <row r="25" spans="1:10" ht="16.5" customHeight="1" x14ac:dyDescent="0.2">
      <c r="A25" s="275">
        <f>A24+0.1</f>
        <v>0.2</v>
      </c>
      <c r="B25" s="275"/>
      <c r="C25" s="670" t="s">
        <v>225</v>
      </c>
      <c r="D25" s="671"/>
      <c r="E25" s="672"/>
      <c r="F25" s="173" t="s">
        <v>199</v>
      </c>
      <c r="G25" s="127">
        <v>0.21</v>
      </c>
      <c r="H25" s="128">
        <f>G25*H23</f>
        <v>0.63</v>
      </c>
      <c r="I25" s="127"/>
      <c r="J25" s="134">
        <f>H25*I25</f>
        <v>0</v>
      </c>
    </row>
    <row r="26" spans="1:10" ht="16.5" customHeight="1" x14ac:dyDescent="0.2">
      <c r="A26" s="275">
        <f>A25+0.1</f>
        <v>0.3</v>
      </c>
      <c r="B26" s="275" t="s">
        <v>37</v>
      </c>
      <c r="C26" s="670" t="s">
        <v>495</v>
      </c>
      <c r="D26" s="671"/>
      <c r="E26" s="672"/>
      <c r="F26" s="284" t="s">
        <v>198</v>
      </c>
      <c r="G26" s="275">
        <v>1</v>
      </c>
      <c r="H26" s="275">
        <f>H23*G26</f>
        <v>3</v>
      </c>
      <c r="I26" s="275"/>
      <c r="J26" s="132">
        <f>H26*I26</f>
        <v>0</v>
      </c>
    </row>
    <row r="27" spans="1:10" ht="16.5" customHeight="1" x14ac:dyDescent="0.2">
      <c r="A27" s="275">
        <v>1.4</v>
      </c>
      <c r="B27" s="275"/>
      <c r="C27" s="670" t="s">
        <v>269</v>
      </c>
      <c r="D27" s="671"/>
      <c r="E27" s="672"/>
      <c r="F27" s="173" t="s">
        <v>199</v>
      </c>
      <c r="G27" s="275">
        <v>1</v>
      </c>
      <c r="H27" s="275">
        <f>H23*G27</f>
        <v>3</v>
      </c>
      <c r="I27" s="275"/>
      <c r="J27" s="132">
        <f>H27*I27</f>
        <v>0</v>
      </c>
    </row>
    <row r="28" spans="1:10" ht="70.5" customHeight="1" x14ac:dyDescent="0.2">
      <c r="A28" s="282">
        <v>6</v>
      </c>
      <c r="B28" s="271" t="s">
        <v>278</v>
      </c>
      <c r="C28" s="729" t="s">
        <v>496</v>
      </c>
      <c r="D28" s="675"/>
      <c r="E28" s="676"/>
      <c r="F28" s="271" t="s">
        <v>87</v>
      </c>
      <c r="G28" s="124"/>
      <c r="H28" s="282">
        <v>2</v>
      </c>
      <c r="I28" s="282"/>
      <c r="J28" s="171">
        <f>SUM(J29:J32)</f>
        <v>0</v>
      </c>
    </row>
    <row r="29" spans="1:10" x14ac:dyDescent="0.2">
      <c r="A29" s="275">
        <f>A28+0.1</f>
        <v>6.1</v>
      </c>
      <c r="B29" s="275"/>
      <c r="C29" s="670" t="s">
        <v>268</v>
      </c>
      <c r="D29" s="671"/>
      <c r="E29" s="672"/>
      <c r="F29" s="172" t="s">
        <v>24</v>
      </c>
      <c r="G29" s="124">
        <v>2.52</v>
      </c>
      <c r="H29" s="126">
        <f>H28*G29</f>
        <v>5.04</v>
      </c>
      <c r="I29" s="124"/>
      <c r="J29" s="133">
        <f>H29*I29</f>
        <v>0</v>
      </c>
    </row>
    <row r="30" spans="1:10" x14ac:dyDescent="0.2">
      <c r="A30" s="275">
        <f>A29+0.1</f>
        <v>6.2</v>
      </c>
      <c r="B30" s="275"/>
      <c r="C30" s="670" t="s">
        <v>225</v>
      </c>
      <c r="D30" s="671"/>
      <c r="E30" s="672"/>
      <c r="F30" s="173" t="s">
        <v>199</v>
      </c>
      <c r="G30" s="127">
        <v>2.2999999999999998</v>
      </c>
      <c r="H30" s="128">
        <f>G30*H28</f>
        <v>4.5999999999999996</v>
      </c>
      <c r="I30" s="127"/>
      <c r="J30" s="134">
        <f>H30*I30</f>
        <v>0</v>
      </c>
    </row>
    <row r="31" spans="1:10" ht="27" customHeight="1" x14ac:dyDescent="0.2">
      <c r="A31" s="275">
        <f>A30+0.1</f>
        <v>6.3</v>
      </c>
      <c r="B31" s="275" t="s">
        <v>37</v>
      </c>
      <c r="C31" s="670" t="s">
        <v>285</v>
      </c>
      <c r="D31" s="671"/>
      <c r="E31" s="672"/>
      <c r="F31" s="284" t="s">
        <v>87</v>
      </c>
      <c r="G31" s="275">
        <v>1</v>
      </c>
      <c r="H31" s="275">
        <f>H28*G31</f>
        <v>2</v>
      </c>
      <c r="I31" s="275"/>
      <c r="J31" s="132">
        <f>H31*I31</f>
        <v>0</v>
      </c>
    </row>
    <row r="32" spans="1:10" x14ac:dyDescent="0.2">
      <c r="A32" s="275">
        <v>1.4</v>
      </c>
      <c r="B32" s="275"/>
      <c r="C32" s="670" t="s">
        <v>269</v>
      </c>
      <c r="D32" s="671"/>
      <c r="E32" s="672"/>
      <c r="F32" s="173" t="s">
        <v>199</v>
      </c>
      <c r="G32" s="275">
        <v>0.25</v>
      </c>
      <c r="H32" s="275">
        <f>H28*G32</f>
        <v>0.5</v>
      </c>
      <c r="I32" s="275"/>
      <c r="J32" s="132">
        <f>H32*I32</f>
        <v>0</v>
      </c>
    </row>
    <row r="33" spans="1:10" ht="70.5" customHeight="1" x14ac:dyDescent="0.2">
      <c r="A33" s="282">
        <v>7</v>
      </c>
      <c r="B33" s="271" t="s">
        <v>276</v>
      </c>
      <c r="C33" s="729" t="s">
        <v>374</v>
      </c>
      <c r="D33" s="675"/>
      <c r="E33" s="676"/>
      <c r="F33" s="271" t="s">
        <v>206</v>
      </c>
      <c r="G33" s="124"/>
      <c r="H33" s="282">
        <v>3</v>
      </c>
      <c r="I33" s="282"/>
      <c r="J33" s="171">
        <f>SUM(J34:J37)</f>
        <v>0</v>
      </c>
    </row>
    <row r="34" spans="1:10" x14ac:dyDescent="0.2">
      <c r="A34" s="275">
        <f>A33+0.1</f>
        <v>7.1</v>
      </c>
      <c r="B34" s="275"/>
      <c r="C34" s="670" t="s">
        <v>268</v>
      </c>
      <c r="D34" s="671"/>
      <c r="E34" s="672"/>
      <c r="F34" s="172" t="s">
        <v>24</v>
      </c>
      <c r="G34" s="124">
        <v>2.52</v>
      </c>
      <c r="H34" s="126">
        <f>H33*G34</f>
        <v>7.56</v>
      </c>
      <c r="I34" s="124"/>
      <c r="J34" s="133">
        <f>H34*I34</f>
        <v>0</v>
      </c>
    </row>
    <row r="35" spans="1:10" x14ac:dyDescent="0.2">
      <c r="A35" s="275">
        <f>A34+0.1</f>
        <v>7.2</v>
      </c>
      <c r="B35" s="275"/>
      <c r="C35" s="670" t="s">
        <v>225</v>
      </c>
      <c r="D35" s="671"/>
      <c r="E35" s="672"/>
      <c r="F35" s="173" t="s">
        <v>199</v>
      </c>
      <c r="G35" s="127">
        <v>2.2999999999999998</v>
      </c>
      <c r="H35" s="128">
        <f>G35*H33</f>
        <v>6.9</v>
      </c>
      <c r="I35" s="127"/>
      <c r="J35" s="134">
        <f>H35*I35</f>
        <v>0</v>
      </c>
    </row>
    <row r="36" spans="1:10" x14ac:dyDescent="0.2">
      <c r="A36" s="275">
        <f>A35+0.1</f>
        <v>7.3</v>
      </c>
      <c r="B36" s="275" t="s">
        <v>37</v>
      </c>
      <c r="C36" s="670" t="s">
        <v>373</v>
      </c>
      <c r="D36" s="671"/>
      <c r="E36" s="672"/>
      <c r="F36" s="284" t="s">
        <v>206</v>
      </c>
      <c r="G36" s="275">
        <v>1</v>
      </c>
      <c r="H36" s="275">
        <f>H33*G36</f>
        <v>3</v>
      </c>
      <c r="I36" s="275"/>
      <c r="J36" s="132">
        <f>H36*I36</f>
        <v>0</v>
      </c>
    </row>
    <row r="37" spans="1:10" x14ac:dyDescent="0.2">
      <c r="A37" s="275">
        <v>1.4</v>
      </c>
      <c r="B37" s="275"/>
      <c r="C37" s="670" t="s">
        <v>269</v>
      </c>
      <c r="D37" s="671"/>
      <c r="E37" s="672"/>
      <c r="F37" s="173" t="s">
        <v>199</v>
      </c>
      <c r="G37" s="275">
        <v>0.25</v>
      </c>
      <c r="H37" s="275">
        <f>H33*G37</f>
        <v>0.75</v>
      </c>
      <c r="I37" s="275"/>
      <c r="J37" s="132">
        <f>H37*I37</f>
        <v>0</v>
      </c>
    </row>
    <row r="38" spans="1:10" ht="72.75" customHeight="1" x14ac:dyDescent="0.2">
      <c r="A38" s="282">
        <v>8</v>
      </c>
      <c r="B38" s="271" t="s">
        <v>279</v>
      </c>
      <c r="C38" s="729" t="s">
        <v>280</v>
      </c>
      <c r="D38" s="730"/>
      <c r="E38" s="731"/>
      <c r="F38" s="271" t="s">
        <v>281</v>
      </c>
      <c r="G38" s="127"/>
      <c r="H38" s="282">
        <v>0.8</v>
      </c>
      <c r="I38" s="127"/>
      <c r="J38" s="171">
        <f>SUM(J39:J42)</f>
        <v>0</v>
      </c>
    </row>
    <row r="39" spans="1:10" ht="32.25" customHeight="1" x14ac:dyDescent="0.2">
      <c r="A39" s="275">
        <f>A38+0.1</f>
        <v>8.1</v>
      </c>
      <c r="B39" s="275"/>
      <c r="C39" s="670" t="s">
        <v>268</v>
      </c>
      <c r="D39" s="671"/>
      <c r="E39" s="672"/>
      <c r="F39" s="172" t="s">
        <v>24</v>
      </c>
      <c r="G39" s="124">
        <v>5.84</v>
      </c>
      <c r="H39" s="126">
        <f>H38*G39</f>
        <v>4.67</v>
      </c>
      <c r="I39" s="124"/>
      <c r="J39" s="133">
        <f>H39*I39</f>
        <v>0</v>
      </c>
    </row>
    <row r="40" spans="1:10" ht="16.5" customHeight="1" x14ac:dyDescent="0.2">
      <c r="A40" s="275">
        <f>A39+0.1</f>
        <v>8.1999999999999993</v>
      </c>
      <c r="B40" s="275"/>
      <c r="C40" s="670" t="s">
        <v>225</v>
      </c>
      <c r="D40" s="671"/>
      <c r="E40" s="672"/>
      <c r="F40" s="173" t="s">
        <v>199</v>
      </c>
      <c r="G40" s="127">
        <v>2.27</v>
      </c>
      <c r="H40" s="128">
        <f>G40*H38</f>
        <v>1.82</v>
      </c>
      <c r="I40" s="127"/>
      <c r="J40" s="134">
        <f>H40*I40</f>
        <v>0</v>
      </c>
    </row>
    <row r="41" spans="1:10" ht="16.5" customHeight="1" x14ac:dyDescent="0.2">
      <c r="A41" s="275">
        <f>A40+0.1</f>
        <v>8.3000000000000007</v>
      </c>
      <c r="B41" s="275" t="s">
        <v>37</v>
      </c>
      <c r="C41" s="670" t="s">
        <v>282</v>
      </c>
      <c r="D41" s="671"/>
      <c r="E41" s="672"/>
      <c r="F41" s="284" t="s">
        <v>198</v>
      </c>
      <c r="G41" s="275">
        <v>10</v>
      </c>
      <c r="H41" s="275">
        <f>H38*G41</f>
        <v>8</v>
      </c>
      <c r="I41" s="275"/>
      <c r="J41" s="132">
        <f>H41*I41</f>
        <v>0</v>
      </c>
    </row>
    <row r="42" spans="1:10" ht="16.5" customHeight="1" x14ac:dyDescent="0.2">
      <c r="A42" s="275">
        <f>A41+0.1</f>
        <v>8.4</v>
      </c>
      <c r="B42" s="275"/>
      <c r="C42" s="670" t="s">
        <v>269</v>
      </c>
      <c r="D42" s="671"/>
      <c r="E42" s="672"/>
      <c r="F42" s="173" t="s">
        <v>199</v>
      </c>
      <c r="G42" s="275">
        <v>0.24</v>
      </c>
      <c r="H42" s="129">
        <f>G42*H38</f>
        <v>0.2</v>
      </c>
      <c r="I42" s="275"/>
      <c r="J42" s="132">
        <f>H42*I42</f>
        <v>0</v>
      </c>
    </row>
    <row r="43" spans="1:10" ht="106.5" customHeight="1" x14ac:dyDescent="0.2">
      <c r="A43" s="282">
        <v>9</v>
      </c>
      <c r="B43" s="271" t="s">
        <v>279</v>
      </c>
      <c r="C43" s="729" t="s">
        <v>283</v>
      </c>
      <c r="D43" s="730"/>
      <c r="E43" s="731"/>
      <c r="F43" s="271" t="s">
        <v>284</v>
      </c>
      <c r="G43" s="127"/>
      <c r="H43" s="282">
        <v>0.15</v>
      </c>
      <c r="I43" s="127"/>
      <c r="J43" s="171">
        <f>SUM(J44:J52)</f>
        <v>0</v>
      </c>
    </row>
    <row r="44" spans="1:10" ht="32.25" customHeight="1" x14ac:dyDescent="0.2">
      <c r="A44" s="275">
        <f t="shared" ref="A44:A51" si="0">A43+0.1</f>
        <v>9.1</v>
      </c>
      <c r="B44" s="275"/>
      <c r="C44" s="670" t="s">
        <v>268</v>
      </c>
      <c r="D44" s="671"/>
      <c r="E44" s="672"/>
      <c r="F44" s="172" t="s">
        <v>24</v>
      </c>
      <c r="G44" s="124">
        <v>146</v>
      </c>
      <c r="H44" s="126">
        <v>21.9</v>
      </c>
      <c r="I44" s="124"/>
      <c r="J44" s="132">
        <f>H44*I44</f>
        <v>0</v>
      </c>
    </row>
    <row r="45" spans="1:10" ht="16.5" customHeight="1" x14ac:dyDescent="0.2">
      <c r="A45" s="275">
        <f t="shared" si="0"/>
        <v>9.1999999999999993</v>
      </c>
      <c r="B45" s="275"/>
      <c r="C45" s="670" t="s">
        <v>225</v>
      </c>
      <c r="D45" s="671"/>
      <c r="E45" s="672"/>
      <c r="F45" s="173" t="s">
        <v>199</v>
      </c>
      <c r="G45" s="127">
        <v>55</v>
      </c>
      <c r="H45" s="128">
        <v>8.25</v>
      </c>
      <c r="I45" s="127"/>
      <c r="J45" s="132">
        <f t="shared" ref="J45:J52" si="1">H45*I45</f>
        <v>0</v>
      </c>
    </row>
    <row r="46" spans="1:10" ht="16.5" customHeight="1" x14ac:dyDescent="0.2">
      <c r="A46" s="275">
        <f t="shared" si="0"/>
        <v>9.3000000000000007</v>
      </c>
      <c r="B46" s="275" t="s">
        <v>37</v>
      </c>
      <c r="C46" s="670" t="s">
        <v>285</v>
      </c>
      <c r="D46" s="671"/>
      <c r="E46" s="672"/>
      <c r="F46" s="284" t="s">
        <v>87</v>
      </c>
      <c r="G46" s="275">
        <v>1.24</v>
      </c>
      <c r="H46" s="275">
        <v>0.186</v>
      </c>
      <c r="I46" s="275"/>
      <c r="J46" s="132">
        <f t="shared" si="1"/>
        <v>0</v>
      </c>
    </row>
    <row r="47" spans="1:10" ht="16.5" customHeight="1" x14ac:dyDescent="0.2">
      <c r="A47" s="275">
        <f t="shared" si="0"/>
        <v>9.4</v>
      </c>
      <c r="B47" s="275" t="s">
        <v>37</v>
      </c>
      <c r="C47" s="670" t="s">
        <v>286</v>
      </c>
      <c r="D47" s="671"/>
      <c r="E47" s="672"/>
      <c r="F47" s="284" t="s">
        <v>87</v>
      </c>
      <c r="G47" s="275">
        <v>0.38</v>
      </c>
      <c r="H47" s="275">
        <v>5.7000000000000002E-2</v>
      </c>
      <c r="I47" s="275"/>
      <c r="J47" s="132">
        <f t="shared" si="1"/>
        <v>0</v>
      </c>
    </row>
    <row r="48" spans="1:10" ht="16.5" customHeight="1" x14ac:dyDescent="0.2">
      <c r="A48" s="275">
        <f t="shared" si="0"/>
        <v>9.5</v>
      </c>
      <c r="B48" s="275" t="s">
        <v>37</v>
      </c>
      <c r="C48" s="670" t="s">
        <v>287</v>
      </c>
      <c r="D48" s="671"/>
      <c r="E48" s="672"/>
      <c r="F48" s="284" t="s">
        <v>192</v>
      </c>
      <c r="G48" s="275">
        <v>0.16</v>
      </c>
      <c r="H48" s="275">
        <v>2.4E-2</v>
      </c>
      <c r="I48" s="275"/>
      <c r="J48" s="132">
        <f t="shared" si="1"/>
        <v>0</v>
      </c>
    </row>
    <row r="49" spans="1:10" ht="16.5" customHeight="1" x14ac:dyDescent="0.2">
      <c r="A49" s="275">
        <f t="shared" si="0"/>
        <v>9.6</v>
      </c>
      <c r="B49" s="275" t="s">
        <v>37</v>
      </c>
      <c r="C49" s="670" t="s">
        <v>288</v>
      </c>
      <c r="D49" s="671"/>
      <c r="E49" s="672"/>
      <c r="F49" s="284" t="s">
        <v>87</v>
      </c>
      <c r="G49" s="275">
        <v>7.0000000000000007E-2</v>
      </c>
      <c r="H49" s="275">
        <v>1.302E-2</v>
      </c>
      <c r="I49" s="275"/>
      <c r="J49" s="132">
        <f t="shared" si="1"/>
        <v>0</v>
      </c>
    </row>
    <row r="50" spans="1:10" ht="33.75" customHeight="1" x14ac:dyDescent="0.2">
      <c r="A50" s="275">
        <f t="shared" si="0"/>
        <v>9.6999999999999993</v>
      </c>
      <c r="B50" s="275" t="s">
        <v>37</v>
      </c>
      <c r="C50" s="670" t="s">
        <v>289</v>
      </c>
      <c r="D50" s="671"/>
      <c r="E50" s="672"/>
      <c r="F50" s="284" t="s">
        <v>87</v>
      </c>
      <c r="G50" s="275">
        <v>1.38</v>
      </c>
      <c r="H50" s="275">
        <v>0.20699999999999999</v>
      </c>
      <c r="I50" s="275"/>
      <c r="J50" s="132">
        <f t="shared" si="1"/>
        <v>0</v>
      </c>
    </row>
    <row r="51" spans="1:10" ht="33.75" customHeight="1" x14ac:dyDescent="0.2">
      <c r="A51" s="275">
        <f t="shared" si="0"/>
        <v>9.8000000000000007</v>
      </c>
      <c r="B51" s="275" t="s">
        <v>37</v>
      </c>
      <c r="C51" s="670" t="s">
        <v>290</v>
      </c>
      <c r="D51" s="671"/>
      <c r="E51" s="672"/>
      <c r="F51" s="284" t="s">
        <v>206</v>
      </c>
      <c r="G51" s="275"/>
      <c r="H51" s="275">
        <v>1</v>
      </c>
      <c r="I51" s="275"/>
      <c r="J51" s="132">
        <f t="shared" si="1"/>
        <v>0</v>
      </c>
    </row>
    <row r="52" spans="1:10" ht="16.5" customHeight="1" x14ac:dyDescent="0.2">
      <c r="A52" s="275">
        <v>2.9</v>
      </c>
      <c r="B52" s="275"/>
      <c r="C52" s="670" t="s">
        <v>269</v>
      </c>
      <c r="D52" s="671"/>
      <c r="E52" s="672"/>
      <c r="F52" s="173" t="s">
        <v>199</v>
      </c>
      <c r="G52" s="275">
        <v>25.4</v>
      </c>
      <c r="H52" s="129">
        <v>3.8</v>
      </c>
      <c r="I52" s="275"/>
      <c r="J52" s="132">
        <f t="shared" si="1"/>
        <v>0</v>
      </c>
    </row>
    <row r="53" spans="1:10" ht="72.75" customHeight="1" x14ac:dyDescent="0.2">
      <c r="A53" s="282">
        <v>10</v>
      </c>
      <c r="B53" s="271" t="s">
        <v>291</v>
      </c>
      <c r="C53" s="729" t="s">
        <v>292</v>
      </c>
      <c r="D53" s="730"/>
      <c r="E53" s="731"/>
      <c r="F53" s="271" t="s">
        <v>206</v>
      </c>
      <c r="G53" s="127"/>
      <c r="H53" s="282">
        <v>1</v>
      </c>
      <c r="I53" s="127"/>
      <c r="J53" s="171">
        <f>SUM(J54:J57)</f>
        <v>0</v>
      </c>
    </row>
    <row r="54" spans="1:10" ht="32.25" customHeight="1" x14ac:dyDescent="0.2">
      <c r="A54" s="275">
        <f>A53+0.1</f>
        <v>10.1</v>
      </c>
      <c r="B54" s="275"/>
      <c r="C54" s="670" t="s">
        <v>268</v>
      </c>
      <c r="D54" s="671"/>
      <c r="E54" s="672"/>
      <c r="F54" s="172" t="s">
        <v>24</v>
      </c>
      <c r="G54" s="124">
        <v>25.2</v>
      </c>
      <c r="H54" s="126">
        <v>25.2</v>
      </c>
      <c r="I54" s="124"/>
      <c r="J54" s="132">
        <f>H54*I54</f>
        <v>0</v>
      </c>
    </row>
    <row r="55" spans="1:10" ht="16.5" customHeight="1" x14ac:dyDescent="0.2">
      <c r="A55" s="275">
        <f>A54+0.1</f>
        <v>10.199999999999999</v>
      </c>
      <c r="B55" s="275"/>
      <c r="C55" s="670" t="s">
        <v>225</v>
      </c>
      <c r="D55" s="671"/>
      <c r="E55" s="672"/>
      <c r="F55" s="173" t="s">
        <v>199</v>
      </c>
      <c r="G55" s="127">
        <v>2.2999999999999998</v>
      </c>
      <c r="H55" s="128">
        <v>2.2999999999999998</v>
      </c>
      <c r="I55" s="127"/>
      <c r="J55" s="132">
        <f t="shared" ref="J55:J57" si="2">H55*I55</f>
        <v>0</v>
      </c>
    </row>
    <row r="56" spans="1:10" ht="16.5" customHeight="1" x14ac:dyDescent="0.2">
      <c r="A56" s="275">
        <f>A55+0.1</f>
        <v>10.3</v>
      </c>
      <c r="B56" s="275" t="s">
        <v>37</v>
      </c>
      <c r="C56" s="670" t="s">
        <v>293</v>
      </c>
      <c r="D56" s="671"/>
      <c r="E56" s="672"/>
      <c r="F56" s="284" t="s">
        <v>198</v>
      </c>
      <c r="G56" s="275">
        <v>1</v>
      </c>
      <c r="H56" s="275">
        <v>1</v>
      </c>
      <c r="I56" s="275"/>
      <c r="J56" s="132">
        <f t="shared" si="2"/>
        <v>0</v>
      </c>
    </row>
    <row r="57" spans="1:10" ht="16.5" customHeight="1" x14ac:dyDescent="0.2">
      <c r="A57" s="275">
        <f>A56+0.1</f>
        <v>10.4</v>
      </c>
      <c r="B57" s="275"/>
      <c r="C57" s="670" t="s">
        <v>269</v>
      </c>
      <c r="D57" s="671"/>
      <c r="E57" s="672"/>
      <c r="F57" s="173" t="s">
        <v>199</v>
      </c>
      <c r="G57" s="275">
        <v>25.4</v>
      </c>
      <c r="H57" s="129">
        <v>25.4</v>
      </c>
      <c r="I57" s="275"/>
      <c r="J57" s="132">
        <f t="shared" si="2"/>
        <v>0</v>
      </c>
    </row>
    <row r="58" spans="1:10" ht="58.5" customHeight="1" x14ac:dyDescent="0.2">
      <c r="A58" s="282">
        <v>11</v>
      </c>
      <c r="B58" s="271" t="s">
        <v>294</v>
      </c>
      <c r="C58" s="729" t="s">
        <v>295</v>
      </c>
      <c r="D58" s="675"/>
      <c r="E58" s="676"/>
      <c r="F58" s="271" t="s">
        <v>284</v>
      </c>
      <c r="G58" s="127"/>
      <c r="H58" s="282">
        <v>0.4</v>
      </c>
      <c r="I58" s="127"/>
      <c r="J58" s="171">
        <f>J59+J60+J61+J62+J63+J64+J65++J66+J67</f>
        <v>0</v>
      </c>
    </row>
    <row r="59" spans="1:10" ht="34.5" customHeight="1" x14ac:dyDescent="0.2">
      <c r="A59" s="275">
        <f>A58+0.1</f>
        <v>11.1</v>
      </c>
      <c r="B59" s="282"/>
      <c r="C59" s="670" t="s">
        <v>268</v>
      </c>
      <c r="D59" s="671"/>
      <c r="E59" s="672"/>
      <c r="F59" s="172" t="s">
        <v>24</v>
      </c>
      <c r="G59" s="124">
        <v>10</v>
      </c>
      <c r="H59" s="126">
        <f>H58*G59</f>
        <v>4</v>
      </c>
      <c r="I59" s="124"/>
      <c r="J59" s="133">
        <f t="shared" ref="J59:J65" si="3">H59*I59</f>
        <v>0</v>
      </c>
    </row>
    <row r="60" spans="1:10" ht="18.75" customHeight="1" x14ac:dyDescent="0.2">
      <c r="A60" s="275">
        <f>A59+0.1</f>
        <v>11.2</v>
      </c>
      <c r="B60" s="275"/>
      <c r="C60" s="670" t="s">
        <v>225</v>
      </c>
      <c r="D60" s="671"/>
      <c r="E60" s="672"/>
      <c r="F60" s="173" t="s">
        <v>199</v>
      </c>
      <c r="G60" s="127">
        <v>35</v>
      </c>
      <c r="H60" s="128">
        <f>G60*H58</f>
        <v>14</v>
      </c>
      <c r="I60" s="127"/>
      <c r="J60" s="134">
        <f t="shared" si="3"/>
        <v>0</v>
      </c>
    </row>
    <row r="61" spans="1:10" ht="17.25" customHeight="1" x14ac:dyDescent="0.2">
      <c r="A61" s="275">
        <f>A60+0.1</f>
        <v>11.3</v>
      </c>
      <c r="B61" s="275"/>
      <c r="C61" s="670" t="s">
        <v>285</v>
      </c>
      <c r="D61" s="671"/>
      <c r="E61" s="672"/>
      <c r="F61" s="173" t="s">
        <v>87</v>
      </c>
      <c r="G61" s="275">
        <v>1.24</v>
      </c>
      <c r="H61" s="275">
        <f>H58*G61</f>
        <v>0.496</v>
      </c>
      <c r="I61" s="275"/>
      <c r="J61" s="132">
        <f t="shared" si="3"/>
        <v>0</v>
      </c>
    </row>
    <row r="62" spans="1:10" ht="21" customHeight="1" x14ac:dyDescent="0.2">
      <c r="A62" s="275">
        <f>A61+0.1</f>
        <v>11.4</v>
      </c>
      <c r="B62" s="275" t="s">
        <v>37</v>
      </c>
      <c r="C62" s="670" t="s">
        <v>296</v>
      </c>
      <c r="D62" s="671"/>
      <c r="E62" s="672"/>
      <c r="F62" s="173" t="s">
        <v>87</v>
      </c>
      <c r="G62" s="275">
        <v>0.38</v>
      </c>
      <c r="H62" s="275">
        <f>H58*G62</f>
        <v>0.152</v>
      </c>
      <c r="I62" s="275"/>
      <c r="J62" s="132">
        <f t="shared" si="3"/>
        <v>0</v>
      </c>
    </row>
    <row r="63" spans="1:10" ht="21" customHeight="1" x14ac:dyDescent="0.2">
      <c r="A63" s="275">
        <f>A62+0.1</f>
        <v>11.5</v>
      </c>
      <c r="B63" s="275" t="s">
        <v>37</v>
      </c>
      <c r="C63" s="670" t="s">
        <v>287</v>
      </c>
      <c r="D63" s="671"/>
      <c r="E63" s="672"/>
      <c r="F63" s="173" t="s">
        <v>192</v>
      </c>
      <c r="G63" s="275">
        <v>0.1</v>
      </c>
      <c r="H63" s="275">
        <f>H58*G63</f>
        <v>0.04</v>
      </c>
      <c r="I63" s="275"/>
      <c r="J63" s="132">
        <f t="shared" si="3"/>
        <v>0</v>
      </c>
    </row>
    <row r="64" spans="1:10" ht="21" customHeight="1" x14ac:dyDescent="0.2">
      <c r="A64" s="275">
        <v>3.6</v>
      </c>
      <c r="B64" s="275" t="s">
        <v>37</v>
      </c>
      <c r="C64" s="670" t="s">
        <v>288</v>
      </c>
      <c r="D64" s="671"/>
      <c r="E64" s="672"/>
      <c r="F64" s="173" t="s">
        <v>87</v>
      </c>
      <c r="G64" s="275">
        <v>7.0000000000000007E-2</v>
      </c>
      <c r="H64" s="123">
        <f>G64*H58</f>
        <v>0.03</v>
      </c>
      <c r="I64" s="275"/>
      <c r="J64" s="132">
        <f t="shared" si="3"/>
        <v>0</v>
      </c>
    </row>
    <row r="65" spans="1:11" ht="33" customHeight="1" x14ac:dyDescent="0.2">
      <c r="A65" s="275">
        <v>3.7</v>
      </c>
      <c r="B65" s="275" t="s">
        <v>37</v>
      </c>
      <c r="C65" s="670" t="s">
        <v>593</v>
      </c>
      <c r="D65" s="671"/>
      <c r="E65" s="672"/>
      <c r="F65" s="173" t="s">
        <v>87</v>
      </c>
      <c r="G65" s="275">
        <v>0.2</v>
      </c>
      <c r="H65" s="123">
        <f>H58*G65</f>
        <v>0.08</v>
      </c>
      <c r="I65" s="275"/>
      <c r="J65" s="132">
        <f t="shared" si="3"/>
        <v>0</v>
      </c>
    </row>
    <row r="66" spans="1:11" ht="18.75" customHeight="1" x14ac:dyDescent="0.2">
      <c r="A66" s="275">
        <v>3.8</v>
      </c>
      <c r="B66" s="275" t="s">
        <v>37</v>
      </c>
      <c r="C66" s="670" t="s">
        <v>290</v>
      </c>
      <c r="D66" s="671"/>
      <c r="E66" s="672"/>
      <c r="F66" s="173" t="s">
        <v>198</v>
      </c>
      <c r="G66" s="275">
        <v>2</v>
      </c>
      <c r="H66" s="123"/>
      <c r="I66" s="275"/>
      <c r="J66" s="132">
        <f>G66*I66</f>
        <v>0</v>
      </c>
    </row>
    <row r="67" spans="1:11" ht="21" customHeight="1" x14ac:dyDescent="0.2">
      <c r="A67" s="275">
        <v>3.9</v>
      </c>
      <c r="B67" s="275" t="s">
        <v>37</v>
      </c>
      <c r="C67" s="670" t="s">
        <v>269</v>
      </c>
      <c r="D67" s="671"/>
      <c r="E67" s="672"/>
      <c r="F67" s="173" t="s">
        <v>199</v>
      </c>
      <c r="G67" s="275">
        <v>25.4</v>
      </c>
      <c r="H67" s="123">
        <f>H58*G67</f>
        <v>10.16</v>
      </c>
      <c r="I67" s="275"/>
      <c r="J67" s="132">
        <f>H67*I67</f>
        <v>0</v>
      </c>
    </row>
    <row r="68" spans="1:11" ht="60" customHeight="1" x14ac:dyDescent="0.2">
      <c r="A68" s="282">
        <v>12</v>
      </c>
      <c r="B68" s="271" t="s">
        <v>297</v>
      </c>
      <c r="C68" s="729" t="s">
        <v>298</v>
      </c>
      <c r="D68" s="675"/>
      <c r="E68" s="676"/>
      <c r="F68" s="271" t="s">
        <v>87</v>
      </c>
      <c r="G68" s="127"/>
      <c r="H68" s="282">
        <v>10</v>
      </c>
      <c r="I68" s="127"/>
      <c r="J68" s="171">
        <f>SUM(J69:J70)</f>
        <v>0</v>
      </c>
    </row>
    <row r="69" spans="1:11" ht="36.75" customHeight="1" x14ac:dyDescent="0.2">
      <c r="A69" s="275">
        <f>A68+0.1</f>
        <v>12.1</v>
      </c>
      <c r="B69" s="275"/>
      <c r="C69" s="670" t="s">
        <v>268</v>
      </c>
      <c r="D69" s="671"/>
      <c r="E69" s="672"/>
      <c r="F69" s="172" t="s">
        <v>24</v>
      </c>
      <c r="G69" s="124">
        <v>1.8</v>
      </c>
      <c r="H69" s="126">
        <f>H68*G69</f>
        <v>18</v>
      </c>
      <c r="I69" s="124"/>
      <c r="J69" s="133">
        <f>H69*I69</f>
        <v>0</v>
      </c>
    </row>
    <row r="70" spans="1:11" ht="40.5" customHeight="1" x14ac:dyDescent="0.2">
      <c r="A70" s="275">
        <v>5.2</v>
      </c>
      <c r="B70" s="275"/>
      <c r="C70" s="670" t="s">
        <v>299</v>
      </c>
      <c r="D70" s="671"/>
      <c r="E70" s="672"/>
      <c r="F70" s="173" t="s">
        <v>87</v>
      </c>
      <c r="G70" s="275">
        <v>0.2</v>
      </c>
      <c r="H70" s="123">
        <f>H68*G70</f>
        <v>2</v>
      </c>
      <c r="I70" s="275"/>
      <c r="J70" s="132">
        <f>H70*I70</f>
        <v>0</v>
      </c>
    </row>
    <row r="71" spans="1:11" ht="60" customHeight="1" x14ac:dyDescent="0.2">
      <c r="A71" s="282">
        <v>13</v>
      </c>
      <c r="B71" s="271" t="s">
        <v>297</v>
      </c>
      <c r="C71" s="729" t="s">
        <v>300</v>
      </c>
      <c r="D71" s="675"/>
      <c r="E71" s="676"/>
      <c r="F71" s="271" t="s">
        <v>87</v>
      </c>
      <c r="G71" s="127"/>
      <c r="H71" s="282">
        <v>5</v>
      </c>
      <c r="I71" s="127"/>
      <c r="J71" s="171">
        <f>SUM(J72:J73)</f>
        <v>0</v>
      </c>
    </row>
    <row r="72" spans="1:11" ht="34.5" customHeight="1" x14ac:dyDescent="0.2">
      <c r="A72" s="275">
        <f>A71+0.1</f>
        <v>13.1</v>
      </c>
      <c r="B72" s="275"/>
      <c r="C72" s="670" t="s">
        <v>268</v>
      </c>
      <c r="D72" s="671"/>
      <c r="E72" s="672"/>
      <c r="F72" s="172" t="s">
        <v>24</v>
      </c>
      <c r="G72" s="124">
        <v>1.8</v>
      </c>
      <c r="H72" s="126">
        <f>H71*G72</f>
        <v>9</v>
      </c>
      <c r="I72" s="124"/>
      <c r="J72" s="133">
        <f>H72*I72</f>
        <v>0</v>
      </c>
    </row>
    <row r="73" spans="1:11" ht="20.25" customHeight="1" x14ac:dyDescent="0.2">
      <c r="A73" s="275">
        <v>6.2</v>
      </c>
      <c r="B73" s="275" t="s">
        <v>37</v>
      </c>
      <c r="C73" s="670" t="s">
        <v>299</v>
      </c>
      <c r="D73" s="671"/>
      <c r="E73" s="672"/>
      <c r="F73" s="173" t="s">
        <v>87</v>
      </c>
      <c r="G73" s="275">
        <v>0.2</v>
      </c>
      <c r="H73" s="123">
        <f>H71*G73</f>
        <v>1</v>
      </c>
      <c r="I73" s="275"/>
      <c r="J73" s="132">
        <f>H73*I73</f>
        <v>0</v>
      </c>
    </row>
    <row r="74" spans="1:11" ht="60" customHeight="1" x14ac:dyDescent="0.2">
      <c r="A74" s="282">
        <v>14</v>
      </c>
      <c r="B74" s="271" t="s">
        <v>301</v>
      </c>
      <c r="C74" s="729" t="s">
        <v>302</v>
      </c>
      <c r="D74" s="675"/>
      <c r="E74" s="676"/>
      <c r="F74" s="271" t="s">
        <v>303</v>
      </c>
      <c r="G74" s="127"/>
      <c r="H74" s="282">
        <v>1</v>
      </c>
      <c r="I74" s="127"/>
      <c r="J74" s="171">
        <f>J75+J76+J77+J78</f>
        <v>0</v>
      </c>
    </row>
    <row r="75" spans="1:11" ht="31.5" customHeight="1" x14ac:dyDescent="0.2">
      <c r="A75" s="275">
        <f>A74+0.1</f>
        <v>14.1</v>
      </c>
      <c r="B75" s="275"/>
      <c r="C75" s="670" t="s">
        <v>268</v>
      </c>
      <c r="D75" s="671"/>
      <c r="E75" s="672"/>
      <c r="F75" s="172" t="s">
        <v>24</v>
      </c>
      <c r="G75" s="124">
        <v>11.5</v>
      </c>
      <c r="H75" s="126">
        <f>H74*G75</f>
        <v>11.5</v>
      </c>
      <c r="I75" s="124"/>
      <c r="J75" s="133">
        <f>H75*I75</f>
        <v>0</v>
      </c>
    </row>
    <row r="76" spans="1:11" ht="20.25" customHeight="1" x14ac:dyDescent="0.2">
      <c r="A76" s="275">
        <v>7.2</v>
      </c>
      <c r="B76" s="275" t="s">
        <v>37</v>
      </c>
      <c r="C76" s="670" t="s">
        <v>225</v>
      </c>
      <c r="D76" s="671"/>
      <c r="E76" s="672"/>
      <c r="F76" s="173" t="s">
        <v>199</v>
      </c>
      <c r="G76" s="275">
        <v>0.94</v>
      </c>
      <c r="H76" s="123">
        <f>H74*G76</f>
        <v>0.94</v>
      </c>
      <c r="I76" s="275"/>
      <c r="J76" s="132">
        <f>H76*I76</f>
        <v>0</v>
      </c>
    </row>
    <row r="77" spans="1:11" ht="20.25" customHeight="1" x14ac:dyDescent="0.2">
      <c r="A77" s="275">
        <v>7.2</v>
      </c>
      <c r="B77" s="275" t="s">
        <v>37</v>
      </c>
      <c r="C77" s="670" t="s">
        <v>304</v>
      </c>
      <c r="D77" s="671"/>
      <c r="E77" s="672"/>
      <c r="F77" s="173" t="s">
        <v>241</v>
      </c>
      <c r="G77" s="275">
        <v>0.4</v>
      </c>
      <c r="H77" s="123">
        <v>0.4</v>
      </c>
      <c r="I77" s="275"/>
      <c r="J77" s="132">
        <f>H77*I77</f>
        <v>0</v>
      </c>
    </row>
    <row r="78" spans="1:11" ht="20.25" customHeight="1" x14ac:dyDescent="0.2">
      <c r="A78" s="275">
        <v>7.2</v>
      </c>
      <c r="B78" s="275" t="s">
        <v>37</v>
      </c>
      <c r="C78" s="670" t="s">
        <v>269</v>
      </c>
      <c r="D78" s="671"/>
      <c r="E78" s="672"/>
      <c r="F78" s="173" t="s">
        <v>199</v>
      </c>
      <c r="G78" s="275">
        <v>1.3</v>
      </c>
      <c r="H78" s="123">
        <v>1.3</v>
      </c>
      <c r="I78" s="275"/>
      <c r="J78" s="132">
        <f>H78*I78</f>
        <v>0</v>
      </c>
    </row>
    <row r="79" spans="1:11" ht="57" customHeight="1" x14ac:dyDescent="0.2">
      <c r="A79" s="282">
        <v>13</v>
      </c>
      <c r="B79" s="271" t="s">
        <v>305</v>
      </c>
      <c r="C79" s="729" t="s">
        <v>306</v>
      </c>
      <c r="D79" s="675"/>
      <c r="E79" s="676"/>
      <c r="F79" s="271" t="s">
        <v>307</v>
      </c>
      <c r="G79" s="127"/>
      <c r="H79" s="282">
        <v>1</v>
      </c>
      <c r="I79" s="127"/>
      <c r="J79" s="171">
        <f>SUM(J80:K80)</f>
        <v>0</v>
      </c>
      <c r="K79" s="178"/>
    </row>
    <row r="80" spans="1:11" ht="39" customHeight="1" x14ac:dyDescent="0.2">
      <c r="A80" s="275">
        <f>A79+0.1</f>
        <v>13.1</v>
      </c>
      <c r="B80" s="282"/>
      <c r="C80" s="670" t="s">
        <v>268</v>
      </c>
      <c r="D80" s="671"/>
      <c r="E80" s="672"/>
      <c r="F80" s="172" t="s">
        <v>24</v>
      </c>
      <c r="G80" s="180">
        <v>247.8</v>
      </c>
      <c r="H80" s="176">
        <f>H79*G80</f>
        <v>247.8</v>
      </c>
      <c r="I80" s="124"/>
      <c r="J80" s="177">
        <f>H80*I80</f>
        <v>0</v>
      </c>
    </row>
    <row r="81" spans="1:16" ht="51.75" customHeight="1" x14ac:dyDescent="0.2">
      <c r="A81" s="282">
        <v>15</v>
      </c>
      <c r="B81" s="271" t="s">
        <v>308</v>
      </c>
      <c r="C81" s="729" t="s">
        <v>309</v>
      </c>
      <c r="D81" s="675"/>
      <c r="E81" s="676"/>
      <c r="F81" s="271" t="s">
        <v>307</v>
      </c>
      <c r="G81" s="127"/>
      <c r="H81" s="282">
        <v>0.8</v>
      </c>
      <c r="I81" s="127"/>
      <c r="J81" s="171">
        <f>J82</f>
        <v>0</v>
      </c>
    </row>
    <row r="82" spans="1:16" ht="45.75" customHeight="1" x14ac:dyDescent="0.2">
      <c r="A82" s="275">
        <f>A81+0.1</f>
        <v>15.1</v>
      </c>
      <c r="B82" s="282"/>
      <c r="C82" s="670" t="s">
        <v>268</v>
      </c>
      <c r="D82" s="671"/>
      <c r="E82" s="672"/>
      <c r="F82" s="172" t="s">
        <v>24</v>
      </c>
      <c r="G82" s="124">
        <v>120</v>
      </c>
      <c r="H82" s="176">
        <f>H81*G82</f>
        <v>96</v>
      </c>
      <c r="I82" s="124"/>
      <c r="J82" s="177">
        <f>I82*H82</f>
        <v>0</v>
      </c>
    </row>
    <row r="83" spans="1:16" ht="70.5" customHeight="1" x14ac:dyDescent="0.2">
      <c r="A83" s="282">
        <v>4</v>
      </c>
      <c r="B83" s="271" t="s">
        <v>276</v>
      </c>
      <c r="C83" s="729" t="s">
        <v>497</v>
      </c>
      <c r="D83" s="675"/>
      <c r="E83" s="676"/>
      <c r="F83" s="271" t="s">
        <v>349</v>
      </c>
      <c r="G83" s="124"/>
      <c r="H83" s="282">
        <v>1</v>
      </c>
      <c r="I83" s="282"/>
      <c r="J83" s="171">
        <f>SUM(J84:J87)</f>
        <v>0</v>
      </c>
    </row>
    <row r="84" spans="1:16" x14ac:dyDescent="0.2">
      <c r="A84" s="275">
        <f>A83+0.1</f>
        <v>4.0999999999999996</v>
      </c>
      <c r="B84" s="275"/>
      <c r="C84" s="670" t="s">
        <v>268</v>
      </c>
      <c r="D84" s="671"/>
      <c r="E84" s="672"/>
      <c r="F84" s="172" t="s">
        <v>24</v>
      </c>
      <c r="G84" s="124">
        <v>20</v>
      </c>
      <c r="H84" s="126">
        <f>H83*G84</f>
        <v>20</v>
      </c>
      <c r="I84" s="124"/>
      <c r="J84" s="133">
        <f>H84*I84</f>
        <v>0</v>
      </c>
    </row>
    <row r="85" spans="1:16" x14ac:dyDescent="0.2">
      <c r="A85" s="275">
        <f>A84+0.1</f>
        <v>4.2</v>
      </c>
      <c r="B85" s="275"/>
      <c r="C85" s="670" t="s">
        <v>225</v>
      </c>
      <c r="D85" s="671"/>
      <c r="E85" s="672"/>
      <c r="F85" s="173" t="s">
        <v>199</v>
      </c>
      <c r="G85" s="127">
        <v>5</v>
      </c>
      <c r="H85" s="128">
        <f>G85*H83</f>
        <v>5</v>
      </c>
      <c r="I85" s="127"/>
      <c r="J85" s="134">
        <f>H85*I85</f>
        <v>0</v>
      </c>
    </row>
    <row r="86" spans="1:16" x14ac:dyDescent="0.2">
      <c r="A86" s="275">
        <f>A85+0.1</f>
        <v>4.3</v>
      </c>
      <c r="B86" s="275" t="s">
        <v>37</v>
      </c>
      <c r="C86" s="670" t="s">
        <v>492</v>
      </c>
      <c r="D86" s="671"/>
      <c r="E86" s="672"/>
      <c r="F86" s="284" t="s">
        <v>241</v>
      </c>
      <c r="G86" s="275"/>
      <c r="H86" s="275">
        <v>1</v>
      </c>
      <c r="I86" s="275"/>
      <c r="J86" s="132">
        <f>H86*I86</f>
        <v>0</v>
      </c>
    </row>
    <row r="87" spans="1:16" x14ac:dyDescent="0.2">
      <c r="A87" s="275">
        <v>1.4</v>
      </c>
      <c r="B87" s="275"/>
      <c r="C87" s="670" t="s">
        <v>493</v>
      </c>
      <c r="D87" s="671"/>
      <c r="E87" s="672"/>
      <c r="F87" s="173" t="s">
        <v>198</v>
      </c>
      <c r="G87" s="275"/>
      <c r="H87" s="275">
        <v>1</v>
      </c>
      <c r="I87" s="275"/>
      <c r="J87" s="132">
        <f>H87*I87</f>
        <v>0</v>
      </c>
    </row>
    <row r="88" spans="1:16" ht="54" customHeight="1" x14ac:dyDescent="0.2">
      <c r="A88" s="282">
        <v>16</v>
      </c>
      <c r="B88" s="271" t="s">
        <v>301</v>
      </c>
      <c r="C88" s="729" t="s">
        <v>498</v>
      </c>
      <c r="D88" s="675"/>
      <c r="E88" s="676"/>
      <c r="F88" s="271" t="s">
        <v>499</v>
      </c>
      <c r="G88" s="127"/>
      <c r="H88" s="282">
        <v>2.9</v>
      </c>
      <c r="I88" s="127"/>
      <c r="J88" s="171">
        <f>J89+J90+J91+J92</f>
        <v>0</v>
      </c>
    </row>
    <row r="89" spans="1:16" ht="24" customHeight="1" x14ac:dyDescent="0.2">
      <c r="A89" s="275">
        <f>A88+0.1</f>
        <v>16.100000000000001</v>
      </c>
      <c r="B89" s="275"/>
      <c r="C89" s="670" t="s">
        <v>268</v>
      </c>
      <c r="D89" s="671"/>
      <c r="E89" s="672"/>
      <c r="F89" s="172" t="s">
        <v>24</v>
      </c>
      <c r="G89" s="124">
        <v>1.1499999999999999</v>
      </c>
      <c r="H89" s="126">
        <f>H88*G89</f>
        <v>3.34</v>
      </c>
      <c r="I89" s="124"/>
      <c r="J89" s="133">
        <f>H89*I89</f>
        <v>0</v>
      </c>
    </row>
    <row r="90" spans="1:16" ht="24" customHeight="1" x14ac:dyDescent="0.2">
      <c r="A90" s="275">
        <v>7.2</v>
      </c>
      <c r="B90" s="275" t="s">
        <v>37</v>
      </c>
      <c r="C90" s="670" t="s">
        <v>225</v>
      </c>
      <c r="D90" s="671"/>
      <c r="E90" s="672"/>
      <c r="F90" s="173" t="s">
        <v>199</v>
      </c>
      <c r="G90" s="275">
        <v>0.94</v>
      </c>
      <c r="H90" s="123">
        <f>H88*G90</f>
        <v>2.73</v>
      </c>
      <c r="I90" s="275"/>
      <c r="J90" s="132">
        <f>H90*I90</f>
        <v>0</v>
      </c>
    </row>
    <row r="91" spans="1:16" ht="47.25" customHeight="1" x14ac:dyDescent="0.2">
      <c r="A91" s="275">
        <v>7.2</v>
      </c>
      <c r="B91" s="275" t="s">
        <v>37</v>
      </c>
      <c r="C91" s="732" t="s">
        <v>500</v>
      </c>
      <c r="D91" s="733"/>
      <c r="E91" s="734"/>
      <c r="F91" s="173" t="s">
        <v>241</v>
      </c>
      <c r="G91" s="275">
        <v>100</v>
      </c>
      <c r="H91" s="123">
        <f>G91*H88</f>
        <v>290</v>
      </c>
      <c r="I91" s="275"/>
      <c r="J91" s="132">
        <f>H91*I91</f>
        <v>0</v>
      </c>
      <c r="N91" s="279" t="s">
        <v>38</v>
      </c>
    </row>
    <row r="92" spans="1:16" ht="24" customHeight="1" x14ac:dyDescent="0.2">
      <c r="A92" s="275">
        <v>7.2</v>
      </c>
      <c r="B92" s="275" t="s">
        <v>37</v>
      </c>
      <c r="C92" s="670" t="s">
        <v>269</v>
      </c>
      <c r="D92" s="671"/>
      <c r="E92" s="672"/>
      <c r="F92" s="173" t="s">
        <v>199</v>
      </c>
      <c r="G92" s="275">
        <v>5</v>
      </c>
      <c r="H92" s="123">
        <f>G92*H88</f>
        <v>14.5</v>
      </c>
      <c r="I92" s="275"/>
      <c r="J92" s="132">
        <f>H92*I92</f>
        <v>0</v>
      </c>
      <c r="P92" s="279" t="s">
        <v>38</v>
      </c>
    </row>
    <row r="93" spans="1:16" ht="54" customHeight="1" x14ac:dyDescent="0.2">
      <c r="A93" s="282">
        <v>16</v>
      </c>
      <c r="B93" s="271" t="s">
        <v>301</v>
      </c>
      <c r="C93" s="729" t="s">
        <v>501</v>
      </c>
      <c r="D93" s="675"/>
      <c r="E93" s="676"/>
      <c r="F93" s="271" t="s">
        <v>499</v>
      </c>
      <c r="G93" s="127"/>
      <c r="H93" s="282">
        <v>32</v>
      </c>
      <c r="I93" s="127"/>
      <c r="J93" s="171">
        <f>J94+J95+J96+J97</f>
        <v>0</v>
      </c>
      <c r="O93" s="279" t="s">
        <v>38</v>
      </c>
    </row>
    <row r="94" spans="1:16" ht="18.75" customHeight="1" x14ac:dyDescent="0.2">
      <c r="A94" s="275">
        <f>A93+0.1</f>
        <v>16.100000000000001</v>
      </c>
      <c r="B94" s="275"/>
      <c r="C94" s="670" t="s">
        <v>268</v>
      </c>
      <c r="D94" s="671"/>
      <c r="E94" s="672"/>
      <c r="F94" s="172" t="s">
        <v>24</v>
      </c>
      <c r="G94" s="124">
        <v>1.1499999999999999</v>
      </c>
      <c r="H94" s="126">
        <f>H93*G94</f>
        <v>36.799999999999997</v>
      </c>
      <c r="I94" s="124"/>
      <c r="J94" s="133">
        <f>H94*I94</f>
        <v>0</v>
      </c>
    </row>
    <row r="95" spans="1:16" ht="18.75" customHeight="1" x14ac:dyDescent="0.2">
      <c r="A95" s="275">
        <v>7.2</v>
      </c>
      <c r="B95" s="275" t="s">
        <v>37</v>
      </c>
      <c r="C95" s="670" t="s">
        <v>225</v>
      </c>
      <c r="D95" s="671"/>
      <c r="E95" s="672"/>
      <c r="F95" s="173" t="s">
        <v>199</v>
      </c>
      <c r="G95" s="275">
        <v>0.09</v>
      </c>
      <c r="H95" s="123">
        <f>H93*G95</f>
        <v>2.88</v>
      </c>
      <c r="I95" s="275"/>
      <c r="J95" s="132">
        <f>H95*I95</f>
        <v>0</v>
      </c>
    </row>
    <row r="96" spans="1:16" ht="33" customHeight="1" x14ac:dyDescent="0.2">
      <c r="A96" s="275">
        <v>7.2</v>
      </c>
      <c r="B96" s="275" t="s">
        <v>37</v>
      </c>
      <c r="C96" s="670" t="s">
        <v>502</v>
      </c>
      <c r="D96" s="671"/>
      <c r="E96" s="672"/>
      <c r="F96" s="173" t="s">
        <v>241</v>
      </c>
      <c r="G96" s="275">
        <v>100</v>
      </c>
      <c r="H96" s="123">
        <f>G96*H93</f>
        <v>3200</v>
      </c>
      <c r="I96" s="275"/>
      <c r="J96" s="132">
        <f>H96*I96</f>
        <v>0</v>
      </c>
    </row>
    <row r="97" spans="1:14" ht="18.75" customHeight="1" x14ac:dyDescent="0.2">
      <c r="A97" s="275">
        <v>7.2</v>
      </c>
      <c r="B97" s="275" t="s">
        <v>37</v>
      </c>
      <c r="C97" s="670" t="s">
        <v>269</v>
      </c>
      <c r="D97" s="671"/>
      <c r="E97" s="672"/>
      <c r="F97" s="173" t="s">
        <v>199</v>
      </c>
      <c r="G97" s="275">
        <v>0.5</v>
      </c>
      <c r="H97" s="123">
        <f>G97*H93</f>
        <v>16</v>
      </c>
      <c r="I97" s="275"/>
      <c r="J97" s="132">
        <f>H97*I97</f>
        <v>0</v>
      </c>
    </row>
    <row r="98" spans="1:14" ht="39" customHeight="1" x14ac:dyDescent="0.2">
      <c r="A98" s="282"/>
      <c r="B98" s="275"/>
      <c r="C98" s="729" t="s">
        <v>310</v>
      </c>
      <c r="D98" s="675"/>
      <c r="E98" s="676"/>
      <c r="F98" s="174" t="s">
        <v>10</v>
      </c>
      <c r="G98" s="124"/>
      <c r="H98" s="282"/>
      <c r="I98" s="282"/>
      <c r="J98" s="171">
        <f>M98+J81+J79+J74+J71+J68+J58+J53+J43+J38+J33+J28+J23+J18+J13+J8</f>
        <v>0</v>
      </c>
    </row>
    <row r="99" spans="1:14" ht="22.5" customHeight="1" x14ac:dyDescent="0.2">
      <c r="A99" s="275"/>
      <c r="B99" s="275"/>
      <c r="C99" s="670" t="s">
        <v>311</v>
      </c>
      <c r="D99" s="671"/>
      <c r="E99" s="672"/>
      <c r="F99" s="174" t="s">
        <v>10</v>
      </c>
      <c r="G99" s="127"/>
      <c r="H99" s="124"/>
      <c r="I99" s="124"/>
      <c r="J99" s="177">
        <f>J82+J80+J75+J72+J69+J59+J39+J9</f>
        <v>0</v>
      </c>
    </row>
    <row r="100" spans="1:14" ht="21.75" customHeight="1" x14ac:dyDescent="0.2">
      <c r="A100" s="275"/>
      <c r="B100" s="275"/>
      <c r="C100" s="670" t="s">
        <v>312</v>
      </c>
      <c r="D100" s="671"/>
      <c r="E100" s="672"/>
      <c r="F100" s="174" t="s">
        <v>10</v>
      </c>
      <c r="G100" s="275"/>
      <c r="H100" s="127"/>
      <c r="I100" s="127"/>
      <c r="J100" s="179">
        <f>Q102+J60+J40+J10</f>
        <v>0</v>
      </c>
    </row>
    <row r="101" spans="1:14" ht="23.25" customHeight="1" x14ac:dyDescent="0.2">
      <c r="A101" s="275"/>
      <c r="B101" s="275"/>
      <c r="C101" s="670" t="s">
        <v>313</v>
      </c>
      <c r="D101" s="671"/>
      <c r="E101" s="672"/>
      <c r="F101" s="174" t="s">
        <v>10</v>
      </c>
      <c r="G101" s="275"/>
      <c r="H101" s="275"/>
      <c r="I101" s="275"/>
      <c r="J101" s="9">
        <f>J98-J99-J100</f>
        <v>0</v>
      </c>
    </row>
    <row r="102" spans="1:14" ht="61.5" customHeight="1" x14ac:dyDescent="0.2">
      <c r="A102" s="275"/>
      <c r="B102" s="275"/>
      <c r="C102" s="729" t="s">
        <v>314</v>
      </c>
      <c r="D102" s="675"/>
      <c r="E102" s="676"/>
      <c r="F102" s="174" t="s">
        <v>10</v>
      </c>
      <c r="G102" s="275"/>
      <c r="H102" s="275"/>
      <c r="I102" s="275"/>
      <c r="J102" s="171">
        <f>J99+J100+J101</f>
        <v>0</v>
      </c>
      <c r="N102" s="279" t="s">
        <v>38</v>
      </c>
    </row>
    <row r="103" spans="1:14" ht="16.5" customHeight="1" x14ac:dyDescent="0.2">
      <c r="A103" s="275"/>
      <c r="B103" s="275"/>
      <c r="C103" s="670" t="s">
        <v>375</v>
      </c>
      <c r="D103" s="671"/>
      <c r="E103" s="672"/>
      <c r="F103" s="209">
        <v>0.08</v>
      </c>
      <c r="G103" s="275"/>
      <c r="H103" s="275"/>
      <c r="I103" s="275"/>
      <c r="J103" s="9">
        <f>J102*F103</f>
        <v>0</v>
      </c>
    </row>
    <row r="104" spans="1:14" ht="16.5" customHeight="1" x14ac:dyDescent="0.2">
      <c r="A104" s="275"/>
      <c r="B104" s="275"/>
      <c r="C104" s="692" t="s">
        <v>11</v>
      </c>
      <c r="D104" s="693"/>
      <c r="E104" s="694"/>
      <c r="F104" s="174" t="s">
        <v>10</v>
      </c>
      <c r="G104" s="275"/>
      <c r="H104" s="275"/>
      <c r="I104" s="275"/>
      <c r="J104" s="9">
        <f>J102+J103</f>
        <v>0</v>
      </c>
    </row>
    <row r="105" spans="1:14" x14ac:dyDescent="0.2">
      <c r="A105" s="275"/>
      <c r="B105" s="275"/>
      <c r="C105" s="670" t="s">
        <v>376</v>
      </c>
      <c r="D105" s="671"/>
      <c r="E105" s="672"/>
      <c r="F105" s="209">
        <v>0.06</v>
      </c>
      <c r="G105" s="275"/>
      <c r="H105" s="275"/>
      <c r="I105" s="275"/>
      <c r="J105" s="9">
        <f>J104*F105</f>
        <v>0</v>
      </c>
    </row>
    <row r="106" spans="1:14" ht="16.5" customHeight="1" x14ac:dyDescent="0.2">
      <c r="A106" s="275"/>
      <c r="B106" s="272"/>
      <c r="C106" s="692" t="s">
        <v>18</v>
      </c>
      <c r="D106" s="693"/>
      <c r="E106" s="694"/>
      <c r="F106" s="272"/>
      <c r="G106" s="275"/>
      <c r="H106" s="275"/>
      <c r="I106" s="171"/>
      <c r="J106" s="181">
        <f>J104+J105</f>
        <v>0</v>
      </c>
      <c r="L106" s="131"/>
    </row>
    <row r="107" spans="1:14" x14ac:dyDescent="0.2">
      <c r="I107" s="131"/>
    </row>
    <row r="111" spans="1:14" ht="16.5" customHeight="1" x14ac:dyDescent="0.2">
      <c r="C111" s="704"/>
      <c r="D111" s="704"/>
      <c r="E111" s="704"/>
      <c r="G111" s="704"/>
      <c r="H111" s="704"/>
      <c r="I111" s="704"/>
      <c r="J111" s="704"/>
    </row>
  </sheetData>
  <mergeCells count="111">
    <mergeCell ref="C103:E103"/>
    <mergeCell ref="C104:E104"/>
    <mergeCell ref="C105:E105"/>
    <mergeCell ref="C106:E106"/>
    <mergeCell ref="C111:E111"/>
    <mergeCell ref="G111:J111"/>
    <mergeCell ref="C98:E98"/>
    <mergeCell ref="C99:E99"/>
    <mergeCell ref="C100:E100"/>
    <mergeCell ref="C101:E101"/>
    <mergeCell ref="C102:E102"/>
    <mergeCell ref="C92:E92"/>
    <mergeCell ref="C93:E93"/>
    <mergeCell ref="C94:E94"/>
    <mergeCell ref="C95:E95"/>
    <mergeCell ref="C96:E96"/>
    <mergeCell ref="C97:E97"/>
    <mergeCell ref="C86:E86"/>
    <mergeCell ref="C87:E87"/>
    <mergeCell ref="C88:E88"/>
    <mergeCell ref="C89:E89"/>
    <mergeCell ref="C90:E90"/>
    <mergeCell ref="C91:E91"/>
    <mergeCell ref="C80:E80"/>
    <mergeCell ref="C81:E81"/>
    <mergeCell ref="C82:E82"/>
    <mergeCell ref="C83:E83"/>
    <mergeCell ref="C84:E84"/>
    <mergeCell ref="C85:E85"/>
    <mergeCell ref="C74:E74"/>
    <mergeCell ref="C75:E75"/>
    <mergeCell ref="C76:E76"/>
    <mergeCell ref="C77:E77"/>
    <mergeCell ref="C78:E78"/>
    <mergeCell ref="C79:E79"/>
    <mergeCell ref="C68:E68"/>
    <mergeCell ref="C69:E69"/>
    <mergeCell ref="C70:E70"/>
    <mergeCell ref="C71:E71"/>
    <mergeCell ref="C72:E72"/>
    <mergeCell ref="C73:E73"/>
    <mergeCell ref="C62:E62"/>
    <mergeCell ref="C63:E63"/>
    <mergeCell ref="C64:E64"/>
    <mergeCell ref="C65:E65"/>
    <mergeCell ref="C66:E66"/>
    <mergeCell ref="C67:E67"/>
    <mergeCell ref="C56:E56"/>
    <mergeCell ref="C57:E57"/>
    <mergeCell ref="C58:E58"/>
    <mergeCell ref="C59:E59"/>
    <mergeCell ref="C60:E60"/>
    <mergeCell ref="C61:E61"/>
    <mergeCell ref="C50:E50"/>
    <mergeCell ref="C51:E51"/>
    <mergeCell ref="C52:E52"/>
    <mergeCell ref="C53:E53"/>
    <mergeCell ref="C54:E54"/>
    <mergeCell ref="C55:E55"/>
    <mergeCell ref="C44:E44"/>
    <mergeCell ref="C45:E45"/>
    <mergeCell ref="C46:E46"/>
    <mergeCell ref="C47:E47"/>
    <mergeCell ref="C48:E48"/>
    <mergeCell ref="C49:E49"/>
    <mergeCell ref="C38:E38"/>
    <mergeCell ref="C39:E39"/>
    <mergeCell ref="C40:E40"/>
    <mergeCell ref="C41:E41"/>
    <mergeCell ref="C42:E42"/>
    <mergeCell ref="C43:E43"/>
    <mergeCell ref="C32:E32"/>
    <mergeCell ref="C33:E33"/>
    <mergeCell ref="C34:E34"/>
    <mergeCell ref="C35:E35"/>
    <mergeCell ref="C36:E36"/>
    <mergeCell ref="C37:E37"/>
    <mergeCell ref="C26:E26"/>
    <mergeCell ref="C27:E27"/>
    <mergeCell ref="C28:E28"/>
    <mergeCell ref="C29:E29"/>
    <mergeCell ref="C30:E30"/>
    <mergeCell ref="C31:E3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C12:E12"/>
    <mergeCell ref="C13:E13"/>
    <mergeCell ref="A5:F5"/>
    <mergeCell ref="A6:A7"/>
    <mergeCell ref="B6:B7"/>
    <mergeCell ref="C6:E7"/>
    <mergeCell ref="F6:F7"/>
    <mergeCell ref="C20:E20"/>
    <mergeCell ref="C21:E21"/>
    <mergeCell ref="I6:J6"/>
    <mergeCell ref="A1:I1"/>
    <mergeCell ref="A3:F3"/>
    <mergeCell ref="A4:E4"/>
    <mergeCell ref="A2:J2"/>
    <mergeCell ref="C8:E8"/>
    <mergeCell ref="C9:E9"/>
    <mergeCell ref="C10:E10"/>
    <mergeCell ref="C11:E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opLeftCell="A52" workbookViewId="0">
      <selection activeCell="D61" sqref="D61"/>
    </sheetView>
  </sheetViews>
  <sheetFormatPr defaultRowHeight="18" x14ac:dyDescent="0.35"/>
  <cols>
    <col min="1" max="1" width="7.140625" style="371" customWidth="1"/>
    <col min="2" max="2" width="11.42578125" style="371" customWidth="1"/>
    <col min="3" max="3" width="47.140625" style="371" customWidth="1"/>
    <col min="4" max="4" width="9.5703125" style="371" customWidth="1"/>
    <col min="5" max="5" width="8.140625" style="371" customWidth="1"/>
    <col min="6" max="6" width="9.7109375" style="371" customWidth="1"/>
    <col min="7" max="7" width="10.5703125" style="371" customWidth="1"/>
    <col min="8" max="8" width="12.5703125" style="371" customWidth="1"/>
    <col min="9" max="256" width="9.140625" style="371"/>
    <col min="257" max="257" width="7.140625" style="371" customWidth="1"/>
    <col min="258" max="258" width="11.42578125" style="371" customWidth="1"/>
    <col min="259" max="259" width="47.140625" style="371" customWidth="1"/>
    <col min="260" max="260" width="9.5703125" style="371" customWidth="1"/>
    <col min="261" max="261" width="8.140625" style="371" customWidth="1"/>
    <col min="262" max="262" width="9.7109375" style="371" customWidth="1"/>
    <col min="263" max="263" width="10.5703125" style="371" customWidth="1"/>
    <col min="264" max="264" width="12.5703125" style="371" customWidth="1"/>
    <col min="265" max="512" width="9.140625" style="371"/>
    <col min="513" max="513" width="7.140625" style="371" customWidth="1"/>
    <col min="514" max="514" width="11.42578125" style="371" customWidth="1"/>
    <col min="515" max="515" width="47.140625" style="371" customWidth="1"/>
    <col min="516" max="516" width="9.5703125" style="371" customWidth="1"/>
    <col min="517" max="517" width="8.140625" style="371" customWidth="1"/>
    <col min="518" max="518" width="9.7109375" style="371" customWidth="1"/>
    <col min="519" max="519" width="10.5703125" style="371" customWidth="1"/>
    <col min="520" max="520" width="12.5703125" style="371" customWidth="1"/>
    <col min="521" max="768" width="9.140625" style="371"/>
    <col min="769" max="769" width="7.140625" style="371" customWidth="1"/>
    <col min="770" max="770" width="11.42578125" style="371" customWidth="1"/>
    <col min="771" max="771" width="47.140625" style="371" customWidth="1"/>
    <col min="772" max="772" width="9.5703125" style="371" customWidth="1"/>
    <col min="773" max="773" width="8.140625" style="371" customWidth="1"/>
    <col min="774" max="774" width="9.7109375" style="371" customWidth="1"/>
    <col min="775" max="775" width="10.5703125" style="371" customWidth="1"/>
    <col min="776" max="776" width="12.5703125" style="371" customWidth="1"/>
    <col min="777" max="1024" width="9.140625" style="371"/>
    <col min="1025" max="1025" width="7.140625" style="371" customWidth="1"/>
    <col min="1026" max="1026" width="11.42578125" style="371" customWidth="1"/>
    <col min="1027" max="1027" width="47.140625" style="371" customWidth="1"/>
    <col min="1028" max="1028" width="9.5703125" style="371" customWidth="1"/>
    <col min="1029" max="1029" width="8.140625" style="371" customWidth="1"/>
    <col min="1030" max="1030" width="9.7109375" style="371" customWidth="1"/>
    <col min="1031" max="1031" width="10.5703125" style="371" customWidth="1"/>
    <col min="1032" max="1032" width="12.5703125" style="371" customWidth="1"/>
    <col min="1033" max="1280" width="9.140625" style="371"/>
    <col min="1281" max="1281" width="7.140625" style="371" customWidth="1"/>
    <col min="1282" max="1282" width="11.42578125" style="371" customWidth="1"/>
    <col min="1283" max="1283" width="47.140625" style="371" customWidth="1"/>
    <col min="1284" max="1284" width="9.5703125" style="371" customWidth="1"/>
    <col min="1285" max="1285" width="8.140625" style="371" customWidth="1"/>
    <col min="1286" max="1286" width="9.7109375" style="371" customWidth="1"/>
    <col min="1287" max="1287" width="10.5703125" style="371" customWidth="1"/>
    <col min="1288" max="1288" width="12.5703125" style="371" customWidth="1"/>
    <col min="1289" max="1536" width="9.140625" style="371"/>
    <col min="1537" max="1537" width="7.140625" style="371" customWidth="1"/>
    <col min="1538" max="1538" width="11.42578125" style="371" customWidth="1"/>
    <col min="1539" max="1539" width="47.140625" style="371" customWidth="1"/>
    <col min="1540" max="1540" width="9.5703125" style="371" customWidth="1"/>
    <col min="1541" max="1541" width="8.140625" style="371" customWidth="1"/>
    <col min="1542" max="1542" width="9.7109375" style="371" customWidth="1"/>
    <col min="1543" max="1543" width="10.5703125" style="371" customWidth="1"/>
    <col min="1544" max="1544" width="12.5703125" style="371" customWidth="1"/>
    <col min="1545" max="1792" width="9.140625" style="371"/>
    <col min="1793" max="1793" width="7.140625" style="371" customWidth="1"/>
    <col min="1794" max="1794" width="11.42578125" style="371" customWidth="1"/>
    <col min="1795" max="1795" width="47.140625" style="371" customWidth="1"/>
    <col min="1796" max="1796" width="9.5703125" style="371" customWidth="1"/>
    <col min="1797" max="1797" width="8.140625" style="371" customWidth="1"/>
    <col min="1798" max="1798" width="9.7109375" style="371" customWidth="1"/>
    <col min="1799" max="1799" width="10.5703125" style="371" customWidth="1"/>
    <col min="1800" max="1800" width="12.5703125" style="371" customWidth="1"/>
    <col min="1801" max="2048" width="9.140625" style="371"/>
    <col min="2049" max="2049" width="7.140625" style="371" customWidth="1"/>
    <col min="2050" max="2050" width="11.42578125" style="371" customWidth="1"/>
    <col min="2051" max="2051" width="47.140625" style="371" customWidth="1"/>
    <col min="2052" max="2052" width="9.5703125" style="371" customWidth="1"/>
    <col min="2053" max="2053" width="8.140625" style="371" customWidth="1"/>
    <col min="2054" max="2054" width="9.7109375" style="371" customWidth="1"/>
    <col min="2055" max="2055" width="10.5703125" style="371" customWidth="1"/>
    <col min="2056" max="2056" width="12.5703125" style="371" customWidth="1"/>
    <col min="2057" max="2304" width="9.140625" style="371"/>
    <col min="2305" max="2305" width="7.140625" style="371" customWidth="1"/>
    <col min="2306" max="2306" width="11.42578125" style="371" customWidth="1"/>
    <col min="2307" max="2307" width="47.140625" style="371" customWidth="1"/>
    <col min="2308" max="2308" width="9.5703125" style="371" customWidth="1"/>
    <col min="2309" max="2309" width="8.140625" style="371" customWidth="1"/>
    <col min="2310" max="2310" width="9.7109375" style="371" customWidth="1"/>
    <col min="2311" max="2311" width="10.5703125" style="371" customWidth="1"/>
    <col min="2312" max="2312" width="12.5703125" style="371" customWidth="1"/>
    <col min="2313" max="2560" width="9.140625" style="371"/>
    <col min="2561" max="2561" width="7.140625" style="371" customWidth="1"/>
    <col min="2562" max="2562" width="11.42578125" style="371" customWidth="1"/>
    <col min="2563" max="2563" width="47.140625" style="371" customWidth="1"/>
    <col min="2564" max="2564" width="9.5703125" style="371" customWidth="1"/>
    <col min="2565" max="2565" width="8.140625" style="371" customWidth="1"/>
    <col min="2566" max="2566" width="9.7109375" style="371" customWidth="1"/>
    <col min="2567" max="2567" width="10.5703125" style="371" customWidth="1"/>
    <col min="2568" max="2568" width="12.5703125" style="371" customWidth="1"/>
    <col min="2569" max="2816" width="9.140625" style="371"/>
    <col min="2817" max="2817" width="7.140625" style="371" customWidth="1"/>
    <col min="2818" max="2818" width="11.42578125" style="371" customWidth="1"/>
    <col min="2819" max="2819" width="47.140625" style="371" customWidth="1"/>
    <col min="2820" max="2820" width="9.5703125" style="371" customWidth="1"/>
    <col min="2821" max="2821" width="8.140625" style="371" customWidth="1"/>
    <col min="2822" max="2822" width="9.7109375" style="371" customWidth="1"/>
    <col min="2823" max="2823" width="10.5703125" style="371" customWidth="1"/>
    <col min="2824" max="2824" width="12.5703125" style="371" customWidth="1"/>
    <col min="2825" max="3072" width="9.140625" style="371"/>
    <col min="3073" max="3073" width="7.140625" style="371" customWidth="1"/>
    <col min="3074" max="3074" width="11.42578125" style="371" customWidth="1"/>
    <col min="3075" max="3075" width="47.140625" style="371" customWidth="1"/>
    <col min="3076" max="3076" width="9.5703125" style="371" customWidth="1"/>
    <col min="3077" max="3077" width="8.140625" style="371" customWidth="1"/>
    <col min="3078" max="3078" width="9.7109375" style="371" customWidth="1"/>
    <col min="3079" max="3079" width="10.5703125" style="371" customWidth="1"/>
    <col min="3080" max="3080" width="12.5703125" style="371" customWidth="1"/>
    <col min="3081" max="3328" width="9.140625" style="371"/>
    <col min="3329" max="3329" width="7.140625" style="371" customWidth="1"/>
    <col min="3330" max="3330" width="11.42578125" style="371" customWidth="1"/>
    <col min="3331" max="3331" width="47.140625" style="371" customWidth="1"/>
    <col min="3332" max="3332" width="9.5703125" style="371" customWidth="1"/>
    <col min="3333" max="3333" width="8.140625" style="371" customWidth="1"/>
    <col min="3334" max="3334" width="9.7109375" style="371" customWidth="1"/>
    <col min="3335" max="3335" width="10.5703125" style="371" customWidth="1"/>
    <col min="3336" max="3336" width="12.5703125" style="371" customWidth="1"/>
    <col min="3337" max="3584" width="9.140625" style="371"/>
    <col min="3585" max="3585" width="7.140625" style="371" customWidth="1"/>
    <col min="3586" max="3586" width="11.42578125" style="371" customWidth="1"/>
    <col min="3587" max="3587" width="47.140625" style="371" customWidth="1"/>
    <col min="3588" max="3588" width="9.5703125" style="371" customWidth="1"/>
    <col min="3589" max="3589" width="8.140625" style="371" customWidth="1"/>
    <col min="3590" max="3590" width="9.7109375" style="371" customWidth="1"/>
    <col min="3591" max="3591" width="10.5703125" style="371" customWidth="1"/>
    <col min="3592" max="3592" width="12.5703125" style="371" customWidth="1"/>
    <col min="3593" max="3840" width="9.140625" style="371"/>
    <col min="3841" max="3841" width="7.140625" style="371" customWidth="1"/>
    <col min="3842" max="3842" width="11.42578125" style="371" customWidth="1"/>
    <col min="3843" max="3843" width="47.140625" style="371" customWidth="1"/>
    <col min="3844" max="3844" width="9.5703125" style="371" customWidth="1"/>
    <col min="3845" max="3845" width="8.140625" style="371" customWidth="1"/>
    <col min="3846" max="3846" width="9.7109375" style="371" customWidth="1"/>
    <col min="3847" max="3847" width="10.5703125" style="371" customWidth="1"/>
    <col min="3848" max="3848" width="12.5703125" style="371" customWidth="1"/>
    <col min="3849" max="4096" width="9.140625" style="371"/>
    <col min="4097" max="4097" width="7.140625" style="371" customWidth="1"/>
    <col min="4098" max="4098" width="11.42578125" style="371" customWidth="1"/>
    <col min="4099" max="4099" width="47.140625" style="371" customWidth="1"/>
    <col min="4100" max="4100" width="9.5703125" style="371" customWidth="1"/>
    <col min="4101" max="4101" width="8.140625" style="371" customWidth="1"/>
    <col min="4102" max="4102" width="9.7109375" style="371" customWidth="1"/>
    <col min="4103" max="4103" width="10.5703125" style="371" customWidth="1"/>
    <col min="4104" max="4104" width="12.5703125" style="371" customWidth="1"/>
    <col min="4105" max="4352" width="9.140625" style="371"/>
    <col min="4353" max="4353" width="7.140625" style="371" customWidth="1"/>
    <col min="4354" max="4354" width="11.42578125" style="371" customWidth="1"/>
    <col min="4355" max="4355" width="47.140625" style="371" customWidth="1"/>
    <col min="4356" max="4356" width="9.5703125" style="371" customWidth="1"/>
    <col min="4357" max="4357" width="8.140625" style="371" customWidth="1"/>
    <col min="4358" max="4358" width="9.7109375" style="371" customWidth="1"/>
    <col min="4359" max="4359" width="10.5703125" style="371" customWidth="1"/>
    <col min="4360" max="4360" width="12.5703125" style="371" customWidth="1"/>
    <col min="4361" max="4608" width="9.140625" style="371"/>
    <col min="4609" max="4609" width="7.140625" style="371" customWidth="1"/>
    <col min="4610" max="4610" width="11.42578125" style="371" customWidth="1"/>
    <col min="4611" max="4611" width="47.140625" style="371" customWidth="1"/>
    <col min="4612" max="4612" width="9.5703125" style="371" customWidth="1"/>
    <col min="4613" max="4613" width="8.140625" style="371" customWidth="1"/>
    <col min="4614" max="4614" width="9.7109375" style="371" customWidth="1"/>
    <col min="4615" max="4615" width="10.5703125" style="371" customWidth="1"/>
    <col min="4616" max="4616" width="12.5703125" style="371" customWidth="1"/>
    <col min="4617" max="4864" width="9.140625" style="371"/>
    <col min="4865" max="4865" width="7.140625" style="371" customWidth="1"/>
    <col min="4866" max="4866" width="11.42578125" style="371" customWidth="1"/>
    <col min="4867" max="4867" width="47.140625" style="371" customWidth="1"/>
    <col min="4868" max="4868" width="9.5703125" style="371" customWidth="1"/>
    <col min="4869" max="4869" width="8.140625" style="371" customWidth="1"/>
    <col min="4870" max="4870" width="9.7109375" style="371" customWidth="1"/>
    <col min="4871" max="4871" width="10.5703125" style="371" customWidth="1"/>
    <col min="4872" max="4872" width="12.5703125" style="371" customWidth="1"/>
    <col min="4873" max="5120" width="9.140625" style="371"/>
    <col min="5121" max="5121" width="7.140625" style="371" customWidth="1"/>
    <col min="5122" max="5122" width="11.42578125" style="371" customWidth="1"/>
    <col min="5123" max="5123" width="47.140625" style="371" customWidth="1"/>
    <col min="5124" max="5124" width="9.5703125" style="371" customWidth="1"/>
    <col min="5125" max="5125" width="8.140625" style="371" customWidth="1"/>
    <col min="5126" max="5126" width="9.7109375" style="371" customWidth="1"/>
    <col min="5127" max="5127" width="10.5703125" style="371" customWidth="1"/>
    <col min="5128" max="5128" width="12.5703125" style="371" customWidth="1"/>
    <col min="5129" max="5376" width="9.140625" style="371"/>
    <col min="5377" max="5377" width="7.140625" style="371" customWidth="1"/>
    <col min="5378" max="5378" width="11.42578125" style="371" customWidth="1"/>
    <col min="5379" max="5379" width="47.140625" style="371" customWidth="1"/>
    <col min="5380" max="5380" width="9.5703125" style="371" customWidth="1"/>
    <col min="5381" max="5381" width="8.140625" style="371" customWidth="1"/>
    <col min="5382" max="5382" width="9.7109375" style="371" customWidth="1"/>
    <col min="5383" max="5383" width="10.5703125" style="371" customWidth="1"/>
    <col min="5384" max="5384" width="12.5703125" style="371" customWidth="1"/>
    <col min="5385" max="5632" width="9.140625" style="371"/>
    <col min="5633" max="5633" width="7.140625" style="371" customWidth="1"/>
    <col min="5634" max="5634" width="11.42578125" style="371" customWidth="1"/>
    <col min="5635" max="5635" width="47.140625" style="371" customWidth="1"/>
    <col min="5636" max="5636" width="9.5703125" style="371" customWidth="1"/>
    <col min="5637" max="5637" width="8.140625" style="371" customWidth="1"/>
    <col min="5638" max="5638" width="9.7109375" style="371" customWidth="1"/>
    <col min="5639" max="5639" width="10.5703125" style="371" customWidth="1"/>
    <col min="5640" max="5640" width="12.5703125" style="371" customWidth="1"/>
    <col min="5641" max="5888" width="9.140625" style="371"/>
    <col min="5889" max="5889" width="7.140625" style="371" customWidth="1"/>
    <col min="5890" max="5890" width="11.42578125" style="371" customWidth="1"/>
    <col min="5891" max="5891" width="47.140625" style="371" customWidth="1"/>
    <col min="5892" max="5892" width="9.5703125" style="371" customWidth="1"/>
    <col min="5893" max="5893" width="8.140625" style="371" customWidth="1"/>
    <col min="5894" max="5894" width="9.7109375" style="371" customWidth="1"/>
    <col min="5895" max="5895" width="10.5703125" style="371" customWidth="1"/>
    <col min="5896" max="5896" width="12.5703125" style="371" customWidth="1"/>
    <col min="5897" max="6144" width="9.140625" style="371"/>
    <col min="6145" max="6145" width="7.140625" style="371" customWidth="1"/>
    <col min="6146" max="6146" width="11.42578125" style="371" customWidth="1"/>
    <col min="6147" max="6147" width="47.140625" style="371" customWidth="1"/>
    <col min="6148" max="6148" width="9.5703125" style="371" customWidth="1"/>
    <col min="6149" max="6149" width="8.140625" style="371" customWidth="1"/>
    <col min="6150" max="6150" width="9.7109375" style="371" customWidth="1"/>
    <col min="6151" max="6151" width="10.5703125" style="371" customWidth="1"/>
    <col min="6152" max="6152" width="12.5703125" style="371" customWidth="1"/>
    <col min="6153" max="6400" width="9.140625" style="371"/>
    <col min="6401" max="6401" width="7.140625" style="371" customWidth="1"/>
    <col min="6402" max="6402" width="11.42578125" style="371" customWidth="1"/>
    <col min="6403" max="6403" width="47.140625" style="371" customWidth="1"/>
    <col min="6404" max="6404" width="9.5703125" style="371" customWidth="1"/>
    <col min="6405" max="6405" width="8.140625" style="371" customWidth="1"/>
    <col min="6406" max="6406" width="9.7109375" style="371" customWidth="1"/>
    <col min="6407" max="6407" width="10.5703125" style="371" customWidth="1"/>
    <col min="6408" max="6408" width="12.5703125" style="371" customWidth="1"/>
    <col min="6409" max="6656" width="9.140625" style="371"/>
    <col min="6657" max="6657" width="7.140625" style="371" customWidth="1"/>
    <col min="6658" max="6658" width="11.42578125" style="371" customWidth="1"/>
    <col min="6659" max="6659" width="47.140625" style="371" customWidth="1"/>
    <col min="6660" max="6660" width="9.5703125" style="371" customWidth="1"/>
    <col min="6661" max="6661" width="8.140625" style="371" customWidth="1"/>
    <col min="6662" max="6662" width="9.7109375" style="371" customWidth="1"/>
    <col min="6663" max="6663" width="10.5703125" style="371" customWidth="1"/>
    <col min="6664" max="6664" width="12.5703125" style="371" customWidth="1"/>
    <col min="6665" max="6912" width="9.140625" style="371"/>
    <col min="6913" max="6913" width="7.140625" style="371" customWidth="1"/>
    <col min="6914" max="6914" width="11.42578125" style="371" customWidth="1"/>
    <col min="6915" max="6915" width="47.140625" style="371" customWidth="1"/>
    <col min="6916" max="6916" width="9.5703125" style="371" customWidth="1"/>
    <col min="6917" max="6917" width="8.140625" style="371" customWidth="1"/>
    <col min="6918" max="6918" width="9.7109375" style="371" customWidth="1"/>
    <col min="6919" max="6919" width="10.5703125" style="371" customWidth="1"/>
    <col min="6920" max="6920" width="12.5703125" style="371" customWidth="1"/>
    <col min="6921" max="7168" width="9.140625" style="371"/>
    <col min="7169" max="7169" width="7.140625" style="371" customWidth="1"/>
    <col min="7170" max="7170" width="11.42578125" style="371" customWidth="1"/>
    <col min="7171" max="7171" width="47.140625" style="371" customWidth="1"/>
    <col min="7172" max="7172" width="9.5703125" style="371" customWidth="1"/>
    <col min="7173" max="7173" width="8.140625" style="371" customWidth="1"/>
    <col min="7174" max="7174" width="9.7109375" style="371" customWidth="1"/>
    <col min="7175" max="7175" width="10.5703125" style="371" customWidth="1"/>
    <col min="7176" max="7176" width="12.5703125" style="371" customWidth="1"/>
    <col min="7177" max="7424" width="9.140625" style="371"/>
    <col min="7425" max="7425" width="7.140625" style="371" customWidth="1"/>
    <col min="7426" max="7426" width="11.42578125" style="371" customWidth="1"/>
    <col min="7427" max="7427" width="47.140625" style="371" customWidth="1"/>
    <col min="7428" max="7428" width="9.5703125" style="371" customWidth="1"/>
    <col min="7429" max="7429" width="8.140625" style="371" customWidth="1"/>
    <col min="7430" max="7430" width="9.7109375" style="371" customWidth="1"/>
    <col min="7431" max="7431" width="10.5703125" style="371" customWidth="1"/>
    <col min="7432" max="7432" width="12.5703125" style="371" customWidth="1"/>
    <col min="7433" max="7680" width="9.140625" style="371"/>
    <col min="7681" max="7681" width="7.140625" style="371" customWidth="1"/>
    <col min="7682" max="7682" width="11.42578125" style="371" customWidth="1"/>
    <col min="7683" max="7683" width="47.140625" style="371" customWidth="1"/>
    <col min="7684" max="7684" width="9.5703125" style="371" customWidth="1"/>
    <col min="7685" max="7685" width="8.140625" style="371" customWidth="1"/>
    <col min="7686" max="7686" width="9.7109375" style="371" customWidth="1"/>
    <col min="7687" max="7687" width="10.5703125" style="371" customWidth="1"/>
    <col min="7688" max="7688" width="12.5703125" style="371" customWidth="1"/>
    <col min="7689" max="7936" width="9.140625" style="371"/>
    <col min="7937" max="7937" width="7.140625" style="371" customWidth="1"/>
    <col min="7938" max="7938" width="11.42578125" style="371" customWidth="1"/>
    <col min="7939" max="7939" width="47.140625" style="371" customWidth="1"/>
    <col min="7940" max="7940" width="9.5703125" style="371" customWidth="1"/>
    <col min="7941" max="7941" width="8.140625" style="371" customWidth="1"/>
    <col min="7942" max="7942" width="9.7109375" style="371" customWidth="1"/>
    <col min="7943" max="7943" width="10.5703125" style="371" customWidth="1"/>
    <col min="7944" max="7944" width="12.5703125" style="371" customWidth="1"/>
    <col min="7945" max="8192" width="9.140625" style="371"/>
    <col min="8193" max="8193" width="7.140625" style="371" customWidth="1"/>
    <col min="8194" max="8194" width="11.42578125" style="371" customWidth="1"/>
    <col min="8195" max="8195" width="47.140625" style="371" customWidth="1"/>
    <col min="8196" max="8196" width="9.5703125" style="371" customWidth="1"/>
    <col min="8197" max="8197" width="8.140625" style="371" customWidth="1"/>
    <col min="8198" max="8198" width="9.7109375" style="371" customWidth="1"/>
    <col min="8199" max="8199" width="10.5703125" style="371" customWidth="1"/>
    <col min="8200" max="8200" width="12.5703125" style="371" customWidth="1"/>
    <col min="8201" max="8448" width="9.140625" style="371"/>
    <col min="8449" max="8449" width="7.140625" style="371" customWidth="1"/>
    <col min="8450" max="8450" width="11.42578125" style="371" customWidth="1"/>
    <col min="8451" max="8451" width="47.140625" style="371" customWidth="1"/>
    <col min="8452" max="8452" width="9.5703125" style="371" customWidth="1"/>
    <col min="8453" max="8453" width="8.140625" style="371" customWidth="1"/>
    <col min="8454" max="8454" width="9.7109375" style="371" customWidth="1"/>
    <col min="8455" max="8455" width="10.5703125" style="371" customWidth="1"/>
    <col min="8456" max="8456" width="12.5703125" style="371" customWidth="1"/>
    <col min="8457" max="8704" width="9.140625" style="371"/>
    <col min="8705" max="8705" width="7.140625" style="371" customWidth="1"/>
    <col min="8706" max="8706" width="11.42578125" style="371" customWidth="1"/>
    <col min="8707" max="8707" width="47.140625" style="371" customWidth="1"/>
    <col min="8708" max="8708" width="9.5703125" style="371" customWidth="1"/>
    <col min="8709" max="8709" width="8.140625" style="371" customWidth="1"/>
    <col min="8710" max="8710" width="9.7109375" style="371" customWidth="1"/>
    <col min="8711" max="8711" width="10.5703125" style="371" customWidth="1"/>
    <col min="8712" max="8712" width="12.5703125" style="371" customWidth="1"/>
    <col min="8713" max="8960" width="9.140625" style="371"/>
    <col min="8961" max="8961" width="7.140625" style="371" customWidth="1"/>
    <col min="8962" max="8962" width="11.42578125" style="371" customWidth="1"/>
    <col min="8963" max="8963" width="47.140625" style="371" customWidth="1"/>
    <col min="8964" max="8964" width="9.5703125" style="371" customWidth="1"/>
    <col min="8965" max="8965" width="8.140625" style="371" customWidth="1"/>
    <col min="8966" max="8966" width="9.7109375" style="371" customWidth="1"/>
    <col min="8967" max="8967" width="10.5703125" style="371" customWidth="1"/>
    <col min="8968" max="8968" width="12.5703125" style="371" customWidth="1"/>
    <col min="8969" max="9216" width="9.140625" style="371"/>
    <col min="9217" max="9217" width="7.140625" style="371" customWidth="1"/>
    <col min="9218" max="9218" width="11.42578125" style="371" customWidth="1"/>
    <col min="9219" max="9219" width="47.140625" style="371" customWidth="1"/>
    <col min="9220" max="9220" width="9.5703125" style="371" customWidth="1"/>
    <col min="9221" max="9221" width="8.140625" style="371" customWidth="1"/>
    <col min="9222" max="9222" width="9.7109375" style="371" customWidth="1"/>
    <col min="9223" max="9223" width="10.5703125" style="371" customWidth="1"/>
    <col min="9224" max="9224" width="12.5703125" style="371" customWidth="1"/>
    <col min="9225" max="9472" width="9.140625" style="371"/>
    <col min="9473" max="9473" width="7.140625" style="371" customWidth="1"/>
    <col min="9474" max="9474" width="11.42578125" style="371" customWidth="1"/>
    <col min="9475" max="9475" width="47.140625" style="371" customWidth="1"/>
    <col min="9476" max="9476" width="9.5703125" style="371" customWidth="1"/>
    <col min="9477" max="9477" width="8.140625" style="371" customWidth="1"/>
    <col min="9478" max="9478" width="9.7109375" style="371" customWidth="1"/>
    <col min="9479" max="9479" width="10.5703125" style="371" customWidth="1"/>
    <col min="9480" max="9480" width="12.5703125" style="371" customWidth="1"/>
    <col min="9481" max="9728" width="9.140625" style="371"/>
    <col min="9729" max="9729" width="7.140625" style="371" customWidth="1"/>
    <col min="9730" max="9730" width="11.42578125" style="371" customWidth="1"/>
    <col min="9731" max="9731" width="47.140625" style="371" customWidth="1"/>
    <col min="9732" max="9732" width="9.5703125" style="371" customWidth="1"/>
    <col min="9733" max="9733" width="8.140625" style="371" customWidth="1"/>
    <col min="9734" max="9734" width="9.7109375" style="371" customWidth="1"/>
    <col min="9735" max="9735" width="10.5703125" style="371" customWidth="1"/>
    <col min="9736" max="9736" width="12.5703125" style="371" customWidth="1"/>
    <col min="9737" max="9984" width="9.140625" style="371"/>
    <col min="9985" max="9985" width="7.140625" style="371" customWidth="1"/>
    <col min="9986" max="9986" width="11.42578125" style="371" customWidth="1"/>
    <col min="9987" max="9987" width="47.140625" style="371" customWidth="1"/>
    <col min="9988" max="9988" width="9.5703125" style="371" customWidth="1"/>
    <col min="9989" max="9989" width="8.140625" style="371" customWidth="1"/>
    <col min="9990" max="9990" width="9.7109375" style="371" customWidth="1"/>
    <col min="9991" max="9991" width="10.5703125" style="371" customWidth="1"/>
    <col min="9992" max="9992" width="12.5703125" style="371" customWidth="1"/>
    <col min="9993" max="10240" width="9.140625" style="371"/>
    <col min="10241" max="10241" width="7.140625" style="371" customWidth="1"/>
    <col min="10242" max="10242" width="11.42578125" style="371" customWidth="1"/>
    <col min="10243" max="10243" width="47.140625" style="371" customWidth="1"/>
    <col min="10244" max="10244" width="9.5703125" style="371" customWidth="1"/>
    <col min="10245" max="10245" width="8.140625" style="371" customWidth="1"/>
    <col min="10246" max="10246" width="9.7109375" style="371" customWidth="1"/>
    <col min="10247" max="10247" width="10.5703125" style="371" customWidth="1"/>
    <col min="10248" max="10248" width="12.5703125" style="371" customWidth="1"/>
    <col min="10249" max="10496" width="9.140625" style="371"/>
    <col min="10497" max="10497" width="7.140625" style="371" customWidth="1"/>
    <col min="10498" max="10498" width="11.42578125" style="371" customWidth="1"/>
    <col min="10499" max="10499" width="47.140625" style="371" customWidth="1"/>
    <col min="10500" max="10500" width="9.5703125" style="371" customWidth="1"/>
    <col min="10501" max="10501" width="8.140625" style="371" customWidth="1"/>
    <col min="10502" max="10502" width="9.7109375" style="371" customWidth="1"/>
    <col min="10503" max="10503" width="10.5703125" style="371" customWidth="1"/>
    <col min="10504" max="10504" width="12.5703125" style="371" customWidth="1"/>
    <col min="10505" max="10752" width="9.140625" style="371"/>
    <col min="10753" max="10753" width="7.140625" style="371" customWidth="1"/>
    <col min="10754" max="10754" width="11.42578125" style="371" customWidth="1"/>
    <col min="10755" max="10755" width="47.140625" style="371" customWidth="1"/>
    <col min="10756" max="10756" width="9.5703125" style="371" customWidth="1"/>
    <col min="10757" max="10757" width="8.140625" style="371" customWidth="1"/>
    <col min="10758" max="10758" width="9.7109375" style="371" customWidth="1"/>
    <col min="10759" max="10759" width="10.5703125" style="371" customWidth="1"/>
    <col min="10760" max="10760" width="12.5703125" style="371" customWidth="1"/>
    <col min="10761" max="11008" width="9.140625" style="371"/>
    <col min="11009" max="11009" width="7.140625" style="371" customWidth="1"/>
    <col min="11010" max="11010" width="11.42578125" style="371" customWidth="1"/>
    <col min="11011" max="11011" width="47.140625" style="371" customWidth="1"/>
    <col min="11012" max="11012" width="9.5703125" style="371" customWidth="1"/>
    <col min="11013" max="11013" width="8.140625" style="371" customWidth="1"/>
    <col min="11014" max="11014" width="9.7109375" style="371" customWidth="1"/>
    <col min="11015" max="11015" width="10.5703125" style="371" customWidth="1"/>
    <col min="11016" max="11016" width="12.5703125" style="371" customWidth="1"/>
    <col min="11017" max="11264" width="9.140625" style="371"/>
    <col min="11265" max="11265" width="7.140625" style="371" customWidth="1"/>
    <col min="11266" max="11266" width="11.42578125" style="371" customWidth="1"/>
    <col min="11267" max="11267" width="47.140625" style="371" customWidth="1"/>
    <col min="11268" max="11268" width="9.5703125" style="371" customWidth="1"/>
    <col min="11269" max="11269" width="8.140625" style="371" customWidth="1"/>
    <col min="11270" max="11270" width="9.7109375" style="371" customWidth="1"/>
    <col min="11271" max="11271" width="10.5703125" style="371" customWidth="1"/>
    <col min="11272" max="11272" width="12.5703125" style="371" customWidth="1"/>
    <col min="11273" max="11520" width="9.140625" style="371"/>
    <col min="11521" max="11521" width="7.140625" style="371" customWidth="1"/>
    <col min="11522" max="11522" width="11.42578125" style="371" customWidth="1"/>
    <col min="11523" max="11523" width="47.140625" style="371" customWidth="1"/>
    <col min="11524" max="11524" width="9.5703125" style="371" customWidth="1"/>
    <col min="11525" max="11525" width="8.140625" style="371" customWidth="1"/>
    <col min="11526" max="11526" width="9.7109375" style="371" customWidth="1"/>
    <col min="11527" max="11527" width="10.5703125" style="371" customWidth="1"/>
    <col min="11528" max="11528" width="12.5703125" style="371" customWidth="1"/>
    <col min="11529" max="11776" width="9.140625" style="371"/>
    <col min="11777" max="11777" width="7.140625" style="371" customWidth="1"/>
    <col min="11778" max="11778" width="11.42578125" style="371" customWidth="1"/>
    <col min="11779" max="11779" width="47.140625" style="371" customWidth="1"/>
    <col min="11780" max="11780" width="9.5703125" style="371" customWidth="1"/>
    <col min="11781" max="11781" width="8.140625" style="371" customWidth="1"/>
    <col min="11782" max="11782" width="9.7109375" style="371" customWidth="1"/>
    <col min="11783" max="11783" width="10.5703125" style="371" customWidth="1"/>
    <col min="11784" max="11784" width="12.5703125" style="371" customWidth="1"/>
    <col min="11785" max="12032" width="9.140625" style="371"/>
    <col min="12033" max="12033" width="7.140625" style="371" customWidth="1"/>
    <col min="12034" max="12034" width="11.42578125" style="371" customWidth="1"/>
    <col min="12035" max="12035" width="47.140625" style="371" customWidth="1"/>
    <col min="12036" max="12036" width="9.5703125" style="371" customWidth="1"/>
    <col min="12037" max="12037" width="8.140625" style="371" customWidth="1"/>
    <col min="12038" max="12038" width="9.7109375" style="371" customWidth="1"/>
    <col min="12039" max="12039" width="10.5703125" style="371" customWidth="1"/>
    <col min="12040" max="12040" width="12.5703125" style="371" customWidth="1"/>
    <col min="12041" max="12288" width="9.140625" style="371"/>
    <col min="12289" max="12289" width="7.140625" style="371" customWidth="1"/>
    <col min="12290" max="12290" width="11.42578125" style="371" customWidth="1"/>
    <col min="12291" max="12291" width="47.140625" style="371" customWidth="1"/>
    <col min="12292" max="12292" width="9.5703125" style="371" customWidth="1"/>
    <col min="12293" max="12293" width="8.140625" style="371" customWidth="1"/>
    <col min="12294" max="12294" width="9.7109375" style="371" customWidth="1"/>
    <col min="12295" max="12295" width="10.5703125" style="371" customWidth="1"/>
    <col min="12296" max="12296" width="12.5703125" style="371" customWidth="1"/>
    <col min="12297" max="12544" width="9.140625" style="371"/>
    <col min="12545" max="12545" width="7.140625" style="371" customWidth="1"/>
    <col min="12546" max="12546" width="11.42578125" style="371" customWidth="1"/>
    <col min="12547" max="12547" width="47.140625" style="371" customWidth="1"/>
    <col min="12548" max="12548" width="9.5703125" style="371" customWidth="1"/>
    <col min="12549" max="12549" width="8.140625" style="371" customWidth="1"/>
    <col min="12550" max="12550" width="9.7109375" style="371" customWidth="1"/>
    <col min="12551" max="12551" width="10.5703125" style="371" customWidth="1"/>
    <col min="12552" max="12552" width="12.5703125" style="371" customWidth="1"/>
    <col min="12553" max="12800" width="9.140625" style="371"/>
    <col min="12801" max="12801" width="7.140625" style="371" customWidth="1"/>
    <col min="12802" max="12802" width="11.42578125" style="371" customWidth="1"/>
    <col min="12803" max="12803" width="47.140625" style="371" customWidth="1"/>
    <col min="12804" max="12804" width="9.5703125" style="371" customWidth="1"/>
    <col min="12805" max="12805" width="8.140625" style="371" customWidth="1"/>
    <col min="12806" max="12806" width="9.7109375" style="371" customWidth="1"/>
    <col min="12807" max="12807" width="10.5703125" style="371" customWidth="1"/>
    <col min="12808" max="12808" width="12.5703125" style="371" customWidth="1"/>
    <col min="12809" max="13056" width="9.140625" style="371"/>
    <col min="13057" max="13057" width="7.140625" style="371" customWidth="1"/>
    <col min="13058" max="13058" width="11.42578125" style="371" customWidth="1"/>
    <col min="13059" max="13059" width="47.140625" style="371" customWidth="1"/>
    <col min="13060" max="13060" width="9.5703125" style="371" customWidth="1"/>
    <col min="13061" max="13061" width="8.140625" style="371" customWidth="1"/>
    <col min="13062" max="13062" width="9.7109375" style="371" customWidth="1"/>
    <col min="13063" max="13063" width="10.5703125" style="371" customWidth="1"/>
    <col min="13064" max="13064" width="12.5703125" style="371" customWidth="1"/>
    <col min="13065" max="13312" width="9.140625" style="371"/>
    <col min="13313" max="13313" width="7.140625" style="371" customWidth="1"/>
    <col min="13314" max="13314" width="11.42578125" style="371" customWidth="1"/>
    <col min="13315" max="13315" width="47.140625" style="371" customWidth="1"/>
    <col min="13316" max="13316" width="9.5703125" style="371" customWidth="1"/>
    <col min="13317" max="13317" width="8.140625" style="371" customWidth="1"/>
    <col min="13318" max="13318" width="9.7109375" style="371" customWidth="1"/>
    <col min="13319" max="13319" width="10.5703125" style="371" customWidth="1"/>
    <col min="13320" max="13320" width="12.5703125" style="371" customWidth="1"/>
    <col min="13321" max="13568" width="9.140625" style="371"/>
    <col min="13569" max="13569" width="7.140625" style="371" customWidth="1"/>
    <col min="13570" max="13570" width="11.42578125" style="371" customWidth="1"/>
    <col min="13571" max="13571" width="47.140625" style="371" customWidth="1"/>
    <col min="13572" max="13572" width="9.5703125" style="371" customWidth="1"/>
    <col min="13573" max="13573" width="8.140625" style="371" customWidth="1"/>
    <col min="13574" max="13574" width="9.7109375" style="371" customWidth="1"/>
    <col min="13575" max="13575" width="10.5703125" style="371" customWidth="1"/>
    <col min="13576" max="13576" width="12.5703125" style="371" customWidth="1"/>
    <col min="13577" max="13824" width="9.140625" style="371"/>
    <col min="13825" max="13825" width="7.140625" style="371" customWidth="1"/>
    <col min="13826" max="13826" width="11.42578125" style="371" customWidth="1"/>
    <col min="13827" max="13827" width="47.140625" style="371" customWidth="1"/>
    <col min="13828" max="13828" width="9.5703125" style="371" customWidth="1"/>
    <col min="13829" max="13829" width="8.140625" style="371" customWidth="1"/>
    <col min="13830" max="13830" width="9.7109375" style="371" customWidth="1"/>
    <col min="13831" max="13831" width="10.5703125" style="371" customWidth="1"/>
    <col min="13832" max="13832" width="12.5703125" style="371" customWidth="1"/>
    <col min="13833" max="14080" width="9.140625" style="371"/>
    <col min="14081" max="14081" width="7.140625" style="371" customWidth="1"/>
    <col min="14082" max="14082" width="11.42578125" style="371" customWidth="1"/>
    <col min="14083" max="14083" width="47.140625" style="371" customWidth="1"/>
    <col min="14084" max="14084" width="9.5703125" style="371" customWidth="1"/>
    <col min="14085" max="14085" width="8.140625" style="371" customWidth="1"/>
    <col min="14086" max="14086" width="9.7109375" style="371" customWidth="1"/>
    <col min="14087" max="14087" width="10.5703125" style="371" customWidth="1"/>
    <col min="14088" max="14088" width="12.5703125" style="371" customWidth="1"/>
    <col min="14089" max="14336" width="9.140625" style="371"/>
    <col min="14337" max="14337" width="7.140625" style="371" customWidth="1"/>
    <col min="14338" max="14338" width="11.42578125" style="371" customWidth="1"/>
    <col min="14339" max="14339" width="47.140625" style="371" customWidth="1"/>
    <col min="14340" max="14340" width="9.5703125" style="371" customWidth="1"/>
    <col min="14341" max="14341" width="8.140625" style="371" customWidth="1"/>
    <col min="14342" max="14342" width="9.7109375" style="371" customWidth="1"/>
    <col min="14343" max="14343" width="10.5703125" style="371" customWidth="1"/>
    <col min="14344" max="14344" width="12.5703125" style="371" customWidth="1"/>
    <col min="14345" max="14592" width="9.140625" style="371"/>
    <col min="14593" max="14593" width="7.140625" style="371" customWidth="1"/>
    <col min="14594" max="14594" width="11.42578125" style="371" customWidth="1"/>
    <col min="14595" max="14595" width="47.140625" style="371" customWidth="1"/>
    <col min="14596" max="14596" width="9.5703125" style="371" customWidth="1"/>
    <col min="14597" max="14597" width="8.140625" style="371" customWidth="1"/>
    <col min="14598" max="14598" width="9.7109375" style="371" customWidth="1"/>
    <col min="14599" max="14599" width="10.5703125" style="371" customWidth="1"/>
    <col min="14600" max="14600" width="12.5703125" style="371" customWidth="1"/>
    <col min="14601" max="14848" width="9.140625" style="371"/>
    <col min="14849" max="14849" width="7.140625" style="371" customWidth="1"/>
    <col min="14850" max="14850" width="11.42578125" style="371" customWidth="1"/>
    <col min="14851" max="14851" width="47.140625" style="371" customWidth="1"/>
    <col min="14852" max="14852" width="9.5703125" style="371" customWidth="1"/>
    <col min="14853" max="14853" width="8.140625" style="371" customWidth="1"/>
    <col min="14854" max="14854" width="9.7109375" style="371" customWidth="1"/>
    <col min="14855" max="14855" width="10.5703125" style="371" customWidth="1"/>
    <col min="14856" max="14856" width="12.5703125" style="371" customWidth="1"/>
    <col min="14857" max="15104" width="9.140625" style="371"/>
    <col min="15105" max="15105" width="7.140625" style="371" customWidth="1"/>
    <col min="15106" max="15106" width="11.42578125" style="371" customWidth="1"/>
    <col min="15107" max="15107" width="47.140625" style="371" customWidth="1"/>
    <col min="15108" max="15108" width="9.5703125" style="371" customWidth="1"/>
    <col min="15109" max="15109" width="8.140625" style="371" customWidth="1"/>
    <col min="15110" max="15110" width="9.7109375" style="371" customWidth="1"/>
    <col min="15111" max="15111" width="10.5703125" style="371" customWidth="1"/>
    <col min="15112" max="15112" width="12.5703125" style="371" customWidth="1"/>
    <col min="15113" max="15360" width="9.140625" style="371"/>
    <col min="15361" max="15361" width="7.140625" style="371" customWidth="1"/>
    <col min="15362" max="15362" width="11.42578125" style="371" customWidth="1"/>
    <col min="15363" max="15363" width="47.140625" style="371" customWidth="1"/>
    <col min="15364" max="15364" width="9.5703125" style="371" customWidth="1"/>
    <col min="15365" max="15365" width="8.140625" style="371" customWidth="1"/>
    <col min="15366" max="15366" width="9.7109375" style="371" customWidth="1"/>
    <col min="15367" max="15367" width="10.5703125" style="371" customWidth="1"/>
    <col min="15368" max="15368" width="12.5703125" style="371" customWidth="1"/>
    <col min="15369" max="15616" width="9.140625" style="371"/>
    <col min="15617" max="15617" width="7.140625" style="371" customWidth="1"/>
    <col min="15618" max="15618" width="11.42578125" style="371" customWidth="1"/>
    <col min="15619" max="15619" width="47.140625" style="371" customWidth="1"/>
    <col min="15620" max="15620" width="9.5703125" style="371" customWidth="1"/>
    <col min="15621" max="15621" width="8.140625" style="371" customWidth="1"/>
    <col min="15622" max="15622" width="9.7109375" style="371" customWidth="1"/>
    <col min="15623" max="15623" width="10.5703125" style="371" customWidth="1"/>
    <col min="15624" max="15624" width="12.5703125" style="371" customWidth="1"/>
    <col min="15625" max="15872" width="9.140625" style="371"/>
    <col min="15873" max="15873" width="7.140625" style="371" customWidth="1"/>
    <col min="15874" max="15874" width="11.42578125" style="371" customWidth="1"/>
    <col min="15875" max="15875" width="47.140625" style="371" customWidth="1"/>
    <col min="15876" max="15876" width="9.5703125" style="371" customWidth="1"/>
    <col min="15877" max="15877" width="8.140625" style="371" customWidth="1"/>
    <col min="15878" max="15878" width="9.7109375" style="371" customWidth="1"/>
    <col min="15879" max="15879" width="10.5703125" style="371" customWidth="1"/>
    <col min="15880" max="15880" width="12.5703125" style="371" customWidth="1"/>
    <col min="15881" max="16128" width="9.140625" style="371"/>
    <col min="16129" max="16129" width="7.140625" style="371" customWidth="1"/>
    <col min="16130" max="16130" width="11.42578125" style="371" customWidth="1"/>
    <col min="16131" max="16131" width="47.140625" style="371" customWidth="1"/>
    <col min="16132" max="16132" width="9.5703125" style="371" customWidth="1"/>
    <col min="16133" max="16133" width="8.140625" style="371" customWidth="1"/>
    <col min="16134" max="16134" width="9.7109375" style="371" customWidth="1"/>
    <col min="16135" max="16135" width="10.5703125" style="371" customWidth="1"/>
    <col min="16136" max="16136" width="12.5703125" style="371" customWidth="1"/>
    <col min="16137" max="16384" width="9.140625" style="371"/>
  </cols>
  <sheetData>
    <row r="1" spans="1:9" ht="30.75" customHeight="1" x14ac:dyDescent="0.35">
      <c r="A1" s="735" t="s">
        <v>545</v>
      </c>
      <c r="B1" s="735"/>
      <c r="C1" s="735"/>
      <c r="D1" s="735"/>
      <c r="E1" s="735"/>
      <c r="F1" s="735"/>
      <c r="G1" s="735"/>
      <c r="H1" s="735"/>
    </row>
    <row r="2" spans="1:9" ht="31.5" customHeight="1" x14ac:dyDescent="0.35">
      <c r="A2" s="736" t="s">
        <v>505</v>
      </c>
      <c r="B2" s="736"/>
      <c r="C2" s="736"/>
      <c r="D2" s="736"/>
      <c r="E2" s="736"/>
      <c r="F2" s="736"/>
      <c r="G2" s="736"/>
      <c r="H2" s="736"/>
    </row>
    <row r="3" spans="1:9" s="281" customFormat="1" ht="33" customHeight="1" x14ac:dyDescent="0.2">
      <c r="A3" s="452"/>
      <c r="B3" s="452"/>
      <c r="C3" s="452" t="s">
        <v>12</v>
      </c>
      <c r="D3" s="453">
        <f>H62/1000</f>
        <v>0</v>
      </c>
      <c r="E3" s="454"/>
      <c r="F3" s="737" t="s">
        <v>9</v>
      </c>
      <c r="G3" s="737"/>
      <c r="H3" s="737"/>
    </row>
    <row r="4" spans="1:9" s="281" customFormat="1" ht="18.75" customHeight="1" x14ac:dyDescent="0.2">
      <c r="A4" s="452"/>
      <c r="B4" s="736" t="s">
        <v>13</v>
      </c>
      <c r="C4" s="736"/>
      <c r="D4" s="453">
        <f>H54/1000</f>
        <v>0</v>
      </c>
      <c r="E4" s="454"/>
      <c r="F4" s="737" t="s">
        <v>9</v>
      </c>
      <c r="G4" s="737"/>
      <c r="H4" s="737"/>
      <c r="I4" s="141"/>
    </row>
    <row r="5" spans="1:9" s="281" customFormat="1" ht="18.75" customHeight="1" x14ac:dyDescent="0.2">
      <c r="A5" s="736" t="s">
        <v>15</v>
      </c>
      <c r="B5" s="736"/>
      <c r="C5" s="737" t="s">
        <v>506</v>
      </c>
      <c r="D5" s="737"/>
      <c r="E5" s="737"/>
      <c r="F5" s="737"/>
      <c r="G5" s="737"/>
      <c r="H5" s="737"/>
    </row>
    <row r="6" spans="1:9" s="281" customFormat="1" ht="23.25" customHeight="1" x14ac:dyDescent="0.2">
      <c r="A6" s="739"/>
      <c r="B6" s="739"/>
      <c r="C6" s="739"/>
      <c r="D6" s="739"/>
      <c r="E6" s="739"/>
      <c r="F6" s="739"/>
      <c r="G6" s="739"/>
      <c r="H6" s="739"/>
    </row>
    <row r="7" spans="1:9" s="281" customFormat="1" ht="42" customHeight="1" x14ac:dyDescent="0.2">
      <c r="A7" s="740" t="s">
        <v>39</v>
      </c>
      <c r="B7" s="742" t="s">
        <v>15</v>
      </c>
      <c r="C7" s="744" t="s">
        <v>16</v>
      </c>
      <c r="D7" s="742" t="s">
        <v>75</v>
      </c>
      <c r="E7" s="747" t="s">
        <v>17</v>
      </c>
      <c r="F7" s="748"/>
      <c r="G7" s="747" t="s">
        <v>12</v>
      </c>
      <c r="H7" s="748"/>
    </row>
    <row r="8" spans="1:9" ht="75" customHeight="1" x14ac:dyDescent="0.35">
      <c r="A8" s="741"/>
      <c r="B8" s="743"/>
      <c r="C8" s="745"/>
      <c r="D8" s="746"/>
      <c r="E8" s="455" t="s">
        <v>239</v>
      </c>
      <c r="F8" s="455" t="s">
        <v>240</v>
      </c>
      <c r="G8" s="455" t="s">
        <v>239</v>
      </c>
      <c r="H8" s="456" t="s">
        <v>18</v>
      </c>
    </row>
    <row r="9" spans="1:9" x14ac:dyDescent="0.35">
      <c r="A9" s="457">
        <v>1</v>
      </c>
      <c r="B9" s="457">
        <v>2</v>
      </c>
      <c r="C9" s="457">
        <v>3</v>
      </c>
      <c r="D9" s="458">
        <v>4</v>
      </c>
      <c r="E9" s="458">
        <v>5</v>
      </c>
      <c r="F9" s="458">
        <v>6</v>
      </c>
      <c r="G9" s="458">
        <v>7</v>
      </c>
      <c r="H9" s="457">
        <v>8</v>
      </c>
    </row>
    <row r="10" spans="1:9" ht="36.75" customHeight="1" x14ac:dyDescent="0.35">
      <c r="A10" s="459">
        <v>1</v>
      </c>
      <c r="B10" s="452" t="s">
        <v>507</v>
      </c>
      <c r="C10" s="459" t="s">
        <v>508</v>
      </c>
      <c r="D10" s="459" t="s">
        <v>87</v>
      </c>
      <c r="E10" s="458"/>
      <c r="F10" s="460">
        <v>16.5</v>
      </c>
      <c r="G10" s="461"/>
      <c r="H10" s="462">
        <f>H11</f>
        <v>0</v>
      </c>
      <c r="I10" s="372"/>
    </row>
    <row r="11" spans="1:9" ht="24" customHeight="1" x14ac:dyDescent="0.35">
      <c r="A11" s="458">
        <v>1.1000000000000001</v>
      </c>
      <c r="B11" s="459"/>
      <c r="C11" s="463" t="s">
        <v>23</v>
      </c>
      <c r="D11" s="464" t="s">
        <v>24</v>
      </c>
      <c r="E11" s="464">
        <v>3.88</v>
      </c>
      <c r="F11" s="465">
        <f>F10*E11</f>
        <v>64.02</v>
      </c>
      <c r="G11" s="465"/>
      <c r="H11" s="466">
        <f>G11*F11</f>
        <v>0</v>
      </c>
      <c r="I11" s="372"/>
    </row>
    <row r="12" spans="1:9" ht="37.9" customHeight="1" x14ac:dyDescent="0.35">
      <c r="A12" s="459">
        <v>2</v>
      </c>
      <c r="B12" s="452" t="s">
        <v>509</v>
      </c>
      <c r="C12" s="459" t="s">
        <v>510</v>
      </c>
      <c r="D12" s="459" t="s">
        <v>198</v>
      </c>
      <c r="E12" s="458"/>
      <c r="F12" s="467">
        <v>11</v>
      </c>
      <c r="G12" s="461"/>
      <c r="H12" s="462">
        <f>SUM(H13:H15)</f>
        <v>0</v>
      </c>
      <c r="I12" s="372"/>
    </row>
    <row r="13" spans="1:9" ht="21" customHeight="1" x14ac:dyDescent="0.35">
      <c r="A13" s="458">
        <v>2.1</v>
      </c>
      <c r="B13" s="458"/>
      <c r="C13" s="463" t="s">
        <v>23</v>
      </c>
      <c r="D13" s="464" t="s">
        <v>24</v>
      </c>
      <c r="E13" s="464">
        <v>8.4</v>
      </c>
      <c r="F13" s="465">
        <f>F12*E13</f>
        <v>92.4</v>
      </c>
      <c r="G13" s="465"/>
      <c r="H13" s="466">
        <f>G13*F13</f>
        <v>0</v>
      </c>
      <c r="I13" s="372"/>
    </row>
    <row r="14" spans="1:9" ht="20.25" customHeight="1" x14ac:dyDescent="0.35">
      <c r="A14" s="458">
        <v>2.2999999999999998</v>
      </c>
      <c r="B14" s="458"/>
      <c r="C14" s="463" t="s">
        <v>225</v>
      </c>
      <c r="D14" s="468" t="s">
        <v>199</v>
      </c>
      <c r="E14" s="468">
        <v>3.3</v>
      </c>
      <c r="F14" s="469">
        <f>F12*E14</f>
        <v>36.299999999999997</v>
      </c>
      <c r="G14" s="469"/>
      <c r="H14" s="470">
        <f>G14*F14</f>
        <v>0</v>
      </c>
      <c r="I14" s="372"/>
    </row>
    <row r="15" spans="1:9" ht="22.5" customHeight="1" x14ac:dyDescent="0.35">
      <c r="A15" s="458">
        <v>2.4</v>
      </c>
      <c r="B15" s="458"/>
      <c r="C15" s="458" t="s">
        <v>511</v>
      </c>
      <c r="D15" s="458" t="s">
        <v>198</v>
      </c>
      <c r="E15" s="458"/>
      <c r="F15" s="471">
        <v>11</v>
      </c>
      <c r="G15" s="461"/>
      <c r="H15" s="472">
        <f>G15*F15</f>
        <v>0</v>
      </c>
      <c r="I15" s="372"/>
    </row>
    <row r="16" spans="1:9" ht="39.6" customHeight="1" x14ac:dyDescent="0.35">
      <c r="A16" s="459">
        <v>3</v>
      </c>
      <c r="B16" s="452" t="s">
        <v>512</v>
      </c>
      <c r="C16" s="459" t="s">
        <v>513</v>
      </c>
      <c r="D16" s="459" t="s">
        <v>87</v>
      </c>
      <c r="E16" s="458"/>
      <c r="F16" s="460">
        <v>2.75</v>
      </c>
      <c r="G16" s="461"/>
      <c r="H16" s="462">
        <f>SUM(H17:H19)</f>
        <v>0</v>
      </c>
      <c r="I16" s="372"/>
    </row>
    <row r="17" spans="1:10" ht="21.75" customHeight="1" x14ac:dyDescent="0.35">
      <c r="A17" s="458">
        <v>3.1</v>
      </c>
      <c r="B17" s="459"/>
      <c r="C17" s="463" t="s">
        <v>23</v>
      </c>
      <c r="D17" s="464" t="s">
        <v>24</v>
      </c>
      <c r="E17" s="464">
        <v>4.5</v>
      </c>
      <c r="F17" s="465">
        <f>F16*E17</f>
        <v>12.38</v>
      </c>
      <c r="G17" s="465"/>
      <c r="H17" s="466">
        <f>G17*F17</f>
        <v>0</v>
      </c>
      <c r="I17" s="372"/>
    </row>
    <row r="18" spans="1:10" ht="19.5" customHeight="1" x14ac:dyDescent="0.35">
      <c r="A18" s="458">
        <v>3.2</v>
      </c>
      <c r="B18" s="459"/>
      <c r="C18" s="463" t="s">
        <v>225</v>
      </c>
      <c r="D18" s="468" t="s">
        <v>199</v>
      </c>
      <c r="E18" s="468">
        <v>0.37</v>
      </c>
      <c r="F18" s="469">
        <f>F16*E18</f>
        <v>1.02</v>
      </c>
      <c r="G18" s="469"/>
      <c r="H18" s="470">
        <f>G18*F18</f>
        <v>0</v>
      </c>
      <c r="I18" s="372"/>
    </row>
    <row r="19" spans="1:10" ht="21.75" customHeight="1" x14ac:dyDescent="0.35">
      <c r="A19" s="458">
        <v>3.3</v>
      </c>
      <c r="B19" s="459"/>
      <c r="C19" s="458" t="s">
        <v>514</v>
      </c>
      <c r="D19" s="458" t="s">
        <v>87</v>
      </c>
      <c r="E19" s="458">
        <v>1.02</v>
      </c>
      <c r="F19" s="461">
        <f>F16*E19</f>
        <v>2.81</v>
      </c>
      <c r="G19" s="461"/>
      <c r="H19" s="472">
        <f>G19*F19</f>
        <v>0</v>
      </c>
      <c r="I19" s="372"/>
    </row>
    <row r="20" spans="1:10" ht="45.6" customHeight="1" x14ac:dyDescent="0.35">
      <c r="A20" s="459">
        <v>4</v>
      </c>
      <c r="B20" s="452" t="s">
        <v>515</v>
      </c>
      <c r="C20" s="459" t="s">
        <v>516</v>
      </c>
      <c r="D20" s="459" t="s">
        <v>198</v>
      </c>
      <c r="E20" s="458"/>
      <c r="F20" s="467">
        <v>11</v>
      </c>
      <c r="G20" s="461"/>
      <c r="H20" s="462">
        <f>SUM(H21:H24)</f>
        <v>0</v>
      </c>
      <c r="I20" s="372"/>
    </row>
    <row r="21" spans="1:10" ht="21.75" customHeight="1" x14ac:dyDescent="0.35">
      <c r="A21" s="463">
        <f>A20+0.1</f>
        <v>4.0999999999999996</v>
      </c>
      <c r="B21" s="459"/>
      <c r="C21" s="463" t="s">
        <v>23</v>
      </c>
      <c r="D21" s="464" t="s">
        <v>24</v>
      </c>
      <c r="E21" s="464">
        <v>1.01</v>
      </c>
      <c r="F21" s="465">
        <f>F20*E21</f>
        <v>11.11</v>
      </c>
      <c r="G21" s="465"/>
      <c r="H21" s="466">
        <f>G21*F21</f>
        <v>0</v>
      </c>
      <c r="I21" s="372"/>
      <c r="J21" s="372"/>
    </row>
    <row r="22" spans="1:10" ht="18" customHeight="1" x14ac:dyDescent="0.35">
      <c r="A22" s="463">
        <f>A21+0.1</f>
        <v>4.2</v>
      </c>
      <c r="B22" s="459"/>
      <c r="C22" s="463" t="s">
        <v>225</v>
      </c>
      <c r="D22" s="468" t="s">
        <v>199</v>
      </c>
      <c r="E22" s="468">
        <v>7.0000000000000007E-2</v>
      </c>
      <c r="F22" s="469">
        <f>F20*E22</f>
        <v>0.77</v>
      </c>
      <c r="G22" s="469"/>
      <c r="H22" s="470">
        <f>G22*F22</f>
        <v>0</v>
      </c>
      <c r="I22" s="372"/>
      <c r="J22" s="372"/>
    </row>
    <row r="23" spans="1:10" ht="21.6" customHeight="1" x14ac:dyDescent="0.35">
      <c r="A23" s="463">
        <f>A20+0.1</f>
        <v>4.0999999999999996</v>
      </c>
      <c r="B23" s="473"/>
      <c r="C23" s="458" t="s">
        <v>517</v>
      </c>
      <c r="D23" s="458" t="s">
        <v>241</v>
      </c>
      <c r="E23" s="471"/>
      <c r="F23" s="471">
        <v>11</v>
      </c>
      <c r="G23" s="461"/>
      <c r="H23" s="474">
        <f>G23*F23</f>
        <v>0</v>
      </c>
      <c r="I23" s="372"/>
    </row>
    <row r="24" spans="1:10" ht="18.600000000000001" customHeight="1" x14ac:dyDescent="0.35">
      <c r="A24" s="463">
        <f>A22+0.1</f>
        <v>4.3</v>
      </c>
      <c r="B24" s="473"/>
      <c r="C24" s="458" t="s">
        <v>518</v>
      </c>
      <c r="D24" s="458" t="s">
        <v>241</v>
      </c>
      <c r="E24" s="471"/>
      <c r="F24" s="471">
        <v>11</v>
      </c>
      <c r="G24" s="461"/>
      <c r="H24" s="474">
        <f>G24*F24</f>
        <v>0</v>
      </c>
      <c r="I24" s="372"/>
    </row>
    <row r="25" spans="1:10" ht="30" x14ac:dyDescent="0.35">
      <c r="A25" s="459">
        <v>5</v>
      </c>
      <c r="B25" s="452" t="s">
        <v>519</v>
      </c>
      <c r="C25" s="459" t="s">
        <v>520</v>
      </c>
      <c r="D25" s="459" t="s">
        <v>198</v>
      </c>
      <c r="E25" s="458"/>
      <c r="F25" s="467">
        <v>11</v>
      </c>
      <c r="G25" s="461"/>
      <c r="H25" s="462">
        <f>SUM(H26:H28)</f>
        <v>0</v>
      </c>
      <c r="I25" s="372"/>
    </row>
    <row r="26" spans="1:10" x14ac:dyDescent="0.35">
      <c r="A26" s="458">
        <f>A25+0.1</f>
        <v>5.0999999999999996</v>
      </c>
      <c r="B26" s="458"/>
      <c r="C26" s="463" t="s">
        <v>23</v>
      </c>
      <c r="D26" s="464" t="s">
        <v>24</v>
      </c>
      <c r="E26" s="475">
        <v>2</v>
      </c>
      <c r="F26" s="465">
        <f>F25*E26</f>
        <v>22</v>
      </c>
      <c r="G26" s="465"/>
      <c r="H26" s="466">
        <f>G26*F26</f>
        <v>0</v>
      </c>
      <c r="I26" s="372"/>
    </row>
    <row r="27" spans="1:10" x14ac:dyDescent="0.35">
      <c r="A27" s="458">
        <f>A26+0.1</f>
        <v>5.2</v>
      </c>
      <c r="B27" s="458"/>
      <c r="C27" s="463" t="s">
        <v>225</v>
      </c>
      <c r="D27" s="468" t="s">
        <v>199</v>
      </c>
      <c r="E27" s="468">
        <v>2.2000000000000002</v>
      </c>
      <c r="F27" s="468">
        <f>F25*E27</f>
        <v>24.2</v>
      </c>
      <c r="G27" s="469"/>
      <c r="H27" s="470">
        <f>G27*F27</f>
        <v>0</v>
      </c>
      <c r="I27" s="372"/>
    </row>
    <row r="28" spans="1:10" x14ac:dyDescent="0.35">
      <c r="A28" s="458">
        <v>4.3</v>
      </c>
      <c r="B28" s="458"/>
      <c r="C28" s="458" t="s">
        <v>521</v>
      </c>
      <c r="D28" s="458" t="s">
        <v>198</v>
      </c>
      <c r="E28" s="458"/>
      <c r="F28" s="471">
        <v>11</v>
      </c>
      <c r="G28" s="461"/>
      <c r="H28" s="472">
        <f>G28*F28</f>
        <v>0</v>
      </c>
      <c r="I28" s="372"/>
    </row>
    <row r="29" spans="1:10" ht="30" x14ac:dyDescent="0.35">
      <c r="A29" s="459">
        <v>6</v>
      </c>
      <c r="B29" s="452" t="s">
        <v>522</v>
      </c>
      <c r="C29" s="459" t="s">
        <v>523</v>
      </c>
      <c r="D29" s="459" t="s">
        <v>198</v>
      </c>
      <c r="E29" s="458"/>
      <c r="F29" s="467">
        <v>1</v>
      </c>
      <c r="G29" s="461"/>
      <c r="H29" s="462">
        <f>SUM(H30:H33)</f>
        <v>0</v>
      </c>
      <c r="I29" s="372"/>
    </row>
    <row r="30" spans="1:10" x14ac:dyDescent="0.35">
      <c r="A30" s="463">
        <f>A29+0.1</f>
        <v>6.1</v>
      </c>
      <c r="B30" s="459"/>
      <c r="C30" s="463" t="s">
        <v>23</v>
      </c>
      <c r="D30" s="464" t="s">
        <v>24</v>
      </c>
      <c r="E30" s="475">
        <v>6</v>
      </c>
      <c r="F30" s="465">
        <f>F29*E30</f>
        <v>6</v>
      </c>
      <c r="G30" s="465"/>
      <c r="H30" s="466">
        <f>G30*F30</f>
        <v>0</v>
      </c>
      <c r="I30" s="372"/>
    </row>
    <row r="31" spans="1:10" x14ac:dyDescent="0.35">
      <c r="A31" s="463">
        <f>A30+0.1</f>
        <v>6.2</v>
      </c>
      <c r="B31" s="459"/>
      <c r="C31" s="463" t="s">
        <v>225</v>
      </c>
      <c r="D31" s="468" t="s">
        <v>199</v>
      </c>
      <c r="E31" s="468">
        <v>0.73</v>
      </c>
      <c r="F31" s="469">
        <f>F29*E31</f>
        <v>0.73</v>
      </c>
      <c r="G31" s="469"/>
      <c r="H31" s="470">
        <f>G31*F31</f>
        <v>0</v>
      </c>
      <c r="I31" s="372"/>
    </row>
    <row r="32" spans="1:10" x14ac:dyDescent="0.35">
      <c r="A32" s="463">
        <f>A31+0.1</f>
        <v>6.3</v>
      </c>
      <c r="B32" s="458"/>
      <c r="C32" s="458" t="s">
        <v>524</v>
      </c>
      <c r="D32" s="458" t="s">
        <v>198</v>
      </c>
      <c r="E32" s="458"/>
      <c r="F32" s="471">
        <v>1</v>
      </c>
      <c r="G32" s="461"/>
      <c r="H32" s="472">
        <f>G32*F32</f>
        <v>0</v>
      </c>
      <c r="I32" s="372"/>
    </row>
    <row r="33" spans="1:9" x14ac:dyDescent="0.35">
      <c r="A33" s="463">
        <f>A32+0.1</f>
        <v>6.4</v>
      </c>
      <c r="B33" s="458"/>
      <c r="C33" s="458" t="s">
        <v>525</v>
      </c>
      <c r="D33" s="458" t="s">
        <v>198</v>
      </c>
      <c r="E33" s="458"/>
      <c r="F33" s="471">
        <v>1</v>
      </c>
      <c r="G33" s="461"/>
      <c r="H33" s="472">
        <f>G33*F33</f>
        <v>0</v>
      </c>
      <c r="I33" s="372"/>
    </row>
    <row r="34" spans="1:9" x14ac:dyDescent="0.35">
      <c r="A34" s="476">
        <v>7</v>
      </c>
      <c r="B34" s="463" t="s">
        <v>526</v>
      </c>
      <c r="C34" s="476" t="s">
        <v>527</v>
      </c>
      <c r="D34" s="458" t="s">
        <v>198</v>
      </c>
      <c r="E34" s="463"/>
      <c r="F34" s="477">
        <v>1</v>
      </c>
      <c r="G34" s="478"/>
      <c r="H34" s="479">
        <f>SUM(H35:H36)</f>
        <v>0</v>
      </c>
      <c r="I34" s="372"/>
    </row>
    <row r="35" spans="1:9" x14ac:dyDescent="0.35">
      <c r="A35" s="463">
        <f>A34+0.1</f>
        <v>7.1</v>
      </c>
      <c r="B35" s="463"/>
      <c r="C35" s="463" t="s">
        <v>23</v>
      </c>
      <c r="D35" s="464" t="s">
        <v>24</v>
      </c>
      <c r="E35" s="480">
        <v>2</v>
      </c>
      <c r="F35" s="481">
        <f>F34*E35</f>
        <v>2</v>
      </c>
      <c r="G35" s="465"/>
      <c r="H35" s="482">
        <f>F35*G35</f>
        <v>0</v>
      </c>
      <c r="I35" s="372"/>
    </row>
    <row r="36" spans="1:9" x14ac:dyDescent="0.35">
      <c r="A36" s="463">
        <f>A35+0.1</f>
        <v>7.2</v>
      </c>
      <c r="B36" s="463"/>
      <c r="C36" s="463" t="s">
        <v>528</v>
      </c>
      <c r="D36" s="463" t="s">
        <v>198</v>
      </c>
      <c r="E36" s="463"/>
      <c r="F36" s="483">
        <v>1</v>
      </c>
      <c r="G36" s="483"/>
      <c r="H36" s="484">
        <f>F36*G36</f>
        <v>0</v>
      </c>
      <c r="I36" s="372"/>
    </row>
    <row r="37" spans="1:9" ht="30" x14ac:dyDescent="0.35">
      <c r="A37" s="459">
        <v>8</v>
      </c>
      <c r="B37" s="452" t="s">
        <v>529</v>
      </c>
      <c r="C37" s="459" t="s">
        <v>530</v>
      </c>
      <c r="D37" s="459" t="s">
        <v>241</v>
      </c>
      <c r="E37" s="458"/>
      <c r="F37" s="467">
        <f>F40+F41+F42</f>
        <v>480</v>
      </c>
      <c r="G37" s="461"/>
      <c r="H37" s="462">
        <f>SUM(H38:H42)</f>
        <v>0</v>
      </c>
      <c r="I37" s="372"/>
    </row>
    <row r="38" spans="1:9" ht="17.25" customHeight="1" x14ac:dyDescent="0.35">
      <c r="A38" s="463">
        <f>A37+0.1</f>
        <v>8.1</v>
      </c>
      <c r="B38" s="459"/>
      <c r="C38" s="463" t="s">
        <v>23</v>
      </c>
      <c r="D38" s="464" t="s">
        <v>24</v>
      </c>
      <c r="E38" s="464">
        <v>7.0000000000000007E-2</v>
      </c>
      <c r="F38" s="465">
        <f>F37*E38</f>
        <v>33.6</v>
      </c>
      <c r="G38" s="465"/>
      <c r="H38" s="466">
        <f>G38*F38</f>
        <v>0</v>
      </c>
      <c r="I38" s="372"/>
    </row>
    <row r="39" spans="1:9" ht="20.25" customHeight="1" x14ac:dyDescent="0.35">
      <c r="A39" s="463">
        <f>A38+0.1</f>
        <v>8.1999999999999993</v>
      </c>
      <c r="B39" s="459"/>
      <c r="C39" s="463" t="s">
        <v>225</v>
      </c>
      <c r="D39" s="468" t="s">
        <v>199</v>
      </c>
      <c r="E39" s="468">
        <v>0.05</v>
      </c>
      <c r="F39" s="469">
        <f>F37*E39</f>
        <v>24</v>
      </c>
      <c r="G39" s="469"/>
      <c r="H39" s="470">
        <f>G39*F39</f>
        <v>0</v>
      </c>
      <c r="I39" s="372"/>
    </row>
    <row r="40" spans="1:9" s="373" customFormat="1" ht="21" customHeight="1" x14ac:dyDescent="0.35">
      <c r="A40" s="463">
        <f>A39+0.1</f>
        <v>8.3000000000000007</v>
      </c>
      <c r="B40" s="23"/>
      <c r="C40" s="23" t="s">
        <v>531</v>
      </c>
      <c r="D40" s="23" t="s">
        <v>60</v>
      </c>
      <c r="E40" s="23"/>
      <c r="F40" s="485">
        <v>350</v>
      </c>
      <c r="G40" s="486"/>
      <c r="H40" s="487">
        <f>G40*F40</f>
        <v>0</v>
      </c>
      <c r="I40" s="372"/>
    </row>
    <row r="41" spans="1:9" s="373" customFormat="1" ht="21" customHeight="1" x14ac:dyDescent="0.35">
      <c r="A41" s="463">
        <f>A40+0.1</f>
        <v>8.4</v>
      </c>
      <c r="B41" s="23"/>
      <c r="C41" s="23" t="s">
        <v>532</v>
      </c>
      <c r="D41" s="23" t="s">
        <v>60</v>
      </c>
      <c r="E41" s="23"/>
      <c r="F41" s="485">
        <v>80</v>
      </c>
      <c r="G41" s="486"/>
      <c r="H41" s="487">
        <f>G41*F41</f>
        <v>0</v>
      </c>
      <c r="I41" s="372"/>
    </row>
    <row r="42" spans="1:9" x14ac:dyDescent="0.35">
      <c r="A42" s="463">
        <f>A41+0.1</f>
        <v>8.5</v>
      </c>
      <c r="B42" s="458"/>
      <c r="C42" s="458" t="s">
        <v>533</v>
      </c>
      <c r="D42" s="458" t="s">
        <v>241</v>
      </c>
      <c r="E42" s="458"/>
      <c r="F42" s="471">
        <v>50</v>
      </c>
      <c r="G42" s="461"/>
      <c r="H42" s="474">
        <f>G42*F42</f>
        <v>0</v>
      </c>
      <c r="I42" s="372"/>
    </row>
    <row r="43" spans="1:9" s="373" customFormat="1" ht="47.25" x14ac:dyDescent="0.35">
      <c r="A43" s="18">
        <v>9</v>
      </c>
      <c r="B43" s="488" t="s">
        <v>534</v>
      </c>
      <c r="C43" s="459" t="s">
        <v>535</v>
      </c>
      <c r="D43" s="459" t="s">
        <v>87</v>
      </c>
      <c r="E43" s="23"/>
      <c r="F43" s="489">
        <v>44</v>
      </c>
      <c r="G43" s="486"/>
      <c r="H43" s="490">
        <f>SUM(H44:H44)</f>
        <v>0</v>
      </c>
      <c r="I43" s="372"/>
    </row>
    <row r="44" spans="1:9" s="373" customFormat="1" x14ac:dyDescent="0.35">
      <c r="A44" s="407">
        <f>A43+0.1</f>
        <v>9.1</v>
      </c>
      <c r="B44" s="18"/>
      <c r="C44" s="463" t="s">
        <v>23</v>
      </c>
      <c r="D44" s="464" t="s">
        <v>24</v>
      </c>
      <c r="E44" s="491">
        <v>3.6</v>
      </c>
      <c r="F44" s="492">
        <f>F43*E44</f>
        <v>158.4</v>
      </c>
      <c r="G44" s="492"/>
      <c r="H44" s="493">
        <f>F44*G44</f>
        <v>0</v>
      </c>
      <c r="I44" s="372"/>
    </row>
    <row r="45" spans="1:9" s="373" customFormat="1" ht="31.5" x14ac:dyDescent="0.35">
      <c r="A45" s="18">
        <v>10</v>
      </c>
      <c r="B45" s="488" t="s">
        <v>536</v>
      </c>
      <c r="C45" s="459" t="s">
        <v>537</v>
      </c>
      <c r="D45" s="18" t="s">
        <v>60</v>
      </c>
      <c r="E45" s="23"/>
      <c r="F45" s="489">
        <v>430</v>
      </c>
      <c r="G45" s="486"/>
      <c r="H45" s="490">
        <f>SUM(H46:H48)</f>
        <v>0</v>
      </c>
      <c r="I45" s="372"/>
    </row>
    <row r="46" spans="1:9" s="373" customFormat="1" x14ac:dyDescent="0.35">
      <c r="A46" s="463">
        <f>A45+0.1</f>
        <v>10.1</v>
      </c>
      <c r="B46" s="18"/>
      <c r="C46" s="463" t="s">
        <v>23</v>
      </c>
      <c r="D46" s="464" t="s">
        <v>24</v>
      </c>
      <c r="E46" s="491">
        <v>0.15</v>
      </c>
      <c r="F46" s="492">
        <f>F45*E46</f>
        <v>64.5</v>
      </c>
      <c r="G46" s="492"/>
      <c r="H46" s="494">
        <f>G46*F46</f>
        <v>0</v>
      </c>
      <c r="I46" s="372"/>
    </row>
    <row r="47" spans="1:9" s="373" customFormat="1" x14ac:dyDescent="0.35">
      <c r="A47" s="463">
        <f>A46+0.1</f>
        <v>10.199999999999999</v>
      </c>
      <c r="B47" s="18"/>
      <c r="C47" s="463" t="s">
        <v>225</v>
      </c>
      <c r="D47" s="495" t="s">
        <v>59</v>
      </c>
      <c r="E47" s="495">
        <v>0.1</v>
      </c>
      <c r="F47" s="496">
        <f>F45*E47</f>
        <v>43</v>
      </c>
      <c r="G47" s="496"/>
      <c r="H47" s="497">
        <f>G47*F47</f>
        <v>0</v>
      </c>
      <c r="I47" s="372"/>
    </row>
    <row r="48" spans="1:9" s="373" customFormat="1" x14ac:dyDescent="0.35">
      <c r="A48" s="463">
        <f>A47+0.1</f>
        <v>10.3</v>
      </c>
      <c r="B48" s="23"/>
      <c r="C48" s="458" t="s">
        <v>538</v>
      </c>
      <c r="D48" s="23" t="s">
        <v>60</v>
      </c>
      <c r="E48" s="23"/>
      <c r="F48" s="486">
        <v>430</v>
      </c>
      <c r="G48" s="486"/>
      <c r="H48" s="487">
        <f>F48*G48</f>
        <v>0</v>
      </c>
      <c r="I48" s="372"/>
    </row>
    <row r="49" spans="1:9" s="373" customFormat="1" ht="31.5" x14ac:dyDescent="0.35">
      <c r="A49" s="18">
        <v>11</v>
      </c>
      <c r="B49" s="488" t="s">
        <v>539</v>
      </c>
      <c r="C49" s="459" t="s">
        <v>540</v>
      </c>
      <c r="D49" s="459" t="s">
        <v>87</v>
      </c>
      <c r="E49" s="23"/>
      <c r="F49" s="489">
        <v>60</v>
      </c>
      <c r="G49" s="486"/>
      <c r="H49" s="490">
        <f>H50</f>
        <v>0</v>
      </c>
      <c r="I49" s="372"/>
    </row>
    <row r="50" spans="1:9" s="373" customFormat="1" x14ac:dyDescent="0.35">
      <c r="A50" s="407">
        <f>A49+0.1</f>
        <v>11.1</v>
      </c>
      <c r="B50" s="18"/>
      <c r="C50" s="463" t="s">
        <v>23</v>
      </c>
      <c r="D50" s="464" t="s">
        <v>24</v>
      </c>
      <c r="E50" s="491">
        <v>0.85</v>
      </c>
      <c r="F50" s="492">
        <f>F49*E50</f>
        <v>51</v>
      </c>
      <c r="G50" s="492"/>
      <c r="H50" s="494">
        <f>G50*F50</f>
        <v>0</v>
      </c>
      <c r="I50" s="372"/>
    </row>
    <row r="51" spans="1:9" ht="34.5" customHeight="1" x14ac:dyDescent="0.35">
      <c r="A51" s="459">
        <v>12</v>
      </c>
      <c r="B51" s="452" t="s">
        <v>541</v>
      </c>
      <c r="C51" s="459" t="s">
        <v>542</v>
      </c>
      <c r="D51" s="459" t="s">
        <v>198</v>
      </c>
      <c r="E51" s="458"/>
      <c r="F51" s="467">
        <v>13</v>
      </c>
      <c r="G51" s="461"/>
      <c r="H51" s="462">
        <f>H52</f>
        <v>0</v>
      </c>
      <c r="I51" s="372"/>
    </row>
    <row r="52" spans="1:9" x14ac:dyDescent="0.35">
      <c r="A52" s="463">
        <f>A51+0.1</f>
        <v>12.1</v>
      </c>
      <c r="B52" s="459"/>
      <c r="C52" s="463" t="s">
        <v>23</v>
      </c>
      <c r="D52" s="464" t="s">
        <v>24</v>
      </c>
      <c r="E52" s="475">
        <v>1</v>
      </c>
      <c r="F52" s="465">
        <f>F51*E52</f>
        <v>13</v>
      </c>
      <c r="G52" s="465"/>
      <c r="H52" s="466">
        <f>G52*F52</f>
        <v>0</v>
      </c>
      <c r="I52" s="372"/>
    </row>
    <row r="53" spans="1:9" x14ac:dyDescent="0.35">
      <c r="A53" s="498"/>
      <c r="B53" s="459"/>
      <c r="C53" s="476" t="s">
        <v>245</v>
      </c>
      <c r="D53" s="463"/>
      <c r="E53" s="458"/>
      <c r="F53" s="458"/>
      <c r="G53" s="472"/>
      <c r="H53" s="499">
        <f>H10+H12+H16+H20+H25+H34+H37+H43+H45+H49+H51+H29</f>
        <v>0</v>
      </c>
      <c r="I53" s="372"/>
    </row>
    <row r="54" spans="1:9" x14ac:dyDescent="0.35">
      <c r="A54" s="498"/>
      <c r="B54" s="459"/>
      <c r="C54" s="406" t="s">
        <v>246</v>
      </c>
      <c r="D54" s="463" t="s">
        <v>10</v>
      </c>
      <c r="E54" s="458"/>
      <c r="F54" s="458"/>
      <c r="G54" s="458"/>
      <c r="H54" s="500">
        <f>H11+H13+H17+H21+H26+H35+H38+H44+H46+H50+H52+H30</f>
        <v>0</v>
      </c>
    </row>
    <row r="55" spans="1:9" x14ac:dyDescent="0.35">
      <c r="A55" s="458"/>
      <c r="B55" s="458"/>
      <c r="C55" s="406" t="s">
        <v>247</v>
      </c>
      <c r="D55" s="463" t="s">
        <v>10</v>
      </c>
      <c r="E55" s="458"/>
      <c r="F55" s="461"/>
      <c r="G55" s="461"/>
      <c r="H55" s="501">
        <f>H14+H18+H22+H27+H39+H47+H31</f>
        <v>0</v>
      </c>
    </row>
    <row r="56" spans="1:9" x14ac:dyDescent="0.35">
      <c r="A56" s="458"/>
      <c r="B56" s="458"/>
      <c r="C56" s="406" t="s">
        <v>248</v>
      </c>
      <c r="D56" s="463" t="s">
        <v>10</v>
      </c>
      <c r="E56" s="458"/>
      <c r="F56" s="461"/>
      <c r="G56" s="461"/>
      <c r="H56" s="472">
        <f>H53-H54-H55</f>
        <v>0</v>
      </c>
    </row>
    <row r="57" spans="1:9" ht="30" x14ac:dyDescent="0.35">
      <c r="A57" s="458"/>
      <c r="B57" s="458"/>
      <c r="C57" s="476" t="s">
        <v>22</v>
      </c>
      <c r="D57" s="463" t="s">
        <v>10</v>
      </c>
      <c r="E57" s="458"/>
      <c r="F57" s="461"/>
      <c r="G57" s="461"/>
      <c r="H57" s="499">
        <f>H54+H55+H56</f>
        <v>0</v>
      </c>
    </row>
    <row r="58" spans="1:9" ht="30" x14ac:dyDescent="0.35">
      <c r="A58" s="458"/>
      <c r="B58" s="472">
        <f>H10+H12+H16+H43+H49</f>
        <v>0</v>
      </c>
      <c r="C58" s="459" t="s">
        <v>543</v>
      </c>
      <c r="D58" s="458" t="s">
        <v>10</v>
      </c>
      <c r="E58" s="458"/>
      <c r="F58" s="461"/>
      <c r="G58" s="461"/>
      <c r="H58" s="499">
        <f>B58*0.1</f>
        <v>0</v>
      </c>
    </row>
    <row r="59" spans="1:9" ht="30" x14ac:dyDescent="0.35">
      <c r="A59" s="458"/>
      <c r="B59" s="472">
        <f>H21+H26+H35+H38+H46+H52</f>
        <v>0</v>
      </c>
      <c r="C59" s="459" t="s">
        <v>544</v>
      </c>
      <c r="D59" s="458" t="s">
        <v>10</v>
      </c>
      <c r="E59" s="458"/>
      <c r="F59" s="461"/>
      <c r="G59" s="461"/>
      <c r="H59" s="499">
        <f>B59*0.75</f>
        <v>0</v>
      </c>
    </row>
    <row r="60" spans="1:9" x14ac:dyDescent="0.35">
      <c r="A60" s="458"/>
      <c r="B60" s="502"/>
      <c r="C60" s="459" t="s">
        <v>11</v>
      </c>
      <c r="D60" s="458" t="s">
        <v>10</v>
      </c>
      <c r="E60" s="458"/>
      <c r="F60" s="461"/>
      <c r="G60" s="461"/>
      <c r="H60" s="499">
        <f>H59+H57</f>
        <v>0</v>
      </c>
    </row>
    <row r="61" spans="1:9" x14ac:dyDescent="0.35">
      <c r="A61" s="458"/>
      <c r="B61" s="458"/>
      <c r="C61" s="476" t="s">
        <v>378</v>
      </c>
      <c r="D61" s="458" t="s">
        <v>10</v>
      </c>
      <c r="E61" s="458"/>
      <c r="F61" s="461"/>
      <c r="G61" s="461"/>
      <c r="H61" s="499">
        <f>H60*8%</f>
        <v>0</v>
      </c>
    </row>
    <row r="62" spans="1:9" x14ac:dyDescent="0.35">
      <c r="A62" s="458"/>
      <c r="B62" s="458"/>
      <c r="C62" s="476" t="s">
        <v>18</v>
      </c>
      <c r="D62" s="458" t="s">
        <v>10</v>
      </c>
      <c r="E62" s="458"/>
      <c r="F62" s="458"/>
      <c r="G62" s="458"/>
      <c r="H62" s="499">
        <f>H60+H61</f>
        <v>0</v>
      </c>
    </row>
    <row r="63" spans="1:9" x14ac:dyDescent="0.35">
      <c r="A63" s="503"/>
      <c r="B63" s="503"/>
      <c r="C63" s="504"/>
      <c r="D63" s="503"/>
      <c r="E63" s="503"/>
      <c r="F63" s="503"/>
      <c r="G63" s="503"/>
      <c r="H63" s="505"/>
    </row>
    <row r="64" spans="1:9" x14ac:dyDescent="0.35">
      <c r="A64" s="503"/>
      <c r="B64" s="503"/>
      <c r="C64" s="504"/>
      <c r="D64" s="503"/>
      <c r="E64" s="503"/>
      <c r="F64" s="503"/>
      <c r="G64" s="503"/>
      <c r="H64" s="505"/>
    </row>
    <row r="65" spans="1:8" x14ac:dyDescent="0.35">
      <c r="A65" s="503"/>
      <c r="B65" s="503"/>
      <c r="C65" s="738"/>
      <c r="D65" s="738"/>
      <c r="E65" s="738"/>
      <c r="F65" s="738"/>
      <c r="G65" s="738"/>
      <c r="H65" s="505"/>
    </row>
    <row r="66" spans="1:8" ht="16.5" customHeight="1" x14ac:dyDescent="0.35">
      <c r="A66" s="503"/>
      <c r="B66" s="503"/>
      <c r="C66" s="738"/>
      <c r="D66" s="738"/>
      <c r="E66" s="738"/>
      <c r="F66" s="738"/>
      <c r="G66" s="738"/>
      <c r="H66" s="738"/>
    </row>
  </sheetData>
  <mergeCells count="16">
    <mergeCell ref="C65:G65"/>
    <mergeCell ref="C66:H66"/>
    <mergeCell ref="A5:B5"/>
    <mergeCell ref="C5:H5"/>
    <mergeCell ref="A6:H6"/>
    <mergeCell ref="A7:A8"/>
    <mergeCell ref="B7:B8"/>
    <mergeCell ref="C7:C8"/>
    <mergeCell ref="D7:D8"/>
    <mergeCell ref="E7:F7"/>
    <mergeCell ref="G7:H7"/>
    <mergeCell ref="A1:H1"/>
    <mergeCell ref="A2:H2"/>
    <mergeCell ref="F3:H3"/>
    <mergeCell ref="B4:C4"/>
    <mergeCell ref="F4:H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N53"/>
  <sheetViews>
    <sheetView topLeftCell="A46" workbookViewId="0">
      <selection activeCell="C53" sqref="C53"/>
    </sheetView>
  </sheetViews>
  <sheetFormatPr defaultRowHeight="12.75" x14ac:dyDescent="0.2"/>
  <cols>
    <col min="1" max="1" width="5.5703125" style="101" customWidth="1"/>
    <col min="2" max="2" width="9.140625" style="101"/>
    <col min="3" max="3" width="44.28515625" style="101" customWidth="1"/>
    <col min="4" max="4" width="8.28515625" style="101" customWidth="1"/>
    <col min="5" max="7" width="7.5703125" style="101" customWidth="1"/>
    <col min="8" max="8" width="8.5703125" style="101" customWidth="1"/>
    <col min="257" max="257" width="5.42578125" customWidth="1"/>
    <col min="259" max="259" width="44.28515625" customWidth="1"/>
    <col min="260" max="260" width="8.28515625" customWidth="1"/>
    <col min="261" max="263" width="7.5703125" customWidth="1"/>
    <col min="264" max="264" width="8.5703125" customWidth="1"/>
    <col min="513" max="513" width="5.42578125" customWidth="1"/>
    <col min="515" max="515" width="44.28515625" customWidth="1"/>
    <col min="516" max="516" width="8.28515625" customWidth="1"/>
    <col min="517" max="519" width="7.5703125" customWidth="1"/>
    <col min="520" max="520" width="8.5703125" customWidth="1"/>
    <col min="769" max="769" width="5.42578125" customWidth="1"/>
    <col min="771" max="771" width="44.28515625" customWidth="1"/>
    <col min="772" max="772" width="8.28515625" customWidth="1"/>
    <col min="773" max="775" width="7.5703125" customWidth="1"/>
    <col min="776" max="776" width="8.5703125" customWidth="1"/>
    <col min="1025" max="1025" width="5.42578125" customWidth="1"/>
    <col min="1027" max="1027" width="44.28515625" customWidth="1"/>
    <col min="1028" max="1028" width="8.28515625" customWidth="1"/>
    <col min="1029" max="1031" width="7.5703125" customWidth="1"/>
    <col min="1032" max="1032" width="8.5703125" customWidth="1"/>
    <col min="1281" max="1281" width="5.42578125" customWidth="1"/>
    <col min="1283" max="1283" width="44.28515625" customWidth="1"/>
    <col min="1284" max="1284" width="8.28515625" customWidth="1"/>
    <col min="1285" max="1287" width="7.5703125" customWidth="1"/>
    <col min="1288" max="1288" width="8.5703125" customWidth="1"/>
    <col min="1537" max="1537" width="5.42578125" customWidth="1"/>
    <col min="1539" max="1539" width="44.28515625" customWidth="1"/>
    <col min="1540" max="1540" width="8.28515625" customWidth="1"/>
    <col min="1541" max="1543" width="7.5703125" customWidth="1"/>
    <col min="1544" max="1544" width="8.5703125" customWidth="1"/>
    <col min="1793" max="1793" width="5.42578125" customWidth="1"/>
    <col min="1795" max="1795" width="44.28515625" customWidth="1"/>
    <col min="1796" max="1796" width="8.28515625" customWidth="1"/>
    <col min="1797" max="1799" width="7.5703125" customWidth="1"/>
    <col min="1800" max="1800" width="8.5703125" customWidth="1"/>
    <col min="2049" max="2049" width="5.42578125" customWidth="1"/>
    <col min="2051" max="2051" width="44.28515625" customWidth="1"/>
    <col min="2052" max="2052" width="8.28515625" customWidth="1"/>
    <col min="2053" max="2055" width="7.5703125" customWidth="1"/>
    <col min="2056" max="2056" width="8.5703125" customWidth="1"/>
    <col min="2305" max="2305" width="5.42578125" customWidth="1"/>
    <col min="2307" max="2307" width="44.28515625" customWidth="1"/>
    <col min="2308" max="2308" width="8.28515625" customWidth="1"/>
    <col min="2309" max="2311" width="7.5703125" customWidth="1"/>
    <col min="2312" max="2312" width="8.5703125" customWidth="1"/>
    <col min="2561" max="2561" width="5.42578125" customWidth="1"/>
    <col min="2563" max="2563" width="44.28515625" customWidth="1"/>
    <col min="2564" max="2564" width="8.28515625" customWidth="1"/>
    <col min="2565" max="2567" width="7.5703125" customWidth="1"/>
    <col min="2568" max="2568" width="8.5703125" customWidth="1"/>
    <col min="2817" max="2817" width="5.42578125" customWidth="1"/>
    <col min="2819" max="2819" width="44.28515625" customWidth="1"/>
    <col min="2820" max="2820" width="8.28515625" customWidth="1"/>
    <col min="2821" max="2823" width="7.5703125" customWidth="1"/>
    <col min="2824" max="2824" width="8.5703125" customWidth="1"/>
    <col min="3073" max="3073" width="5.42578125" customWidth="1"/>
    <col min="3075" max="3075" width="44.28515625" customWidth="1"/>
    <col min="3076" max="3076" width="8.28515625" customWidth="1"/>
    <col min="3077" max="3079" width="7.5703125" customWidth="1"/>
    <col min="3080" max="3080" width="8.5703125" customWidth="1"/>
    <col min="3329" max="3329" width="5.42578125" customWidth="1"/>
    <col min="3331" max="3331" width="44.28515625" customWidth="1"/>
    <col min="3332" max="3332" width="8.28515625" customWidth="1"/>
    <col min="3333" max="3335" width="7.5703125" customWidth="1"/>
    <col min="3336" max="3336" width="8.5703125" customWidth="1"/>
    <col min="3585" max="3585" width="5.42578125" customWidth="1"/>
    <col min="3587" max="3587" width="44.28515625" customWidth="1"/>
    <col min="3588" max="3588" width="8.28515625" customWidth="1"/>
    <col min="3589" max="3591" width="7.5703125" customWidth="1"/>
    <col min="3592" max="3592" width="8.5703125" customWidth="1"/>
    <col min="3841" max="3841" width="5.42578125" customWidth="1"/>
    <col min="3843" max="3843" width="44.28515625" customWidth="1"/>
    <col min="3844" max="3844" width="8.28515625" customWidth="1"/>
    <col min="3845" max="3847" width="7.5703125" customWidth="1"/>
    <col min="3848" max="3848" width="8.5703125" customWidth="1"/>
    <col min="4097" max="4097" width="5.42578125" customWidth="1"/>
    <col min="4099" max="4099" width="44.28515625" customWidth="1"/>
    <col min="4100" max="4100" width="8.28515625" customWidth="1"/>
    <col min="4101" max="4103" width="7.5703125" customWidth="1"/>
    <col min="4104" max="4104" width="8.5703125" customWidth="1"/>
    <col min="4353" max="4353" width="5.42578125" customWidth="1"/>
    <col min="4355" max="4355" width="44.28515625" customWidth="1"/>
    <col min="4356" max="4356" width="8.28515625" customWidth="1"/>
    <col min="4357" max="4359" width="7.5703125" customWidth="1"/>
    <col min="4360" max="4360" width="8.5703125" customWidth="1"/>
    <col min="4609" max="4609" width="5.42578125" customWidth="1"/>
    <col min="4611" max="4611" width="44.28515625" customWidth="1"/>
    <col min="4612" max="4612" width="8.28515625" customWidth="1"/>
    <col min="4613" max="4615" width="7.5703125" customWidth="1"/>
    <col min="4616" max="4616" width="8.5703125" customWidth="1"/>
    <col min="4865" max="4865" width="5.42578125" customWidth="1"/>
    <col min="4867" max="4867" width="44.28515625" customWidth="1"/>
    <col min="4868" max="4868" width="8.28515625" customWidth="1"/>
    <col min="4869" max="4871" width="7.5703125" customWidth="1"/>
    <col min="4872" max="4872" width="8.5703125" customWidth="1"/>
    <col min="5121" max="5121" width="5.42578125" customWidth="1"/>
    <col min="5123" max="5123" width="44.28515625" customWidth="1"/>
    <col min="5124" max="5124" width="8.28515625" customWidth="1"/>
    <col min="5125" max="5127" width="7.5703125" customWidth="1"/>
    <col min="5128" max="5128" width="8.5703125" customWidth="1"/>
    <col min="5377" max="5377" width="5.42578125" customWidth="1"/>
    <col min="5379" max="5379" width="44.28515625" customWidth="1"/>
    <col min="5380" max="5380" width="8.28515625" customWidth="1"/>
    <col min="5381" max="5383" width="7.5703125" customWidth="1"/>
    <col min="5384" max="5384" width="8.5703125" customWidth="1"/>
    <col min="5633" max="5633" width="5.42578125" customWidth="1"/>
    <col min="5635" max="5635" width="44.28515625" customWidth="1"/>
    <col min="5636" max="5636" width="8.28515625" customWidth="1"/>
    <col min="5637" max="5639" width="7.5703125" customWidth="1"/>
    <col min="5640" max="5640" width="8.5703125" customWidth="1"/>
    <col min="5889" max="5889" width="5.42578125" customWidth="1"/>
    <col min="5891" max="5891" width="44.28515625" customWidth="1"/>
    <col min="5892" max="5892" width="8.28515625" customWidth="1"/>
    <col min="5893" max="5895" width="7.5703125" customWidth="1"/>
    <col min="5896" max="5896" width="8.5703125" customWidth="1"/>
    <col min="6145" max="6145" width="5.42578125" customWidth="1"/>
    <col min="6147" max="6147" width="44.28515625" customWidth="1"/>
    <col min="6148" max="6148" width="8.28515625" customWidth="1"/>
    <col min="6149" max="6151" width="7.5703125" customWidth="1"/>
    <col min="6152" max="6152" width="8.5703125" customWidth="1"/>
    <col min="6401" max="6401" width="5.42578125" customWidth="1"/>
    <col min="6403" max="6403" width="44.28515625" customWidth="1"/>
    <col min="6404" max="6404" width="8.28515625" customWidth="1"/>
    <col min="6405" max="6407" width="7.5703125" customWidth="1"/>
    <col min="6408" max="6408" width="8.5703125" customWidth="1"/>
    <col min="6657" max="6657" width="5.42578125" customWidth="1"/>
    <col min="6659" max="6659" width="44.28515625" customWidth="1"/>
    <col min="6660" max="6660" width="8.28515625" customWidth="1"/>
    <col min="6661" max="6663" width="7.5703125" customWidth="1"/>
    <col min="6664" max="6664" width="8.5703125" customWidth="1"/>
    <col min="6913" max="6913" width="5.42578125" customWidth="1"/>
    <col min="6915" max="6915" width="44.28515625" customWidth="1"/>
    <col min="6916" max="6916" width="8.28515625" customWidth="1"/>
    <col min="6917" max="6919" width="7.5703125" customWidth="1"/>
    <col min="6920" max="6920" width="8.5703125" customWidth="1"/>
    <col min="7169" max="7169" width="5.42578125" customWidth="1"/>
    <col min="7171" max="7171" width="44.28515625" customWidth="1"/>
    <col min="7172" max="7172" width="8.28515625" customWidth="1"/>
    <col min="7173" max="7175" width="7.5703125" customWidth="1"/>
    <col min="7176" max="7176" width="8.5703125" customWidth="1"/>
    <col min="7425" max="7425" width="5.42578125" customWidth="1"/>
    <col min="7427" max="7427" width="44.28515625" customWidth="1"/>
    <col min="7428" max="7428" width="8.28515625" customWidth="1"/>
    <col min="7429" max="7431" width="7.5703125" customWidth="1"/>
    <col min="7432" max="7432" width="8.5703125" customWidth="1"/>
    <col min="7681" max="7681" width="5.42578125" customWidth="1"/>
    <col min="7683" max="7683" width="44.28515625" customWidth="1"/>
    <col min="7684" max="7684" width="8.28515625" customWidth="1"/>
    <col min="7685" max="7687" width="7.5703125" customWidth="1"/>
    <col min="7688" max="7688" width="8.5703125" customWidth="1"/>
    <col min="7937" max="7937" width="5.42578125" customWidth="1"/>
    <col min="7939" max="7939" width="44.28515625" customWidth="1"/>
    <col min="7940" max="7940" width="8.28515625" customWidth="1"/>
    <col min="7941" max="7943" width="7.5703125" customWidth="1"/>
    <col min="7944" max="7944" width="8.5703125" customWidth="1"/>
    <col min="8193" max="8193" width="5.42578125" customWidth="1"/>
    <col min="8195" max="8195" width="44.28515625" customWidth="1"/>
    <col min="8196" max="8196" width="8.28515625" customWidth="1"/>
    <col min="8197" max="8199" width="7.5703125" customWidth="1"/>
    <col min="8200" max="8200" width="8.5703125" customWidth="1"/>
    <col min="8449" max="8449" width="5.42578125" customWidth="1"/>
    <col min="8451" max="8451" width="44.28515625" customWidth="1"/>
    <col min="8452" max="8452" width="8.28515625" customWidth="1"/>
    <col min="8453" max="8455" width="7.5703125" customWidth="1"/>
    <col min="8456" max="8456" width="8.5703125" customWidth="1"/>
    <col min="8705" max="8705" width="5.42578125" customWidth="1"/>
    <col min="8707" max="8707" width="44.28515625" customWidth="1"/>
    <col min="8708" max="8708" width="8.28515625" customWidth="1"/>
    <col min="8709" max="8711" width="7.5703125" customWidth="1"/>
    <col min="8712" max="8712" width="8.5703125" customWidth="1"/>
    <col min="8961" max="8961" width="5.42578125" customWidth="1"/>
    <col min="8963" max="8963" width="44.28515625" customWidth="1"/>
    <col min="8964" max="8964" width="8.28515625" customWidth="1"/>
    <col min="8965" max="8967" width="7.5703125" customWidth="1"/>
    <col min="8968" max="8968" width="8.5703125" customWidth="1"/>
    <col min="9217" max="9217" width="5.42578125" customWidth="1"/>
    <col min="9219" max="9219" width="44.28515625" customWidth="1"/>
    <col min="9220" max="9220" width="8.28515625" customWidth="1"/>
    <col min="9221" max="9223" width="7.5703125" customWidth="1"/>
    <col min="9224" max="9224" width="8.5703125" customWidth="1"/>
    <col min="9473" max="9473" width="5.42578125" customWidth="1"/>
    <col min="9475" max="9475" width="44.28515625" customWidth="1"/>
    <col min="9476" max="9476" width="8.28515625" customWidth="1"/>
    <col min="9477" max="9479" width="7.5703125" customWidth="1"/>
    <col min="9480" max="9480" width="8.5703125" customWidth="1"/>
    <col min="9729" max="9729" width="5.42578125" customWidth="1"/>
    <col min="9731" max="9731" width="44.28515625" customWidth="1"/>
    <col min="9732" max="9732" width="8.28515625" customWidth="1"/>
    <col min="9733" max="9735" width="7.5703125" customWidth="1"/>
    <col min="9736" max="9736" width="8.5703125" customWidth="1"/>
    <col min="9985" max="9985" width="5.42578125" customWidth="1"/>
    <col min="9987" max="9987" width="44.28515625" customWidth="1"/>
    <col min="9988" max="9988" width="8.28515625" customWidth="1"/>
    <col min="9989" max="9991" width="7.5703125" customWidth="1"/>
    <col min="9992" max="9992" width="8.5703125" customWidth="1"/>
    <col min="10241" max="10241" width="5.42578125" customWidth="1"/>
    <col min="10243" max="10243" width="44.28515625" customWidth="1"/>
    <col min="10244" max="10244" width="8.28515625" customWidth="1"/>
    <col min="10245" max="10247" width="7.5703125" customWidth="1"/>
    <col min="10248" max="10248" width="8.5703125" customWidth="1"/>
    <col min="10497" max="10497" width="5.42578125" customWidth="1"/>
    <col min="10499" max="10499" width="44.28515625" customWidth="1"/>
    <col min="10500" max="10500" width="8.28515625" customWidth="1"/>
    <col min="10501" max="10503" width="7.5703125" customWidth="1"/>
    <col min="10504" max="10504" width="8.5703125" customWidth="1"/>
    <col min="10753" max="10753" width="5.42578125" customWidth="1"/>
    <col min="10755" max="10755" width="44.28515625" customWidth="1"/>
    <col min="10756" max="10756" width="8.28515625" customWidth="1"/>
    <col min="10757" max="10759" width="7.5703125" customWidth="1"/>
    <col min="10760" max="10760" width="8.5703125" customWidth="1"/>
    <col min="11009" max="11009" width="5.42578125" customWidth="1"/>
    <col min="11011" max="11011" width="44.28515625" customWidth="1"/>
    <col min="11012" max="11012" width="8.28515625" customWidth="1"/>
    <col min="11013" max="11015" width="7.5703125" customWidth="1"/>
    <col min="11016" max="11016" width="8.5703125" customWidth="1"/>
    <col min="11265" max="11265" width="5.42578125" customWidth="1"/>
    <col min="11267" max="11267" width="44.28515625" customWidth="1"/>
    <col min="11268" max="11268" width="8.28515625" customWidth="1"/>
    <col min="11269" max="11271" width="7.5703125" customWidth="1"/>
    <col min="11272" max="11272" width="8.5703125" customWidth="1"/>
    <col min="11521" max="11521" width="5.42578125" customWidth="1"/>
    <col min="11523" max="11523" width="44.28515625" customWidth="1"/>
    <col min="11524" max="11524" width="8.28515625" customWidth="1"/>
    <col min="11525" max="11527" width="7.5703125" customWidth="1"/>
    <col min="11528" max="11528" width="8.5703125" customWidth="1"/>
    <col min="11777" max="11777" width="5.42578125" customWidth="1"/>
    <col min="11779" max="11779" width="44.28515625" customWidth="1"/>
    <col min="11780" max="11780" width="8.28515625" customWidth="1"/>
    <col min="11781" max="11783" width="7.5703125" customWidth="1"/>
    <col min="11784" max="11784" width="8.5703125" customWidth="1"/>
    <col min="12033" max="12033" width="5.42578125" customWidth="1"/>
    <col min="12035" max="12035" width="44.28515625" customWidth="1"/>
    <col min="12036" max="12036" width="8.28515625" customWidth="1"/>
    <col min="12037" max="12039" width="7.5703125" customWidth="1"/>
    <col min="12040" max="12040" width="8.5703125" customWidth="1"/>
    <col min="12289" max="12289" width="5.42578125" customWidth="1"/>
    <col min="12291" max="12291" width="44.28515625" customWidth="1"/>
    <col min="12292" max="12292" width="8.28515625" customWidth="1"/>
    <col min="12293" max="12295" width="7.5703125" customWidth="1"/>
    <col min="12296" max="12296" width="8.5703125" customWidth="1"/>
    <col min="12545" max="12545" width="5.42578125" customWidth="1"/>
    <col min="12547" max="12547" width="44.28515625" customWidth="1"/>
    <col min="12548" max="12548" width="8.28515625" customWidth="1"/>
    <col min="12549" max="12551" width="7.5703125" customWidth="1"/>
    <col min="12552" max="12552" width="8.5703125" customWidth="1"/>
    <col min="12801" max="12801" width="5.42578125" customWidth="1"/>
    <col min="12803" max="12803" width="44.28515625" customWidth="1"/>
    <col min="12804" max="12804" width="8.28515625" customWidth="1"/>
    <col min="12805" max="12807" width="7.5703125" customWidth="1"/>
    <col min="12808" max="12808" width="8.5703125" customWidth="1"/>
    <col min="13057" max="13057" width="5.42578125" customWidth="1"/>
    <col min="13059" max="13059" width="44.28515625" customWidth="1"/>
    <col min="13060" max="13060" width="8.28515625" customWidth="1"/>
    <col min="13061" max="13063" width="7.5703125" customWidth="1"/>
    <col min="13064" max="13064" width="8.5703125" customWidth="1"/>
    <col min="13313" max="13313" width="5.42578125" customWidth="1"/>
    <col min="13315" max="13315" width="44.28515625" customWidth="1"/>
    <col min="13316" max="13316" width="8.28515625" customWidth="1"/>
    <col min="13317" max="13319" width="7.5703125" customWidth="1"/>
    <col min="13320" max="13320" width="8.5703125" customWidth="1"/>
    <col min="13569" max="13569" width="5.42578125" customWidth="1"/>
    <col min="13571" max="13571" width="44.28515625" customWidth="1"/>
    <col min="13572" max="13572" width="8.28515625" customWidth="1"/>
    <col min="13573" max="13575" width="7.5703125" customWidth="1"/>
    <col min="13576" max="13576" width="8.5703125" customWidth="1"/>
    <col min="13825" max="13825" width="5.42578125" customWidth="1"/>
    <col min="13827" max="13827" width="44.28515625" customWidth="1"/>
    <col min="13828" max="13828" width="8.28515625" customWidth="1"/>
    <col min="13829" max="13831" width="7.5703125" customWidth="1"/>
    <col min="13832" max="13832" width="8.5703125" customWidth="1"/>
    <col min="14081" max="14081" width="5.42578125" customWidth="1"/>
    <col min="14083" max="14083" width="44.28515625" customWidth="1"/>
    <col min="14084" max="14084" width="8.28515625" customWidth="1"/>
    <col min="14085" max="14087" width="7.5703125" customWidth="1"/>
    <col min="14088" max="14088" width="8.5703125" customWidth="1"/>
    <col min="14337" max="14337" width="5.42578125" customWidth="1"/>
    <col min="14339" max="14339" width="44.28515625" customWidth="1"/>
    <col min="14340" max="14340" width="8.28515625" customWidth="1"/>
    <col min="14341" max="14343" width="7.5703125" customWidth="1"/>
    <col min="14344" max="14344" width="8.5703125" customWidth="1"/>
    <col min="14593" max="14593" width="5.42578125" customWidth="1"/>
    <col min="14595" max="14595" width="44.28515625" customWidth="1"/>
    <col min="14596" max="14596" width="8.28515625" customWidth="1"/>
    <col min="14597" max="14599" width="7.5703125" customWidth="1"/>
    <col min="14600" max="14600" width="8.5703125" customWidth="1"/>
    <col min="14849" max="14849" width="5.42578125" customWidth="1"/>
    <col min="14851" max="14851" width="44.28515625" customWidth="1"/>
    <col min="14852" max="14852" width="8.28515625" customWidth="1"/>
    <col min="14853" max="14855" width="7.5703125" customWidth="1"/>
    <col min="14856" max="14856" width="8.5703125" customWidth="1"/>
    <col min="15105" max="15105" width="5.42578125" customWidth="1"/>
    <col min="15107" max="15107" width="44.28515625" customWidth="1"/>
    <col min="15108" max="15108" width="8.28515625" customWidth="1"/>
    <col min="15109" max="15111" width="7.5703125" customWidth="1"/>
    <col min="15112" max="15112" width="8.5703125" customWidth="1"/>
    <col min="15361" max="15361" width="5.42578125" customWidth="1"/>
    <col min="15363" max="15363" width="44.28515625" customWidth="1"/>
    <col min="15364" max="15364" width="8.28515625" customWidth="1"/>
    <col min="15365" max="15367" width="7.5703125" customWidth="1"/>
    <col min="15368" max="15368" width="8.5703125" customWidth="1"/>
    <col min="15617" max="15617" width="5.42578125" customWidth="1"/>
    <col min="15619" max="15619" width="44.28515625" customWidth="1"/>
    <col min="15620" max="15620" width="8.28515625" customWidth="1"/>
    <col min="15621" max="15623" width="7.5703125" customWidth="1"/>
    <col min="15624" max="15624" width="8.5703125" customWidth="1"/>
    <col min="15873" max="15873" width="5.42578125" customWidth="1"/>
    <col min="15875" max="15875" width="44.28515625" customWidth="1"/>
    <col min="15876" max="15876" width="8.28515625" customWidth="1"/>
    <col min="15877" max="15879" width="7.5703125" customWidth="1"/>
    <col min="15880" max="15880" width="8.5703125" customWidth="1"/>
    <col min="16129" max="16129" width="5.42578125" customWidth="1"/>
    <col min="16131" max="16131" width="44.28515625" customWidth="1"/>
    <col min="16132" max="16132" width="8.28515625" customWidth="1"/>
    <col min="16133" max="16135" width="7.5703125" customWidth="1"/>
    <col min="16136" max="16136" width="8.5703125" customWidth="1"/>
  </cols>
  <sheetData>
    <row r="1" spans="1:14" ht="26.25" customHeight="1" x14ac:dyDescent="0.2">
      <c r="A1" s="629" t="s">
        <v>487</v>
      </c>
      <c r="B1" s="629"/>
      <c r="C1" s="629"/>
      <c r="D1" s="629"/>
      <c r="E1" s="629"/>
      <c r="F1" s="629"/>
      <c r="G1" s="629"/>
      <c r="H1" s="629"/>
    </row>
    <row r="2" spans="1:14" ht="50.25" customHeight="1" x14ac:dyDescent="0.2">
      <c r="A2" s="654" t="s">
        <v>233</v>
      </c>
      <c r="B2" s="654"/>
      <c r="C2" s="654"/>
      <c r="D2" s="654"/>
      <c r="E2" s="654"/>
      <c r="F2" s="654"/>
      <c r="G2" s="654"/>
      <c r="H2" s="654"/>
    </row>
    <row r="3" spans="1:14" ht="22.5" customHeight="1" x14ac:dyDescent="0.2">
      <c r="A3" s="629" t="s">
        <v>85</v>
      </c>
      <c r="B3" s="629"/>
      <c r="C3" s="629"/>
      <c r="D3" s="28">
        <f>H51/1000</f>
        <v>0</v>
      </c>
      <c r="E3" s="628" t="s">
        <v>51</v>
      </c>
      <c r="F3" s="628"/>
      <c r="G3" s="628"/>
      <c r="H3" s="628"/>
      <c r="K3" s="119"/>
    </row>
    <row r="4" spans="1:14" ht="13.5" x14ac:dyDescent="0.2">
      <c r="A4" s="655" t="s">
        <v>52</v>
      </c>
      <c r="B4" s="655"/>
      <c r="C4" s="655" t="s">
        <v>86</v>
      </c>
      <c r="D4" s="655"/>
      <c r="E4" s="655"/>
      <c r="F4" s="655"/>
      <c r="G4" s="655"/>
      <c r="H4" s="655"/>
    </row>
    <row r="5" spans="1:14" ht="13.5" x14ac:dyDescent="0.2">
      <c r="A5" s="631"/>
      <c r="B5" s="631"/>
      <c r="C5" s="631"/>
      <c r="D5" s="631"/>
      <c r="E5" s="631"/>
      <c r="F5" s="631"/>
      <c r="G5" s="631"/>
      <c r="H5" s="631"/>
    </row>
    <row r="6" spans="1:14" ht="51" customHeight="1" x14ac:dyDescent="0.2">
      <c r="A6" s="750" t="s">
        <v>14</v>
      </c>
      <c r="B6" s="634" t="s">
        <v>40</v>
      </c>
      <c r="C6" s="632" t="s">
        <v>43</v>
      </c>
      <c r="D6" s="634" t="s">
        <v>53</v>
      </c>
      <c r="E6" s="636" t="s">
        <v>54</v>
      </c>
      <c r="F6" s="638"/>
      <c r="G6" s="636" t="s">
        <v>50</v>
      </c>
      <c r="H6" s="638"/>
    </row>
    <row r="7" spans="1:14" ht="79.5" customHeight="1" x14ac:dyDescent="0.2">
      <c r="A7" s="751"/>
      <c r="B7" s="635"/>
      <c r="C7" s="633"/>
      <c r="D7" s="635"/>
      <c r="E7" s="45" t="s">
        <v>56</v>
      </c>
      <c r="F7" s="45" t="s">
        <v>57</v>
      </c>
      <c r="G7" s="45" t="s">
        <v>56</v>
      </c>
      <c r="H7" s="135" t="s">
        <v>58</v>
      </c>
    </row>
    <row r="8" spans="1:14" ht="16.5" thickBot="1" x14ac:dyDescent="0.25">
      <c r="A8" s="89">
        <v>1</v>
      </c>
      <c r="B8" s="73">
        <v>2</v>
      </c>
      <c r="C8" s="73">
        <v>3</v>
      </c>
      <c r="D8" s="73">
        <v>4</v>
      </c>
      <c r="E8" s="73">
        <v>5</v>
      </c>
      <c r="F8" s="73">
        <v>6</v>
      </c>
      <c r="G8" s="73">
        <v>7</v>
      </c>
      <c r="H8" s="136">
        <v>8</v>
      </c>
    </row>
    <row r="9" spans="1:14" ht="16.5" thickBot="1" x14ac:dyDescent="0.25">
      <c r="A9" s="192"/>
      <c r="B9" s="193"/>
      <c r="C9" s="193" t="s">
        <v>351</v>
      </c>
      <c r="D9" s="193"/>
      <c r="E9" s="193"/>
      <c r="F9" s="193"/>
      <c r="G9" s="193"/>
      <c r="H9" s="194"/>
    </row>
    <row r="10" spans="1:14" ht="39" thickBot="1" x14ac:dyDescent="0.25">
      <c r="A10" s="58">
        <v>1</v>
      </c>
      <c r="B10" s="57" t="s">
        <v>353</v>
      </c>
      <c r="C10" s="59" t="s">
        <v>352</v>
      </c>
      <c r="D10" s="60" t="s">
        <v>136</v>
      </c>
      <c r="E10" s="61"/>
      <c r="F10" s="62">
        <v>475</v>
      </c>
      <c r="G10" s="187"/>
      <c r="H10" s="58">
        <f>SUM(H11:H17)</f>
        <v>0</v>
      </c>
      <c r="I10" s="119"/>
    </row>
    <row r="11" spans="1:14" ht="17.25" customHeight="1" x14ac:dyDescent="0.2">
      <c r="A11" s="188">
        <f t="shared" ref="A11:A17" si="0">A10+0.1</f>
        <v>1.1000000000000001</v>
      </c>
      <c r="B11" s="64"/>
      <c r="C11" s="49" t="s">
        <v>92</v>
      </c>
      <c r="D11" s="52" t="s">
        <v>1</v>
      </c>
      <c r="E11" s="52">
        <v>0.55000000000000004</v>
      </c>
      <c r="F11" s="51">
        <f>F10*E11</f>
        <v>261.25</v>
      </c>
      <c r="G11" s="49"/>
      <c r="H11" s="53">
        <f t="shared" ref="H11:H17" si="1">G11*F11</f>
        <v>0</v>
      </c>
      <c r="I11" s="119"/>
    </row>
    <row r="12" spans="1:14" ht="17.25" customHeight="1" x14ac:dyDescent="0.2">
      <c r="A12" s="188">
        <f t="shared" si="0"/>
        <v>1.2</v>
      </c>
      <c r="B12" s="64"/>
      <c r="C12" s="195" t="s">
        <v>354</v>
      </c>
      <c r="D12" s="196" t="s">
        <v>68</v>
      </c>
      <c r="E12" s="196">
        <f>18.7/100</f>
        <v>0.19</v>
      </c>
      <c r="F12" s="197">
        <f>F10*E12</f>
        <v>90.25</v>
      </c>
      <c r="G12" s="195"/>
      <c r="H12" s="198">
        <f t="shared" si="1"/>
        <v>0</v>
      </c>
      <c r="I12" s="119"/>
    </row>
    <row r="13" spans="1:14" ht="17.25" customHeight="1" x14ac:dyDescent="0.2">
      <c r="A13" s="188">
        <f t="shared" si="0"/>
        <v>1.3</v>
      </c>
      <c r="B13" s="23"/>
      <c r="C13" s="93" t="s">
        <v>2</v>
      </c>
      <c r="D13" s="94" t="s">
        <v>93</v>
      </c>
      <c r="E13" s="94">
        <f>4/100</f>
        <v>0.04</v>
      </c>
      <c r="F13" s="94">
        <f>F10*E13</f>
        <v>19</v>
      </c>
      <c r="G13" s="94"/>
      <c r="H13" s="95">
        <f t="shared" si="1"/>
        <v>0</v>
      </c>
      <c r="I13" s="119"/>
    </row>
    <row r="14" spans="1:14" ht="17.25" customHeight="1" thickBot="1" x14ac:dyDescent="0.25">
      <c r="A14" s="188">
        <f t="shared" si="0"/>
        <v>1.4</v>
      </c>
      <c r="B14" s="23"/>
      <c r="C14" s="24" t="s">
        <v>357</v>
      </c>
      <c r="D14" s="38" t="s">
        <v>61</v>
      </c>
      <c r="E14" s="39" t="s">
        <v>98</v>
      </c>
      <c r="F14" s="74">
        <f>1.9*194*3.85</f>
        <v>1419.11</v>
      </c>
      <c r="G14" s="37"/>
      <c r="H14" s="41">
        <f t="shared" si="1"/>
        <v>0</v>
      </c>
      <c r="I14" s="119"/>
    </row>
    <row r="15" spans="1:14" ht="18" customHeight="1" thickBot="1" x14ac:dyDescent="0.25">
      <c r="A15" s="188" t="e">
        <f>#REF!+0.1</f>
        <v>#REF!</v>
      </c>
      <c r="B15" s="23"/>
      <c r="C15" s="24" t="s">
        <v>355</v>
      </c>
      <c r="D15" s="38" t="s">
        <v>61</v>
      </c>
      <c r="E15" s="39" t="s">
        <v>98</v>
      </c>
      <c r="F15" s="36">
        <f>F10*0.2</f>
        <v>95</v>
      </c>
      <c r="G15" s="37"/>
      <c r="H15" s="41">
        <f t="shared" si="1"/>
        <v>0</v>
      </c>
      <c r="I15" s="119"/>
    </row>
    <row r="16" spans="1:14" ht="16.5" thickBot="1" x14ac:dyDescent="0.25">
      <c r="A16" s="285" t="e">
        <f t="shared" si="0"/>
        <v>#REF!</v>
      </c>
      <c r="B16" s="23"/>
      <c r="C16" s="24" t="s">
        <v>356</v>
      </c>
      <c r="D16" s="24" t="s">
        <v>136</v>
      </c>
      <c r="E16" s="72">
        <v>10</v>
      </c>
      <c r="F16" s="38">
        <v>4275</v>
      </c>
      <c r="G16" s="38"/>
      <c r="H16" s="41">
        <f t="shared" si="1"/>
        <v>0</v>
      </c>
      <c r="I16" s="119"/>
      <c r="M16" s="139"/>
      <c r="N16" s="119"/>
    </row>
    <row r="17" spans="1:14" ht="16.5" thickBot="1" x14ac:dyDescent="0.25">
      <c r="A17" s="285" t="e">
        <f t="shared" si="0"/>
        <v>#REF!</v>
      </c>
      <c r="B17" s="73"/>
      <c r="C17" s="186" t="s">
        <v>8</v>
      </c>
      <c r="D17" s="186" t="s">
        <v>93</v>
      </c>
      <c r="E17" s="74">
        <v>0.11</v>
      </c>
      <c r="F17" s="74">
        <f>F10*E17</f>
        <v>52.25</v>
      </c>
      <c r="G17" s="74"/>
      <c r="H17" s="41">
        <f t="shared" si="1"/>
        <v>0</v>
      </c>
      <c r="I17" s="119"/>
    </row>
    <row r="18" spans="1:14" ht="26.25" thickBot="1" x14ac:dyDescent="0.25">
      <c r="A18" s="78">
        <v>2</v>
      </c>
      <c r="B18" s="57" t="s">
        <v>227</v>
      </c>
      <c r="C18" s="79" t="s">
        <v>228</v>
      </c>
      <c r="D18" s="80" t="s">
        <v>3</v>
      </c>
      <c r="E18" s="90"/>
      <c r="F18" s="62">
        <f>6.7*1.3</f>
        <v>8.7100000000000009</v>
      </c>
      <c r="G18" s="90"/>
      <c r="H18" s="58">
        <f>H19</f>
        <v>0</v>
      </c>
      <c r="J18" s="121"/>
    </row>
    <row r="19" spans="1:14" ht="14.25" thickBot="1" x14ac:dyDescent="0.25">
      <c r="A19" s="46">
        <f>A18+0.1</f>
        <v>2.1</v>
      </c>
      <c r="B19" s="137"/>
      <c r="C19" s="55" t="s">
        <v>92</v>
      </c>
      <c r="D19" s="55" t="s">
        <v>1</v>
      </c>
      <c r="E19" s="55">
        <v>2.06</v>
      </c>
      <c r="F19" s="55">
        <f>F18*E19</f>
        <v>17.942599999999999</v>
      </c>
      <c r="G19" s="49"/>
      <c r="H19" s="56">
        <f>G19*F19</f>
        <v>0</v>
      </c>
      <c r="I19" s="119"/>
    </row>
    <row r="20" spans="1:14" ht="26.25" thickBot="1" x14ac:dyDescent="0.25">
      <c r="A20" s="58">
        <v>3</v>
      </c>
      <c r="B20" s="57" t="s">
        <v>194</v>
      </c>
      <c r="C20" s="60" t="s">
        <v>178</v>
      </c>
      <c r="D20" s="80" t="s">
        <v>3</v>
      </c>
      <c r="E20" s="71"/>
      <c r="F20" s="62">
        <f>F18-6.7</f>
        <v>2.0099999999999998</v>
      </c>
      <c r="G20" s="71"/>
      <c r="H20" s="58">
        <f>H21</f>
        <v>0</v>
      </c>
      <c r="I20" s="119"/>
      <c r="J20" s="121"/>
    </row>
    <row r="21" spans="1:14" ht="18.75" customHeight="1" thickBot="1" x14ac:dyDescent="0.25">
      <c r="A21" s="46">
        <f>A20+0.1</f>
        <v>3.1</v>
      </c>
      <c r="B21" s="55"/>
      <c r="C21" s="117" t="s">
        <v>92</v>
      </c>
      <c r="D21" s="55" t="s">
        <v>1</v>
      </c>
      <c r="E21" s="55">
        <v>1.21</v>
      </c>
      <c r="F21" s="55">
        <f>F20*E21</f>
        <v>2.4321000000000002</v>
      </c>
      <c r="G21" s="55"/>
      <c r="H21" s="56">
        <f>G21*F21</f>
        <v>0</v>
      </c>
      <c r="I21" s="119"/>
    </row>
    <row r="22" spans="1:14" ht="53.25" customHeight="1" thickBot="1" x14ac:dyDescent="0.25">
      <c r="A22" s="58" t="e">
        <f>#REF!+1</f>
        <v>#REF!</v>
      </c>
      <c r="B22" s="57" t="s">
        <v>360</v>
      </c>
      <c r="C22" s="59" t="s">
        <v>369</v>
      </c>
      <c r="D22" s="60" t="s">
        <v>67</v>
      </c>
      <c r="E22" s="61"/>
      <c r="F22" s="62">
        <v>0.15</v>
      </c>
      <c r="G22" s="205"/>
      <c r="H22" s="58">
        <f>SUM(H23:H29)</f>
        <v>0</v>
      </c>
      <c r="I22" s="206"/>
      <c r="J22" s="17"/>
      <c r="N22" s="749"/>
    </row>
    <row r="23" spans="1:14" ht="21.75" customHeight="1" x14ac:dyDescent="0.2">
      <c r="A23" s="207" t="e">
        <f t="shared" ref="A23:A28" si="2">A22+0.1</f>
        <v>#REF!</v>
      </c>
      <c r="B23" s="64"/>
      <c r="C23" s="49" t="s">
        <v>92</v>
      </c>
      <c r="D23" s="52" t="s">
        <v>1</v>
      </c>
      <c r="E23" s="52">
        <v>9.15</v>
      </c>
      <c r="F23" s="51">
        <f>F22*E23</f>
        <v>1.37</v>
      </c>
      <c r="G23" s="49"/>
      <c r="H23" s="53">
        <f>G23*F23</f>
        <v>0</v>
      </c>
      <c r="I23" s="206"/>
      <c r="J23" s="17"/>
      <c r="N23" s="749"/>
    </row>
    <row r="24" spans="1:14" ht="21.75" customHeight="1" x14ac:dyDescent="0.2">
      <c r="A24" s="207" t="e">
        <f>#REF!+0.1</f>
        <v>#REF!</v>
      </c>
      <c r="B24" s="23"/>
      <c r="C24" s="68" t="s">
        <v>361</v>
      </c>
      <c r="D24" s="68" t="s">
        <v>6</v>
      </c>
      <c r="E24" s="68">
        <v>1.92</v>
      </c>
      <c r="F24" s="69">
        <f>E24*F22</f>
        <v>0.28999999999999998</v>
      </c>
      <c r="G24" s="68"/>
      <c r="H24" s="70">
        <f>F24*G24</f>
        <v>0</v>
      </c>
      <c r="I24" s="206"/>
    </row>
    <row r="25" spans="1:14" ht="21.75" customHeight="1" thickBot="1" x14ac:dyDescent="0.25">
      <c r="A25" s="207" t="e">
        <f t="shared" si="2"/>
        <v>#REF!</v>
      </c>
      <c r="B25" s="23"/>
      <c r="C25" s="190" t="s">
        <v>362</v>
      </c>
      <c r="D25" s="38" t="s">
        <v>67</v>
      </c>
      <c r="E25" s="39">
        <v>1</v>
      </c>
      <c r="F25" s="38">
        <f>F22*E25</f>
        <v>0.15</v>
      </c>
      <c r="G25" s="37"/>
      <c r="H25" s="41">
        <f>G25*F25</f>
        <v>0</v>
      </c>
      <c r="I25" s="206"/>
    </row>
    <row r="26" spans="1:14" ht="21.75" customHeight="1" thickBot="1" x14ac:dyDescent="0.25">
      <c r="A26" s="207" t="e">
        <f>A25+0.1</f>
        <v>#REF!</v>
      </c>
      <c r="B26" s="23"/>
      <c r="C26" s="190" t="s">
        <v>363</v>
      </c>
      <c r="D26" s="38" t="s">
        <v>61</v>
      </c>
      <c r="E26" s="39" t="s">
        <v>98</v>
      </c>
      <c r="F26" s="76">
        <v>12</v>
      </c>
      <c r="G26" s="37"/>
      <c r="H26" s="41">
        <f t="shared" ref="H26" si="3">G26*F26</f>
        <v>0</v>
      </c>
      <c r="I26" s="206"/>
    </row>
    <row r="27" spans="1:14" ht="21.75" customHeight="1" x14ac:dyDescent="0.2">
      <c r="A27" s="207" t="e">
        <f t="shared" si="2"/>
        <v>#REF!</v>
      </c>
      <c r="B27" s="23"/>
      <c r="C27" s="190" t="s">
        <v>69</v>
      </c>
      <c r="D27" s="190" t="s">
        <v>61</v>
      </c>
      <c r="E27" s="38">
        <v>2</v>
      </c>
      <c r="F27" s="138">
        <f>F22*E27</f>
        <v>0.3</v>
      </c>
      <c r="G27" s="38"/>
      <c r="H27" s="41">
        <f>G27*F27</f>
        <v>0</v>
      </c>
      <c r="I27" s="206"/>
    </row>
    <row r="28" spans="1:14" ht="21.75" customHeight="1" x14ac:dyDescent="0.2">
      <c r="A28" s="207" t="e">
        <f t="shared" si="2"/>
        <v>#REF!</v>
      </c>
      <c r="B28" s="23"/>
      <c r="C28" s="190" t="s">
        <v>231</v>
      </c>
      <c r="D28" s="190" t="s">
        <v>61</v>
      </c>
      <c r="E28" s="72">
        <v>0.15</v>
      </c>
      <c r="F28" s="38">
        <f>F22*E28</f>
        <v>0.02</v>
      </c>
      <c r="G28" s="38"/>
      <c r="H28" s="41">
        <f>G28*F28</f>
        <v>0</v>
      </c>
      <c r="I28" s="206"/>
    </row>
    <row r="29" spans="1:14" ht="21.75" customHeight="1" thickBot="1" x14ac:dyDescent="0.25">
      <c r="A29" s="207" t="e">
        <f>A28+0.1</f>
        <v>#REF!</v>
      </c>
      <c r="B29" s="73"/>
      <c r="C29" s="204" t="s">
        <v>8</v>
      </c>
      <c r="D29" s="204" t="s">
        <v>93</v>
      </c>
      <c r="E29" s="74">
        <v>2.78</v>
      </c>
      <c r="F29" s="74">
        <f>F22*E29</f>
        <v>0.42</v>
      </c>
      <c r="G29" s="74"/>
      <c r="H29" s="41">
        <f>G29*F29</f>
        <v>0</v>
      </c>
      <c r="I29" s="206"/>
    </row>
    <row r="30" spans="1:14" ht="60.75" customHeight="1" thickBot="1" x14ac:dyDescent="0.25">
      <c r="A30" s="58" t="e">
        <f>A22+1</f>
        <v>#REF!</v>
      </c>
      <c r="B30" s="57" t="s">
        <v>359</v>
      </c>
      <c r="C30" s="59" t="s">
        <v>370</v>
      </c>
      <c r="D30" s="60" t="s">
        <v>65</v>
      </c>
      <c r="E30" s="61"/>
      <c r="F30" s="62">
        <v>1</v>
      </c>
      <c r="G30" s="187"/>
      <c r="H30" s="58">
        <f>G30*F30</f>
        <v>0</v>
      </c>
      <c r="I30" s="119"/>
    </row>
    <row r="31" spans="1:14" ht="55.5" customHeight="1" thickBot="1" x14ac:dyDescent="0.25">
      <c r="A31" s="58">
        <v>8</v>
      </c>
      <c r="B31" s="57" t="s">
        <v>359</v>
      </c>
      <c r="C31" s="59" t="s">
        <v>371</v>
      </c>
      <c r="D31" s="60" t="s">
        <v>65</v>
      </c>
      <c r="E31" s="61"/>
      <c r="F31" s="62">
        <v>1</v>
      </c>
      <c r="G31" s="189"/>
      <c r="H31" s="58">
        <f>G31*F31</f>
        <v>0</v>
      </c>
      <c r="I31" s="119"/>
    </row>
    <row r="32" spans="1:14" ht="60" customHeight="1" thickBot="1" x14ac:dyDescent="0.25">
      <c r="A32" s="58">
        <v>9</v>
      </c>
      <c r="B32" s="57" t="s">
        <v>229</v>
      </c>
      <c r="C32" s="59" t="s">
        <v>358</v>
      </c>
      <c r="D32" s="60" t="s">
        <v>3</v>
      </c>
      <c r="E32" s="61"/>
      <c r="F32" s="62">
        <v>0.6</v>
      </c>
      <c r="G32" s="90"/>
      <c r="H32" s="58">
        <f>SUM(H33:H40)</f>
        <v>0</v>
      </c>
      <c r="I32" s="119"/>
    </row>
    <row r="33" spans="1:14" ht="17.25" customHeight="1" x14ac:dyDescent="0.2">
      <c r="A33" s="63">
        <f t="shared" ref="A33:A40" si="4">A32+0.1</f>
        <v>9.1</v>
      </c>
      <c r="B33" s="64" t="s">
        <v>37</v>
      </c>
      <c r="C33" s="49" t="s">
        <v>92</v>
      </c>
      <c r="D33" s="52" t="s">
        <v>1</v>
      </c>
      <c r="E33" s="52">
        <v>6.66</v>
      </c>
      <c r="F33" s="51">
        <f>F32*E33</f>
        <v>4</v>
      </c>
      <c r="G33" s="49"/>
      <c r="H33" s="53">
        <f>G33*F33</f>
        <v>0</v>
      </c>
      <c r="I33" s="119"/>
    </row>
    <row r="34" spans="1:14" ht="17.25" customHeight="1" x14ac:dyDescent="0.2">
      <c r="A34" s="63">
        <f t="shared" si="4"/>
        <v>9.1999999999999993</v>
      </c>
      <c r="B34" s="23"/>
      <c r="C34" s="65" t="s">
        <v>2</v>
      </c>
      <c r="D34" s="66" t="s">
        <v>93</v>
      </c>
      <c r="E34" s="66">
        <v>0.92</v>
      </c>
      <c r="F34" s="66">
        <f>F32*E34</f>
        <v>0.55000000000000004</v>
      </c>
      <c r="G34" s="66"/>
      <c r="H34" s="67">
        <f>G34*F34</f>
        <v>0</v>
      </c>
      <c r="I34" s="119"/>
    </row>
    <row r="35" spans="1:14" ht="17.25" customHeight="1" x14ac:dyDescent="0.2">
      <c r="A35" s="63">
        <f t="shared" si="4"/>
        <v>9.3000000000000007</v>
      </c>
      <c r="B35" s="23"/>
      <c r="C35" s="68" t="s">
        <v>94</v>
      </c>
      <c r="D35" s="68" t="s">
        <v>95</v>
      </c>
      <c r="E35" s="68">
        <v>1.0149999999999999</v>
      </c>
      <c r="F35" s="69">
        <f>E35*F32</f>
        <v>0.61</v>
      </c>
      <c r="G35" s="68"/>
      <c r="H35" s="70">
        <f>F35*G35</f>
        <v>0</v>
      </c>
      <c r="I35" s="119"/>
    </row>
    <row r="36" spans="1:14" ht="16.5" thickBot="1" x14ac:dyDescent="0.25">
      <c r="A36" s="63">
        <f t="shared" si="4"/>
        <v>9.4</v>
      </c>
      <c r="B36" s="23"/>
      <c r="C36" s="24" t="s">
        <v>230</v>
      </c>
      <c r="D36" s="38" t="s">
        <v>3</v>
      </c>
      <c r="E36" s="39">
        <v>1.02</v>
      </c>
      <c r="F36" s="74">
        <f>F32*E36</f>
        <v>0.61</v>
      </c>
      <c r="G36" s="37"/>
      <c r="H36" s="41">
        <f>G36*F36</f>
        <v>0</v>
      </c>
      <c r="I36" s="119"/>
      <c r="K36" s="119"/>
    </row>
    <row r="37" spans="1:14" ht="18" customHeight="1" thickBot="1" x14ac:dyDescent="0.25">
      <c r="A37" s="63">
        <f t="shared" si="4"/>
        <v>9.5</v>
      </c>
      <c r="B37" s="23"/>
      <c r="C37" s="24" t="s">
        <v>97</v>
      </c>
      <c r="D37" s="38" t="s">
        <v>61</v>
      </c>
      <c r="E37" s="39" t="s">
        <v>98</v>
      </c>
      <c r="F37" s="36">
        <f>F32*40</f>
        <v>24</v>
      </c>
      <c r="G37" s="37"/>
      <c r="H37" s="41">
        <f>G37*F37</f>
        <v>0</v>
      </c>
      <c r="I37" s="119"/>
    </row>
    <row r="38" spans="1:14" ht="16.5" thickBot="1" x14ac:dyDescent="0.25">
      <c r="A38" s="63">
        <f t="shared" si="4"/>
        <v>9.6</v>
      </c>
      <c r="B38" s="23"/>
      <c r="C38" s="24" t="s">
        <v>99</v>
      </c>
      <c r="D38" s="24" t="s">
        <v>4</v>
      </c>
      <c r="E38" s="75">
        <v>0.70299999999999996</v>
      </c>
      <c r="F38" s="138">
        <f>F32*E38</f>
        <v>0.42</v>
      </c>
      <c r="G38" s="38"/>
      <c r="H38" s="41">
        <f>G38*F38</f>
        <v>0</v>
      </c>
      <c r="I38" s="119"/>
    </row>
    <row r="39" spans="1:14" ht="16.5" thickBot="1" x14ac:dyDescent="0.25">
      <c r="A39" s="63">
        <f t="shared" si="4"/>
        <v>9.6999999999999993</v>
      </c>
      <c r="B39" s="23"/>
      <c r="C39" s="24" t="s">
        <v>100</v>
      </c>
      <c r="D39" s="24" t="s">
        <v>3</v>
      </c>
      <c r="E39" s="72">
        <f>1.44/100</f>
        <v>1.44E-2</v>
      </c>
      <c r="F39" s="38">
        <f>F32*E39</f>
        <v>0.01</v>
      </c>
      <c r="G39" s="38"/>
      <c r="H39" s="41">
        <f>G39*F39</f>
        <v>0</v>
      </c>
      <c r="I39" s="119"/>
      <c r="M39" s="139"/>
      <c r="N39" s="119"/>
    </row>
    <row r="40" spans="1:14" ht="16.5" thickBot="1" x14ac:dyDescent="0.25">
      <c r="A40" s="63">
        <f t="shared" si="4"/>
        <v>9.8000000000000007</v>
      </c>
      <c r="B40" s="73"/>
      <c r="C40" s="47" t="s">
        <v>8</v>
      </c>
      <c r="D40" s="47" t="s">
        <v>93</v>
      </c>
      <c r="E40" s="74">
        <v>0.6</v>
      </c>
      <c r="F40" s="74">
        <f>F32*E40</f>
        <v>0.36</v>
      </c>
      <c r="G40" s="74"/>
      <c r="H40" s="41">
        <f>G40*F40</f>
        <v>0</v>
      </c>
      <c r="I40" s="119"/>
    </row>
    <row r="41" spans="1:14" ht="72" customHeight="1" thickBot="1" x14ac:dyDescent="0.25">
      <c r="A41" s="78">
        <v>10</v>
      </c>
      <c r="B41" s="60" t="s">
        <v>101</v>
      </c>
      <c r="C41" s="79" t="s">
        <v>232</v>
      </c>
      <c r="D41" s="80" t="s">
        <v>4</v>
      </c>
      <c r="E41" s="81"/>
      <c r="F41" s="80">
        <v>20</v>
      </c>
      <c r="G41" s="81"/>
      <c r="H41" s="58">
        <f>SUM(H42:H46)</f>
        <v>0</v>
      </c>
      <c r="I41" s="119"/>
      <c r="J41" s="118"/>
    </row>
    <row r="42" spans="1:14" ht="20.25" customHeight="1" x14ac:dyDescent="0.2">
      <c r="A42" s="63">
        <f>A41+0.1</f>
        <v>10.1</v>
      </c>
      <c r="B42" s="49"/>
      <c r="C42" s="49" t="s">
        <v>92</v>
      </c>
      <c r="D42" s="52" t="s">
        <v>1</v>
      </c>
      <c r="E42" s="52">
        <v>0.68</v>
      </c>
      <c r="F42" s="49">
        <f>F41*E42</f>
        <v>13.6</v>
      </c>
      <c r="G42" s="49"/>
      <c r="H42" s="53">
        <f>G42*F42</f>
        <v>0</v>
      </c>
      <c r="I42" s="119"/>
      <c r="J42" s="118"/>
    </row>
    <row r="43" spans="1:14" ht="20.25" customHeight="1" x14ac:dyDescent="0.2">
      <c r="A43" s="82">
        <f>A42+0.1</f>
        <v>10.199999999999999</v>
      </c>
      <c r="B43" s="50"/>
      <c r="C43" s="83" t="s">
        <v>2</v>
      </c>
      <c r="D43" s="83" t="s">
        <v>6</v>
      </c>
      <c r="E43" s="66">
        <v>0</v>
      </c>
      <c r="F43" s="84">
        <f>F41*E43</f>
        <v>0</v>
      </c>
      <c r="G43" s="66"/>
      <c r="H43" s="67">
        <f>G43*F43</f>
        <v>0</v>
      </c>
      <c r="I43" s="119"/>
      <c r="J43" s="118"/>
    </row>
    <row r="44" spans="1:14" ht="20.25" customHeight="1" x14ac:dyDescent="0.2">
      <c r="A44" s="82">
        <f>A43+0.1</f>
        <v>10.3</v>
      </c>
      <c r="B44" s="50"/>
      <c r="C44" s="24" t="s">
        <v>102</v>
      </c>
      <c r="D44" s="38" t="s">
        <v>61</v>
      </c>
      <c r="E44" s="38" t="s">
        <v>98</v>
      </c>
      <c r="F44" s="43">
        <f>F41*0.11</f>
        <v>2.2000000000000002</v>
      </c>
      <c r="G44" s="38"/>
      <c r="H44" s="41">
        <f>G44*F44</f>
        <v>0</v>
      </c>
      <c r="I44" s="119"/>
      <c r="J44" s="118"/>
    </row>
    <row r="45" spans="1:14" ht="20.25" customHeight="1" x14ac:dyDescent="0.2">
      <c r="A45" s="82">
        <f>A44+0.1</f>
        <v>10.4</v>
      </c>
      <c r="B45" s="85"/>
      <c r="C45" s="47" t="s">
        <v>103</v>
      </c>
      <c r="D45" s="74" t="s">
        <v>61</v>
      </c>
      <c r="E45" s="74" t="s">
        <v>98</v>
      </c>
      <c r="F45" s="86">
        <f>F41*0.105</f>
        <v>2.1</v>
      </c>
      <c r="G45" s="38"/>
      <c r="H45" s="41">
        <f>G45*F45</f>
        <v>0</v>
      </c>
      <c r="I45" s="119"/>
      <c r="J45" s="118"/>
      <c r="L45" s="115"/>
    </row>
    <row r="46" spans="1:14" ht="20.25" customHeight="1" x14ac:dyDescent="0.2">
      <c r="A46" s="82">
        <f>A45+0.1</f>
        <v>10.5</v>
      </c>
      <c r="B46" s="85"/>
      <c r="C46" s="47" t="s">
        <v>8</v>
      </c>
      <c r="D46" s="74" t="s">
        <v>93</v>
      </c>
      <c r="E46" s="87">
        <f>0.0019</f>
        <v>1.9E-3</v>
      </c>
      <c r="F46" s="88">
        <f>F41*E46</f>
        <v>3.7999999999999999E-2</v>
      </c>
      <c r="G46" s="74"/>
      <c r="H46" s="89">
        <f>G46*F46</f>
        <v>0</v>
      </c>
      <c r="I46" s="119"/>
      <c r="J46" s="118"/>
    </row>
    <row r="47" spans="1:14" ht="37.5" customHeight="1" x14ac:dyDescent="0.2">
      <c r="A47" s="24"/>
      <c r="B47" s="24"/>
      <c r="C47" s="4" t="s">
        <v>137</v>
      </c>
      <c r="D47" s="24" t="s">
        <v>6</v>
      </c>
      <c r="E47" s="24"/>
      <c r="F47" s="24"/>
      <c r="G47" s="24"/>
      <c r="H47" s="8">
        <f>H41+H32+H31+H30+H22+H20+H18+H10</f>
        <v>0</v>
      </c>
    </row>
    <row r="48" spans="1:14" ht="21.75" customHeight="1" x14ac:dyDescent="0.2">
      <c r="A48" s="24"/>
      <c r="B48" s="24"/>
      <c r="C48" s="24" t="s">
        <v>70</v>
      </c>
      <c r="D48" s="97">
        <v>0.08</v>
      </c>
      <c r="E48" s="24"/>
      <c r="F48" s="24"/>
      <c r="G48" s="24"/>
      <c r="H48" s="41">
        <f>H47*D48</f>
        <v>0</v>
      </c>
    </row>
    <row r="49" spans="1:8" ht="21.75" customHeight="1" x14ac:dyDescent="0.2">
      <c r="A49" s="24"/>
      <c r="B49" s="24"/>
      <c r="C49" s="24" t="s">
        <v>46</v>
      </c>
      <c r="D49" s="24" t="s">
        <v>6</v>
      </c>
      <c r="E49" s="24"/>
      <c r="F49" s="24"/>
      <c r="G49" s="24"/>
      <c r="H49" s="8">
        <f>H48+H47</f>
        <v>0</v>
      </c>
    </row>
    <row r="50" spans="1:8" ht="21.75" customHeight="1" x14ac:dyDescent="0.2">
      <c r="A50" s="24"/>
      <c r="B50" s="24"/>
      <c r="C50" s="24" t="s">
        <v>138</v>
      </c>
      <c r="D50" s="97">
        <v>0.06</v>
      </c>
      <c r="E50" s="24"/>
      <c r="F50" s="24"/>
      <c r="G50" s="24"/>
      <c r="H50" s="41">
        <f>H49*D50</f>
        <v>0</v>
      </c>
    </row>
    <row r="51" spans="1:8" ht="21.75" customHeight="1" x14ac:dyDescent="0.2">
      <c r="A51" s="24"/>
      <c r="B51" s="24"/>
      <c r="C51" s="4" t="s">
        <v>58</v>
      </c>
      <c r="D51" s="24" t="s">
        <v>6</v>
      </c>
      <c r="E51" s="24"/>
      <c r="F51" s="24"/>
      <c r="G51" s="24"/>
      <c r="H51" s="8">
        <f>SUM(H49:H50)</f>
        <v>0</v>
      </c>
    </row>
    <row r="52" spans="1:8" ht="13.5" x14ac:dyDescent="0.2">
      <c r="A52" s="98"/>
      <c r="B52" s="98"/>
      <c r="C52" s="91"/>
      <c r="D52" s="98"/>
      <c r="E52" s="98"/>
      <c r="F52" s="98"/>
      <c r="G52" s="98"/>
      <c r="H52" s="99"/>
    </row>
    <row r="53" spans="1:8" ht="13.5" x14ac:dyDescent="0.2">
      <c r="A53" s="98"/>
      <c r="B53" s="98"/>
      <c r="C53" s="100"/>
      <c r="D53" s="630"/>
      <c r="E53" s="630"/>
      <c r="F53" s="630"/>
      <c r="G53" s="98"/>
      <c r="H53" s="98"/>
    </row>
  </sheetData>
  <mergeCells count="15">
    <mergeCell ref="A1:H1"/>
    <mergeCell ref="A2:H2"/>
    <mergeCell ref="A3:C3"/>
    <mergeCell ref="E3:H3"/>
    <mergeCell ref="A4:B4"/>
    <mergeCell ref="C4:H4"/>
    <mergeCell ref="N22:N23"/>
    <mergeCell ref="D53:F53"/>
    <mergeCell ref="A5:H5"/>
    <mergeCell ref="A6:A7"/>
    <mergeCell ref="B6:B7"/>
    <mergeCell ref="C6:C7"/>
    <mergeCell ref="D6:D7"/>
    <mergeCell ref="E6:F6"/>
    <mergeCell ref="G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kr</vt:lpstr>
      <vt:lpstr>o-1</vt:lpstr>
      <vt:lpstr>1-1</vt:lpstr>
      <vt:lpstr>1-2</vt:lpstr>
      <vt:lpstr>1-3</vt:lpstr>
      <vt:lpstr>1-4</vt:lpstr>
      <vt:lpstr>2-</vt:lpstr>
      <vt:lpstr>3</vt:lpstr>
      <vt:lpstr>4</vt:lpstr>
      <vt:lpstr>5</vt:lpstr>
      <vt:lpstr>6</vt:lpstr>
      <vt:lpstr>aaaaaa44545874</vt:lpstr>
      <vt:lpstr>ტტტგტჰყყუჰჯ478568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2018-10-05T12:48:48Z</cp:lastPrinted>
  <dcterms:created xsi:type="dcterms:W3CDTF">1996-10-14T23:33:28Z</dcterms:created>
  <dcterms:modified xsi:type="dcterms:W3CDTF">2018-10-31T05:37:00Z</dcterms:modified>
</cp:coreProperties>
</file>