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9045" tabRatio="953"/>
  </bookViews>
  <sheets>
    <sheet name="კრებსითი" sheetId="17" r:id="rId1"/>
    <sheet name="პატარა დარბაზი" sheetId="24" r:id="rId2"/>
    <sheet name="კარი" sheetId="2" r:id="rId3"/>
    <sheet name="ფანჯარა" sheetId="10" r:id="rId4"/>
    <sheet name="კიბე 8მ" sheetId="3" r:id="rId5"/>
    <sheet name="ბაგირი" sheetId="18" r:id="rId6"/>
    <sheet name="ბარიერი1, 10 ცალი" sheetId="4" r:id="rId7"/>
    <sheet name="ბარიერი2, 6 ცალი" sheetId="5" r:id="rId8"/>
    <sheet name="პარკინგის შესასვლელი" sheetId="6" r:id="rId9"/>
    <sheet name="შლაგბაუმის ფეხი" sheetId="7" r:id="rId10"/>
    <sheet name="კამერის სამაგრი" sheetId="8" r:id="rId11"/>
    <sheet name="ღობე" sheetId="9" r:id="rId12"/>
    <sheet name="ტერასა" sheetId="21" r:id="rId13"/>
    <sheet name="დერეფანი" sheetId="20" r:id="rId14"/>
    <sheet name="ჭიშკრები" sheetId="11" r:id="rId15"/>
    <sheet name="კიბე" sheetId="12" r:id="rId16"/>
    <sheet name="ბაქანი" sheetId="13" r:id="rId17"/>
    <sheet name="კიბე2" sheetId="14" r:id="rId18"/>
    <sheet name="კიბე3" sheetId="16" r:id="rId19"/>
    <sheet name="პარაპეტი" sheetId="19" r:id="rId20"/>
  </sheets>
  <definedNames>
    <definedName name="_xlnm.Print_Area" localSheetId="6">'ბარიერი1, 10 ცალი'!$A$1:$M$31</definedName>
    <definedName name="_xlnm.Print_Area" localSheetId="16">ბაქანი!$A$1:$M$35</definedName>
    <definedName name="_xlnm.Print_Area" localSheetId="13">დერეფანი!$A$1:$M$58</definedName>
    <definedName name="_xlnm.Print_Area" localSheetId="10">'კამერის სამაგრი'!$A$1:$M$37</definedName>
    <definedName name="_xlnm.Print_Area" localSheetId="2">კარი!$A$1:$M$52</definedName>
    <definedName name="_xlnm.Print_Area" localSheetId="15">კიბე!$A$1:$M$43</definedName>
    <definedName name="_xlnm.Print_Area" localSheetId="17">კიბე2!$A$1:$M$31</definedName>
    <definedName name="_xlnm.Print_Area" localSheetId="18">კიბე3!$A$1:$M$31</definedName>
    <definedName name="_xlnm.Print_Area" localSheetId="0">კრებსითი!$A$1:$D$36</definedName>
    <definedName name="_xlnm.Print_Area" localSheetId="1">'პატარა დარბაზი'!$A$1:$M$25</definedName>
    <definedName name="_xlnm.Print_Area" localSheetId="12">ტერასა!$A$1:$M$56</definedName>
    <definedName name="_xlnm.Print_Titles" localSheetId="10">'კამერის სამაგრი'!$4:$6</definedName>
    <definedName name="_xlnm.Print_Titles" localSheetId="15">კიბე!$5:$7</definedName>
    <definedName name="_xlnm.Print_Titles" localSheetId="4">'კიბე 8მ'!$5:$7</definedName>
    <definedName name="_xlnm.Print_Titles" localSheetId="19">პარაპეტი!$5:$7</definedName>
    <definedName name="_xlnm.Print_Titles" localSheetId="8">'პარკინგის შესასვლელი'!$5:$7</definedName>
    <definedName name="_xlnm.Print_Titles" localSheetId="11">ღობე!$5:$7</definedName>
    <definedName name="_xlnm.Print_Titles" localSheetId="14">ჭიშკრები!$5:$7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9" l="1"/>
  <c r="D25" i="17" l="1"/>
  <c r="A4" i="24"/>
  <c r="F14" i="24"/>
  <c r="F13" i="24"/>
  <c r="F12" i="24"/>
  <c r="F11" i="24"/>
  <c r="F10" i="24"/>
  <c r="A2" i="24"/>
  <c r="F24" i="20" l="1"/>
  <c r="E36" i="21"/>
  <c r="E35" i="21"/>
  <c r="E34" i="21"/>
  <c r="E30" i="21"/>
  <c r="F30" i="21" s="1"/>
  <c r="F29" i="21"/>
  <c r="E28" i="21"/>
  <c r="E27" i="21"/>
  <c r="F24" i="21"/>
  <c r="F31" i="21" s="1"/>
  <c r="A24" i="21"/>
  <c r="E14" i="21"/>
  <c r="E13" i="21"/>
  <c r="F12" i="21"/>
  <c r="F16" i="21" s="1"/>
  <c r="E11" i="21"/>
  <c r="F11" i="21" s="1"/>
  <c r="E10" i="21"/>
  <c r="F10" i="21" s="1"/>
  <c r="F26" i="20"/>
  <c r="F47" i="20"/>
  <c r="F46" i="20"/>
  <c r="F45" i="20"/>
  <c r="F44" i="20"/>
  <c r="F43" i="20"/>
  <c r="F41" i="20"/>
  <c r="F40" i="20"/>
  <c r="F39" i="20"/>
  <c r="F38" i="20"/>
  <c r="F37" i="20"/>
  <c r="F36" i="20"/>
  <c r="E28" i="20"/>
  <c r="E27" i="20"/>
  <c r="E26" i="20"/>
  <c r="F16" i="20"/>
  <c r="F17" i="20" s="1"/>
  <c r="F12" i="20"/>
  <c r="A2" i="21"/>
  <c r="F18" i="20"/>
  <c r="F19" i="20" s="1"/>
  <c r="E14" i="20"/>
  <c r="F14" i="20" s="1"/>
  <c r="E13" i="20"/>
  <c r="F13" i="20" s="1"/>
  <c r="E11" i="20"/>
  <c r="F11" i="20" s="1"/>
  <c r="E10" i="20"/>
  <c r="F10" i="20" s="1"/>
  <c r="A2" i="20"/>
  <c r="F20" i="20" l="1"/>
  <c r="F21" i="20" s="1"/>
  <c r="F29" i="20"/>
  <c r="F22" i="20"/>
  <c r="F27" i="20"/>
  <c r="F27" i="21"/>
  <c r="F28" i="21"/>
  <c r="F13" i="21"/>
  <c r="F18" i="21"/>
  <c r="F19" i="21" s="1"/>
  <c r="F20" i="21"/>
  <c r="F21" i="21" s="1"/>
  <c r="F22" i="21"/>
  <c r="F17" i="21"/>
  <c r="F14" i="21"/>
  <c r="F32" i="21"/>
  <c r="F26" i="21"/>
  <c r="F25" i="21"/>
  <c r="F28" i="20"/>
  <c r="F25" i="20"/>
  <c r="A4" i="19"/>
  <c r="F25" i="19"/>
  <c r="F28" i="19" s="1"/>
  <c r="E33" i="19"/>
  <c r="E27" i="19"/>
  <c r="E26" i="19"/>
  <c r="F20" i="19"/>
  <c r="F23" i="19" s="1"/>
  <c r="F14" i="19"/>
  <c r="F15" i="19" s="1"/>
  <c r="E19" i="19"/>
  <c r="E18" i="19"/>
  <c r="E17" i="19"/>
  <c r="E16" i="19"/>
  <c r="F8" i="19"/>
  <c r="F9" i="19" s="1"/>
  <c r="A2" i="19"/>
  <c r="F31" i="20" l="1"/>
  <c r="F32" i="20"/>
  <c r="F30" i="20"/>
  <c r="F34" i="20"/>
  <c r="F33" i="20"/>
  <c r="F36" i="21"/>
  <c r="F34" i="21"/>
  <c r="F35" i="21"/>
  <c r="F33" i="21"/>
  <c r="F37" i="21"/>
  <c r="F29" i="19"/>
  <c r="F24" i="19"/>
  <c r="F30" i="19"/>
  <c r="F31" i="19"/>
  <c r="F26" i="19"/>
  <c r="F32" i="19"/>
  <c r="F27" i="19"/>
  <c r="F33" i="19"/>
  <c r="F21" i="19"/>
  <c r="F22" i="19"/>
  <c r="F19" i="19"/>
  <c r="F16" i="19"/>
  <c r="F17" i="19"/>
  <c r="F18" i="19"/>
  <c r="F10" i="19"/>
  <c r="F13" i="19"/>
  <c r="E35" i="2"/>
  <c r="F39" i="21" l="1"/>
  <c r="F41" i="21"/>
  <c r="F38" i="21"/>
  <c r="F40" i="21"/>
  <c r="F42" i="21"/>
  <c r="E22" i="2"/>
  <c r="E21" i="2"/>
  <c r="D21" i="2"/>
  <c r="E14" i="2"/>
  <c r="D14" i="2"/>
  <c r="A4" i="16" l="1"/>
  <c r="A4" i="14"/>
  <c r="A4" i="13"/>
  <c r="A4" i="12"/>
  <c r="A4" i="6"/>
  <c r="A4" i="5"/>
  <c r="A4" i="4"/>
  <c r="A4" i="18"/>
  <c r="A4" i="3"/>
  <c r="A4" i="10"/>
  <c r="A3" i="2"/>
  <c r="A4" i="11"/>
  <c r="A4" i="9"/>
  <c r="A3" i="8"/>
  <c r="A4" i="7"/>
  <c r="F11" i="18"/>
  <c r="F13" i="18" l="1"/>
  <c r="F14" i="18"/>
  <c r="F16" i="18"/>
  <c r="F9" i="18"/>
  <c r="F10" i="18"/>
  <c r="A2" i="12"/>
  <c r="A2" i="13" s="1"/>
  <c r="A2" i="14" s="1"/>
  <c r="A2" i="16" s="1"/>
  <c r="A2" i="10"/>
  <c r="A2" i="3" l="1"/>
  <c r="A2" i="4" s="1"/>
  <c r="A2" i="5" s="1"/>
  <c r="A2" i="6" s="1"/>
  <c r="A2" i="7" s="1"/>
  <c r="A2" i="8" s="1"/>
  <c r="A2" i="9" s="1"/>
  <c r="A2" i="18"/>
  <c r="F15" i="16"/>
  <c r="F12" i="16"/>
  <c r="F13" i="16" s="1"/>
  <c r="E19" i="16"/>
  <c r="E18" i="16"/>
  <c r="E17" i="16"/>
  <c r="F19" i="16"/>
  <c r="F14" i="16"/>
  <c r="F9" i="16"/>
  <c r="F10" i="16"/>
  <c r="F15" i="14"/>
  <c r="F16" i="14" s="1"/>
  <c r="F14" i="14"/>
  <c r="F12" i="14"/>
  <c r="F13" i="14" s="1"/>
  <c r="F8" i="14"/>
  <c r="F10" i="14" s="1"/>
  <c r="E19" i="14"/>
  <c r="E18" i="14"/>
  <c r="E17" i="14"/>
  <c r="E20" i="13"/>
  <c r="F20" i="13" s="1"/>
  <c r="E19" i="13"/>
  <c r="F19" i="13" s="1"/>
  <c r="E18" i="13"/>
  <c r="E17" i="13"/>
  <c r="F17" i="13" s="1"/>
  <c r="F18" i="13"/>
  <c r="F16" i="13"/>
  <c r="F21" i="13"/>
  <c r="E25" i="13"/>
  <c r="E24" i="13"/>
  <c r="E23" i="13"/>
  <c r="F8" i="13"/>
  <c r="F14" i="13" s="1"/>
  <c r="F25" i="12"/>
  <c r="F18" i="12"/>
  <c r="F22" i="12"/>
  <c r="F16" i="12"/>
  <c r="F8" i="12"/>
  <c r="F17" i="12" s="1"/>
  <c r="E29" i="12"/>
  <c r="E28" i="12"/>
  <c r="F27" i="12"/>
  <c r="E27" i="12"/>
  <c r="F29" i="12"/>
  <c r="F25" i="11"/>
  <c r="F18" i="11"/>
  <c r="F20" i="11"/>
  <c r="F16" i="11"/>
  <c r="F15" i="11"/>
  <c r="F12" i="11"/>
  <c r="F8" i="11" s="1"/>
  <c r="F17" i="11" s="1"/>
  <c r="F11" i="11"/>
  <c r="E29" i="11"/>
  <c r="E28" i="11"/>
  <c r="E27" i="11"/>
  <c r="F12" i="10"/>
  <c r="F11" i="10"/>
  <c r="F10" i="10"/>
  <c r="F9" i="10"/>
  <c r="F8" i="10"/>
  <c r="F27" i="9"/>
  <c r="F34" i="9" s="1"/>
  <c r="F35" i="9"/>
  <c r="F39" i="9" s="1"/>
  <c r="F18" i="9"/>
  <c r="F26" i="9" s="1"/>
  <c r="F13" i="9"/>
  <c r="F17" i="9" s="1"/>
  <c r="F8" i="9"/>
  <c r="F9" i="9" s="1"/>
  <c r="E39" i="9"/>
  <c r="E38" i="9"/>
  <c r="E37" i="9"/>
  <c r="F24" i="8"/>
  <c r="F21" i="8"/>
  <c r="F7" i="8"/>
  <c r="F9" i="8" s="1"/>
  <c r="E28" i="8"/>
  <c r="E27" i="8"/>
  <c r="E26" i="8"/>
  <c r="F17" i="8"/>
  <c r="F19" i="8" s="1"/>
  <c r="F16" i="8"/>
  <c r="F15" i="8"/>
  <c r="F14" i="8"/>
  <c r="F13" i="8"/>
  <c r="F16" i="7"/>
  <c r="E20" i="7"/>
  <c r="E19" i="7"/>
  <c r="E18" i="7"/>
  <c r="F17" i="7"/>
  <c r="F15" i="7"/>
  <c r="F12" i="7"/>
  <c r="F10" i="7"/>
  <c r="F18" i="6"/>
  <c r="F13" i="6"/>
  <c r="F17" i="6" s="1"/>
  <c r="F26" i="6"/>
  <c r="F30" i="6" s="1"/>
  <c r="F23" i="6"/>
  <c r="F10" i="6"/>
  <c r="F12" i="6" s="1"/>
  <c r="F8" i="6"/>
  <c r="F9" i="6" s="1"/>
  <c r="E30" i="6"/>
  <c r="E29" i="6"/>
  <c r="E28" i="6"/>
  <c r="F20" i="6"/>
  <c r="F16" i="5"/>
  <c r="F17" i="5"/>
  <c r="F14" i="5"/>
  <c r="F11" i="5"/>
  <c r="E20" i="5"/>
  <c r="E19" i="5"/>
  <c r="E18" i="5"/>
  <c r="F18" i="5"/>
  <c r="F17" i="4"/>
  <c r="F18" i="4" s="1"/>
  <c r="F12" i="4"/>
  <c r="F11" i="4"/>
  <c r="F25" i="3"/>
  <c r="F26" i="3" s="1"/>
  <c r="E21" i="4"/>
  <c r="E20" i="4"/>
  <c r="E19" i="4"/>
  <c r="F27" i="3"/>
  <c r="F28" i="3"/>
  <c r="F29" i="3"/>
  <c r="E29" i="3"/>
  <c r="E28" i="3"/>
  <c r="E27" i="3"/>
  <c r="F18" i="3"/>
  <c r="F21" i="3" s="1"/>
  <c r="F20" i="3"/>
  <c r="F24" i="3"/>
  <c r="F8" i="3"/>
  <c r="F17" i="3" s="1"/>
  <c r="F17" i="2"/>
  <c r="F10" i="2"/>
  <c r="F7" i="2"/>
  <c r="F9" i="2" s="1"/>
  <c r="F28" i="8" l="1"/>
  <c r="F12" i="2"/>
  <c r="F14" i="2"/>
  <c r="F15" i="2"/>
  <c r="F19" i="2"/>
  <c r="F21" i="2"/>
  <c r="F22" i="2"/>
  <c r="F16" i="16"/>
  <c r="F18" i="16"/>
  <c r="F11" i="16"/>
  <c r="F17" i="16"/>
  <c r="F19" i="14"/>
  <c r="F18" i="14"/>
  <c r="F11" i="14"/>
  <c r="F9" i="14"/>
  <c r="F17" i="14"/>
  <c r="F25" i="13"/>
  <c r="F22" i="13"/>
  <c r="F24" i="13"/>
  <c r="F13" i="13"/>
  <c r="F9" i="13"/>
  <c r="F23" i="13"/>
  <c r="F10" i="13"/>
  <c r="F20" i="12"/>
  <c r="F21" i="12"/>
  <c r="F23" i="12"/>
  <c r="F28" i="12"/>
  <c r="F19" i="12"/>
  <c r="F24" i="12"/>
  <c r="F26" i="12"/>
  <c r="F9" i="12"/>
  <c r="F10" i="12"/>
  <c r="F24" i="11"/>
  <c r="F19" i="11"/>
  <c r="F29" i="11"/>
  <c r="F26" i="11"/>
  <c r="F21" i="11"/>
  <c r="F28" i="11"/>
  <c r="F23" i="11"/>
  <c r="F9" i="11"/>
  <c r="F10" i="11"/>
  <c r="F22" i="11"/>
  <c r="F27" i="11"/>
  <c r="F28" i="9"/>
  <c r="F15" i="9"/>
  <c r="F32" i="9"/>
  <c r="F33" i="9"/>
  <c r="F38" i="9"/>
  <c r="F29" i="9"/>
  <c r="F36" i="9"/>
  <c r="F19" i="9"/>
  <c r="F16" i="9"/>
  <c r="F14" i="9"/>
  <c r="F10" i="9"/>
  <c r="F11" i="9" s="1"/>
  <c r="F20" i="9"/>
  <c r="F37" i="9"/>
  <c r="F25" i="8"/>
  <c r="F27" i="8"/>
  <c r="F10" i="8"/>
  <c r="F11" i="8"/>
  <c r="F8" i="8"/>
  <c r="F18" i="8"/>
  <c r="F23" i="8"/>
  <c r="F26" i="8"/>
  <c r="F20" i="7"/>
  <c r="F19" i="7"/>
  <c r="F9" i="7"/>
  <c r="F18" i="7"/>
  <c r="F14" i="6"/>
  <c r="F15" i="6"/>
  <c r="F16" i="6"/>
  <c r="F27" i="6"/>
  <c r="F28" i="6"/>
  <c r="F29" i="6"/>
  <c r="F11" i="6"/>
  <c r="F19" i="6"/>
  <c r="F25" i="6"/>
  <c r="F19" i="5"/>
  <c r="F20" i="5"/>
  <c r="F8" i="5"/>
  <c r="F15" i="5" s="1"/>
  <c r="F12" i="5"/>
  <c r="F20" i="4"/>
  <c r="F8" i="4"/>
  <c r="F9" i="4" s="1"/>
  <c r="F19" i="4"/>
  <c r="F21" i="4"/>
  <c r="F13" i="4"/>
  <c r="F19" i="3"/>
  <c r="F23" i="3"/>
  <c r="F22" i="3"/>
  <c r="F16" i="3"/>
  <c r="F9" i="3"/>
  <c r="F10" i="3"/>
  <c r="F23" i="2"/>
  <c r="F11" i="2"/>
  <c r="F16" i="2"/>
  <c r="F13" i="2"/>
  <c r="F20" i="2"/>
  <c r="F18" i="2"/>
  <c r="F8" i="2"/>
  <c r="F12" i="9" l="1"/>
  <c r="F10" i="5"/>
  <c r="F9" i="5"/>
  <c r="F10" i="4"/>
  <c r="F16" i="4"/>
  <c r="M33" i="6" l="1"/>
  <c r="M34" i="6" l="1"/>
  <c r="M35" i="6" s="1"/>
  <c r="D26" i="17" l="1"/>
  <c r="D27" i="17" l="1"/>
  <c r="D28" i="17" l="1"/>
  <c r="D29" i="17" s="1"/>
</calcChain>
</file>

<file path=xl/sharedStrings.xml><?xml version="1.0" encoding="utf-8"?>
<sst xmlns="http://schemas.openxmlformats.org/spreadsheetml/2006/main" count="1350" uniqueCount="236">
  <si>
    <t>lari</t>
  </si>
  <si>
    <t>jami</t>
  </si>
  <si>
    <t>#</t>
  </si>
  <si>
    <t>SromiTi resursebi</t>
  </si>
  <si>
    <t>kac/sT</t>
  </si>
  <si>
    <t>kub.m.</t>
  </si>
  <si>
    <t>IIIkat. gr. datvirT. avtoTviTm. xeliT</t>
  </si>
  <si>
    <t>gruntis transportireba 15km-ze  185X1,87=</t>
  </si>
  <si>
    <t>tona</t>
  </si>
  <si>
    <t>manqanebi</t>
  </si>
  <si>
    <t>sxva xarjebi</t>
  </si>
  <si>
    <t xml:space="preserve">SromiTi resursebi </t>
  </si>
  <si>
    <t>6-1-1.</t>
  </si>
  <si>
    <t>kv.m.</t>
  </si>
  <si>
    <t>proeqtiT</t>
  </si>
  <si>
    <t>eleqtrodi</t>
  </si>
  <si>
    <t>kg</t>
  </si>
  <si>
    <t>kg.</t>
  </si>
  <si>
    <t>9-14-6.</t>
  </si>
  <si>
    <t>Seminuli aluminis fanjris Rirebuleba</t>
  </si>
  <si>
    <t>10-20-1gam</t>
  </si>
  <si>
    <t>kv.m</t>
  </si>
  <si>
    <t>grZ.m.</t>
  </si>
  <si>
    <t>15-164-8</t>
  </si>
  <si>
    <t>zeTovani saRebavi</t>
  </si>
  <si>
    <t>cali</t>
  </si>
  <si>
    <t>1-80-7</t>
  </si>
  <si>
    <t>gare ganaTebis boZebis dabetoneba</t>
  </si>
  <si>
    <t>7-21-9</t>
  </si>
  <si>
    <t>liTonis Robebis mowyoba</t>
  </si>
  <si>
    <t>samontaJo nakeTobebi</t>
  </si>
  <si>
    <t>liTonis mwvane bade</t>
  </si>
  <si>
    <t>Sromis danaxarji</t>
  </si>
  <si>
    <t xml:space="preserve">mdf is karebebis demontaJi </t>
  </si>
  <si>
    <t>zednadebi xarjebi</t>
  </si>
  <si>
    <t>mogeba</t>
  </si>
  <si>
    <t>დასახელება</t>
  </si>
  <si>
    <t>შიფრი</t>
  </si>
  <si>
    <t>რაოდენობა</t>
  </si>
  <si>
    <t>განზ</t>
  </si>
  <si>
    <t>ნორმა</t>
  </si>
  <si>
    <t>ნორმატიული რესურსი</t>
  </si>
  <si>
    <t>ხელფასი</t>
  </si>
  <si>
    <t>მასალა</t>
  </si>
  <si>
    <t>მექანიზმები</t>
  </si>
  <si>
    <t>ერთის ფასი</t>
  </si>
  <si>
    <t>ჯამი</t>
  </si>
  <si>
    <t>სულ</t>
  </si>
  <si>
    <r>
      <rPr>
        <sz val="11"/>
        <rFont val="AcadNusx"/>
      </rPr>
      <t>manqanebi</t>
    </r>
  </si>
  <si>
    <r>
      <rPr>
        <sz val="11"/>
        <rFont val="AcadNusx"/>
      </rPr>
      <t>danarCeni xarjebi</t>
    </r>
  </si>
  <si>
    <t>kibis liTonis profilebis mowyoba</t>
  </si>
  <si>
    <t xml:space="preserve">grZ.m
</t>
  </si>
  <si>
    <r>
      <rPr>
        <sz val="11"/>
        <rFont val="AcadNusx"/>
      </rPr>
      <t>lari</t>
    </r>
  </si>
  <si>
    <r>
      <rPr>
        <sz val="11"/>
        <rFont val="AcadNusx"/>
      </rPr>
      <t>grZ.m.</t>
    </r>
  </si>
  <si>
    <t>foladis kvadratuli mili 40X40X2</t>
  </si>
  <si>
    <t>foladis kvadratuli mili 40X20X2</t>
  </si>
  <si>
    <t>foladis kvadratuli mili 20X20X2</t>
  </si>
  <si>
    <t>foladis zolovana 40X4</t>
  </si>
  <si>
    <t>ankeri 12X150 mm</t>
  </si>
  <si>
    <t>-</t>
  </si>
  <si>
    <t>sabazro</t>
  </si>
  <si>
    <t>9-32-12gam</t>
  </si>
  <si>
    <t>baqanze liTonis naWdevebiani furclis montaJi sisqiT 4 mm</t>
  </si>
  <si>
    <t>saavtomobilo amwe 16 toniani</t>
  </si>
  <si>
    <t>konstruqciis Rirebuleba (ix. konstruqciuli proeqti)</t>
  </si>
  <si>
    <r>
      <rPr>
        <sz val="11"/>
        <rFont val="AcadNusx"/>
      </rPr>
      <t>kac/sT</t>
    </r>
  </si>
  <si>
    <r>
      <rPr>
        <sz val="11"/>
        <rFont val="AcadNusx"/>
      </rPr>
      <t>m/sT</t>
    </r>
  </si>
  <si>
    <r>
      <rPr>
        <sz val="11"/>
        <rFont val="AcadNusx"/>
      </rPr>
      <t>tona</t>
    </r>
  </si>
  <si>
    <t>liTonis detalebis SeRebva zeTovani saRebaviT</t>
  </si>
  <si>
    <r>
      <rPr>
        <sz val="11"/>
        <rFont val="AcadNusx"/>
      </rPr>
      <t>16-7-4.</t>
    </r>
  </si>
  <si>
    <t>plastmasis xufi 40X40</t>
  </si>
  <si>
    <t>plastmasis fexi avejis</t>
  </si>
  <si>
    <t>c</t>
  </si>
  <si>
    <t>liTonis profilebis mowyoba</t>
  </si>
  <si>
    <t>gruntis damuSaveba xeliT III kat. gruntSi</t>
  </si>
  <si>
    <t>foladis kvadratuli mili 120X120X4</t>
  </si>
  <si>
    <t>foladis furceli 4 mm</t>
  </si>
  <si>
    <t>m2</t>
  </si>
  <si>
    <r>
      <t>betoni ~</t>
    </r>
    <r>
      <rPr>
        <sz val="11"/>
        <rFont val="Cambria"/>
        <family val="1"/>
        <charset val="204"/>
      </rPr>
      <t>B20</t>
    </r>
    <r>
      <rPr>
        <sz val="11"/>
        <rFont val="AcadNusx"/>
      </rPr>
      <t>~</t>
    </r>
  </si>
  <si>
    <t>m3</t>
  </si>
  <si>
    <r>
      <t xml:space="preserve">jaWvi </t>
    </r>
    <r>
      <rPr>
        <sz val="11"/>
        <rFont val="Arial"/>
        <family val="2"/>
      </rPr>
      <t>A1-2.5-6X19</t>
    </r>
  </si>
  <si>
    <t>foladis kvadratuli mili 50X50X2</t>
  </si>
  <si>
    <t>foladis furceli 8 mm</t>
  </si>
  <si>
    <t>foladis kvadratuli mili 100X40X2</t>
  </si>
  <si>
    <t>ჭიშკრის liTonis profilebis mowyoba</t>
  </si>
  <si>
    <t>anudirebuli aluminis  fanjrebis mowyoba  (არსებული ვიტრაჟის ყრუ ნაწილში 2 ცალი)</t>
  </si>
  <si>
    <t>petli</t>
  </si>
  <si>
    <t>komp</t>
  </si>
  <si>
    <t>urduli</t>
  </si>
  <si>
    <t>kibis da moajirebis liTonis profilebis mowyoba</t>
  </si>
  <si>
    <t>foladis kvadratuli mili 120X80X4</t>
  </si>
  <si>
    <t>baqanze da safexurebze liTonis naWdevebiani furclis montaJi sisqiT 4 mm</t>
  </si>
  <si>
    <t>WiSkris profilebis mowyoba</t>
  </si>
  <si>
    <t>baqnis liTonis profilebis mowyoba</t>
  </si>
  <si>
    <t>foladis kvadratuli mili 40X80X4</t>
  </si>
  <si>
    <r>
      <rPr>
        <sz val="11"/>
        <rFont val="AcadNusx"/>
      </rPr>
      <t>11-27-3gam</t>
    </r>
  </si>
  <si>
    <r>
      <rPr>
        <sz val="11"/>
        <rFont val="AcadNusx"/>
      </rPr>
      <t>SromiTi resursebi</t>
    </r>
  </si>
  <si>
    <r>
      <rPr>
        <sz val="11"/>
        <rFont val="AcadNusx"/>
      </rPr>
      <t>kg</t>
    </r>
  </si>
  <si>
    <r>
      <rPr>
        <sz val="11"/>
        <rFont val="AcadNusx"/>
      </rPr>
      <t>kv.m.</t>
    </r>
  </si>
  <si>
    <r>
      <rPr>
        <sz val="11"/>
        <rFont val="AcadNusx"/>
      </rPr>
      <t>sxva xarjebi</t>
    </r>
  </si>
  <si>
    <r>
      <t xml:space="preserve">baqanze </t>
    </r>
    <r>
      <rPr>
        <sz val="11"/>
        <rFont val="Arial"/>
        <family val="2"/>
      </rPr>
      <t>OSB</t>
    </r>
    <r>
      <rPr>
        <sz val="11"/>
        <rFont val="AcadNusx"/>
      </rPr>
      <t xml:space="preserve"> faneris dakvra</t>
    </r>
  </si>
  <si>
    <t>Surufi</t>
  </si>
  <si>
    <r>
      <rPr>
        <b/>
        <sz val="11"/>
        <rFont val="Arial"/>
        <family val="2"/>
      </rPr>
      <t xml:space="preserve">OSB </t>
    </r>
    <r>
      <rPr>
        <sz val="11"/>
        <rFont val="AcadNusx"/>
      </rPr>
      <t>fanera sisq. 10 mm</t>
    </r>
  </si>
  <si>
    <t>baqanis da safexurebis da kasaurebis mowyoba liTonis naWdevebiani furcliT  sisqiT 4 mm</t>
  </si>
  <si>
    <t>safexuri</t>
  </si>
  <si>
    <t xml:space="preserve">konstruqciis Rirebuleba </t>
  </si>
  <si>
    <t>დღგ 18%</t>
  </si>
  <si>
    <t>კრებსითი</t>
  </si>
  <si>
    <t>სპორტკომპლექსი</t>
  </si>
  <si>
    <t>საცურაო აუზი</t>
  </si>
  <si>
    <t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t>
  </si>
  <si>
    <t xml:space="preserve"> შპს "სპორტმშენსერვისის" კუთვნილ შენობა-ნაგებობებში ქალაქი თბილისი,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t>
  </si>
  <si>
    <t xml:space="preserve"> 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და 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t>
  </si>
  <si>
    <t>ადგილი</t>
  </si>
  <si>
    <t>ღირებულება</t>
  </si>
  <si>
    <t>momsaxureobis bilikis dgarebis (kvadratuli mili 40X40X2) daxvreta 6 mm burRiT</t>
  </si>
  <si>
    <t>wert</t>
  </si>
  <si>
    <t>საბაზრო</t>
  </si>
  <si>
    <t>momsaxureobis bilikis dgarebSi 4 mm bagiris gatareba da daWimva</t>
  </si>
  <si>
    <t>m</t>
  </si>
  <si>
    <t>bagiri</t>
  </si>
  <si>
    <t>bagiris samagri</t>
  </si>
  <si>
    <t>ალუმინის ყრუ ვიტრაჟში გადმოსახსნელი ფანჯრის ბლოკის მოწყობის სამუშაოები</t>
  </si>
  <si>
    <t>ჭერში დამონტაჟებული მომსახურების ბილიკის მოაჯირებზე უსაფრთხოების მიზნით ბაგირების მოწყობის სამუშაოები</t>
  </si>
  <si>
    <t>ჭერში დამონტაჟებული მომსახურების ბილიკზე ასასვლელი კიბის მოწყობის სამუშაოები (ნახაზი#1)</t>
  </si>
  <si>
    <t>10 ცალი გადასატანი ბარიერის ზომით 1.5 მX1.2 მ დამზადების სამუშაოები (ნახაზი#2)</t>
  </si>
  <si>
    <t>გადასატანი ბარიერის ლენტის დასამაგრებელი 6 ცალი დგარის სიმაღლით 1.2 მ დამზადების სამუშაოები (ნახაზი#3)</t>
  </si>
  <si>
    <t>ავტობუსების პარკინგზე შესასვლელის მოწყობის სამუშაოები (ნახაზი#4)</t>
  </si>
  <si>
    <t>პარკინგზე შლაგბაუმის ფეხის სამონტაჟო სამუშაოები (ნახაზი#5)</t>
  </si>
  <si>
    <t>პარკინგზე შლაგბაუმის კამერის სამაგრი ბოძის მონტაჟის სამუშაოები (ნახაზი#6)</t>
  </si>
  <si>
    <t>გათბობა გაგრილების დანადგარების განთავსების ადგილის  შემოღობვის სამუშაოები (ნახაზი#7)</t>
  </si>
  <si>
    <t>აუზის დანადგარების სათავსოს ჭიშკრების მოწყობის სამუშაოები (ნახაზი#8)</t>
  </si>
  <si>
    <t>პატარა აუზის მომსახურე დანადგარების სათავსოში ჩასასვლელი კიბისა და მოაჯირების მოწყობის სამუშაოები (ნახაზი#9)</t>
  </si>
  <si>
    <t>დიდი აუზის მომსახურე დანადგარების სათავსოში მილების დამცავი ბაქნის  მოწყობის სამუშაოები (ნახაზი#10)</t>
  </si>
  <si>
    <t>დიდი აუზის მომსახურე დანადგარების სათავსოში სათვალთვალო ღიობებზე ასასვლელი 2 ცალი კიბის მოწყობის სამუშაოები (ნახაზი#11)</t>
  </si>
  <si>
    <t>დიდი აუზის მომსახურე დანადგარების სათავსოში სათვალთვალო ღიობებზე ასასვლელი 1 ცალი კიბის მოწყობის სამუშაოები (ნახაზი#12)</t>
  </si>
  <si>
    <t>boZebis dabetoneba</t>
  </si>
  <si>
    <t>ლითონის  კარებების მოწყობის სამუშაოები</t>
  </si>
  <si>
    <t>rkinis  erTfrTiani karebis mowyoba  naliCnikebiT gverdulebis 20 sm SefuTviT</t>
  </si>
  <si>
    <t>mdf is fila</t>
  </si>
  <si>
    <t>naliCniki</t>
  </si>
  <si>
    <t>rkinis  orfrTiani karebis mowyoba  naliCnikebiT gverdulebis 20 sm SefuTviT</t>
  </si>
  <si>
    <t>რკინის კარის დამზადების სპეციფიკაცია</t>
  </si>
  <si>
    <t>ცალი</t>
  </si>
  <si>
    <t>მ</t>
  </si>
  <si>
    <t>კვადრატული მილი 15X15X1.5 mm</t>
  </si>
  <si>
    <t>კვადრატული მილი 40X20X2 mm</t>
  </si>
  <si>
    <t>პეტლი D=28 mm</t>
  </si>
  <si>
    <t>საკეტი გასაღებით</t>
  </si>
  <si>
    <t>შურუფი 2.5 მმ</t>
  </si>
  <si>
    <t>ზეთოვანი სღებავი</t>
  </si>
  <si>
    <t>კგ</t>
  </si>
  <si>
    <t>გამხსნელი</t>
  </si>
  <si>
    <t>ლიტ</t>
  </si>
  <si>
    <t>ელექტროდი</t>
  </si>
  <si>
    <t>კვადრატული მილი 60X40X2.5 mm</t>
  </si>
  <si>
    <t>საჭრელი ქვა</t>
  </si>
  <si>
    <t xml:space="preserve">rkinis karis bloki   2.1X0.9  </t>
  </si>
  <si>
    <t xml:space="preserve">rkinis karis bloki   2.1X1.6  </t>
  </si>
  <si>
    <t>ფოლადის ფურცელი 2100X1000X1.5 mm</t>
  </si>
  <si>
    <t>ზოლოვანა 40X2 mm</t>
  </si>
  <si>
    <t>მ2</t>
  </si>
  <si>
    <t>parapetze liTonis profilebis mowyoba</t>
  </si>
  <si>
    <r>
      <t xml:space="preserve">parapetze </t>
    </r>
    <r>
      <rPr>
        <sz val="11"/>
        <rFont val="Arial"/>
        <family val="2"/>
      </rPr>
      <t>OSB</t>
    </r>
    <r>
      <rPr>
        <sz val="11"/>
        <rFont val="AcadNusx"/>
      </rPr>
      <t xml:space="preserve"> faneris dakvra</t>
    </r>
  </si>
  <si>
    <t>ტერასის პარაპეტის თუნუქით დაფარვის სამუშაოები</t>
  </si>
  <si>
    <t>12-8-5.</t>
  </si>
  <si>
    <t>Tunuqi  moTuTiebuli 0,5mm.</t>
  </si>
  <si>
    <t>9-4-1;6</t>
  </si>
  <si>
    <t>amwe muxluxa svlaze 25toniani</t>
  </si>
  <si>
    <t>m/sT</t>
  </si>
  <si>
    <t>samontaJo elementebi</t>
  </si>
  <si>
    <t>WanWiki uxeSi, norm. da maRali sizustis</t>
  </si>
  <si>
    <t>profilirebuli Tunuqi 0.5mm.</t>
  </si>
  <si>
    <t>parapetze feradi Tunuqis safaris mowyoba</t>
  </si>
  <si>
    <t>parapetze feradi profilirebuli Tunuqis mowyoba 0,5mm.</t>
  </si>
  <si>
    <t>გაუთვალისწინებელი ხარჯი 2%</t>
  </si>
  <si>
    <t>შეადგინა:   დ. ხმალაძე</t>
  </si>
  <si>
    <t>46-32-3</t>
  </si>
  <si>
    <t xml:space="preserve">gruntis transportireba 15km-ze </t>
  </si>
  <si>
    <t>liTonis furclis montaJi sisqiT 12 mm</t>
  </si>
  <si>
    <t xml:space="preserve">xelovnuri granitis iatakebis demontaJi plintusiT                                                             </t>
  </si>
  <si>
    <t xml:space="preserve"> m2</t>
  </si>
  <si>
    <t>Sromis danaxarji  k=1,15*0,323</t>
  </si>
  <si>
    <t>manqanebi   k=1,15*0,0205</t>
  </si>
  <si>
    <t xml:space="preserve"> m3</t>
  </si>
  <si>
    <t>Sromis danaxarji  k=1,15*8,80</t>
  </si>
  <si>
    <t>manqanebi   k=1,15*4,80</t>
  </si>
  <si>
    <t>46-24-2</t>
  </si>
  <si>
    <t>46-31-3</t>
  </si>
  <si>
    <r>
      <t xml:space="preserve">cementis moWimvis demontaJi, sisqiT 5sm                                                                                      </t>
    </r>
    <r>
      <rPr>
        <sz val="10"/>
        <color theme="1"/>
        <rFont val="AcadNusx"/>
      </rPr>
      <t>4X0,1=0,4 m3</t>
    </r>
  </si>
  <si>
    <t>samSeneblo nagvis gatana</t>
  </si>
  <si>
    <t xml:space="preserve">samSeneblo nagvis gadatana (horizontaluri 60 m)                                           </t>
  </si>
  <si>
    <t xml:space="preserve">t </t>
  </si>
  <si>
    <t xml:space="preserve">samSeneblo nagvis gadatana (vertikaluri 3m)                                           </t>
  </si>
  <si>
    <t xml:space="preserve">samSeneblo nagvis datvirTva avtotransportze                                               </t>
  </si>
  <si>
    <t>srf 15-10</t>
  </si>
  <si>
    <t xml:space="preserve">samSeneblo nagvis transportireba 40 km-ze                                       </t>
  </si>
  <si>
    <t xml:space="preserve"> </t>
  </si>
  <si>
    <t>webo-cementi</t>
  </si>
  <si>
    <t>11-27-7.</t>
  </si>
  <si>
    <t>100kv.m.</t>
  </si>
  <si>
    <t xml:space="preserve">manqanebi </t>
  </si>
  <si>
    <t>linokromis qveda fena</t>
  </si>
  <si>
    <t>linokromis zeda fena</t>
  </si>
  <si>
    <t>praimeri</t>
  </si>
  <si>
    <t>gazi</t>
  </si>
  <si>
    <t xml:space="preserve">sxva xarjebi </t>
  </si>
  <si>
    <t>12-2-1.</t>
  </si>
  <si>
    <t>11-8-1;11-8-2</t>
  </si>
  <si>
    <t xml:space="preserve">iatakebze qv/cementis xsnaris moWimva sisq. 30mm </t>
  </si>
  <si>
    <t>manqanebi 0,95+0,23X2=</t>
  </si>
  <si>
    <t>qv/cementis xsnari ~m100~ 2,04+0,51X2=</t>
  </si>
  <si>
    <t>11-20-3.</t>
  </si>
  <si>
    <t xml:space="preserve">  iatakze keramogranitis filebis dageba</t>
  </si>
  <si>
    <t>keramogranitis filebi</t>
  </si>
  <si>
    <t xml:space="preserve">laminirebuli  iatakis mowyoba </t>
  </si>
  <si>
    <t xml:space="preserve">laminirebuli parketi </t>
  </si>
  <si>
    <t>laminirebuli plinTusi</t>
  </si>
  <si>
    <t>paralonis qveSsagebi</t>
  </si>
  <si>
    <t>15-168-7.</t>
  </si>
  <si>
    <t xml:space="preserve"> kedlebis SefiTxvna da SeRebva wyalemulsiuri saRebaviT </t>
  </si>
  <si>
    <t>wyalmedegi wyalemulsiuri saRebavi</t>
  </si>
  <si>
    <t>webovan-zeTovani safiTxni</t>
  </si>
  <si>
    <t>დემონტაჟი</t>
  </si>
  <si>
    <t>სამშენებლო სამუშაო</t>
  </si>
  <si>
    <t xml:space="preserve">terasaze qv/cementis xsnaris moWimva sisq. 30mm </t>
  </si>
  <si>
    <t>qv/cementis xsnari</t>
  </si>
  <si>
    <t>terasaze keramogranitis filebis dageba</t>
  </si>
  <si>
    <t>terasis izolazia ori fena linokromiT</t>
  </si>
  <si>
    <t>პატარა დარბაზის შიდა კედლების სამღებრო სამუშაოები</t>
  </si>
  <si>
    <t>15.60 ნიშნულზე არსებული ღია ტერასის სარემონტო სამუშაოები</t>
  </si>
  <si>
    <t xml:space="preserve">შენობის 15.60 ნიშნულზე არსებული დახურული ტერასისა და სასტუმროს F13 ნომრის სარემონტო სამუშაოები </t>
  </si>
  <si>
    <t>15.6 ნიშნულზე არსებული ღია ტერასაზე სარემონტო სამუშაოები</t>
  </si>
  <si>
    <t>15.6 ნიშნულზე არსებული დახურულ ტერასისა და სასტუმროს F13 ნომრის სარემონტო სამუშაოები</t>
  </si>
  <si>
    <t>მიმწოდებელი:</t>
  </si>
  <si>
    <t>ხელმძღვანელი პირის ხელმოწერა და ბეჭედი: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</si>
</sst>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"/>
    <numFmt numFmtId="167" formatCode="###0;###0"/>
    <numFmt numFmtId="168" formatCode="###0.00;###0.00"/>
    <numFmt numFmtId="169" formatCode="0.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0"/>
      <name val="Arial"/>
      <family val="2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8"/>
      <name val="AcadNusx"/>
    </font>
    <font>
      <sz val="11"/>
      <name val="Arial"/>
      <family val="2"/>
    </font>
    <font>
      <sz val="11"/>
      <color theme="1"/>
      <name val="Calibri"/>
      <family val="2"/>
    </font>
    <font>
      <sz val="11"/>
      <color indexed="8"/>
      <name val="AcadNusx"/>
    </font>
    <font>
      <sz val="11"/>
      <color theme="1"/>
      <name val="Calibri"/>
      <family val="2"/>
      <charset val="1"/>
    </font>
    <font>
      <sz val="11"/>
      <name val="Cambria"/>
      <family val="1"/>
      <charset val="204"/>
    </font>
    <font>
      <sz val="10"/>
      <color rgb="FF000000"/>
      <name val="AcadNusx"/>
      <family val="2"/>
    </font>
    <font>
      <sz val="9"/>
      <color rgb="FF000000"/>
      <name val="AcadNusx"/>
    </font>
    <font>
      <sz val="11"/>
      <name val="Arial"/>
      <family val="2"/>
      <charset val="204"/>
    </font>
    <font>
      <sz val="11"/>
      <color theme="1"/>
      <name val="Arial"/>
      <family val="2"/>
    </font>
    <font>
      <sz val="11"/>
      <color rgb="FF000000"/>
      <name val="AcadNusx"/>
    </font>
    <font>
      <sz val="11"/>
      <color rgb="FF000000"/>
      <name val="AcadNusx"/>
      <family val="2"/>
    </font>
    <font>
      <sz val="11"/>
      <color theme="0"/>
      <name val="AcadNusx"/>
    </font>
    <font>
      <sz val="10"/>
      <color rgb="FF000000"/>
      <name val="AcadNusx"/>
    </font>
    <font>
      <sz val="11"/>
      <color rgb="FF000000"/>
      <name val="Arial"/>
      <family val="2"/>
      <charset val="1"/>
    </font>
    <font>
      <sz val="11"/>
      <color rgb="FF000000"/>
      <name val="AcadNusx"/>
      <family val="2"/>
      <charset val="1"/>
    </font>
    <font>
      <b/>
      <sz val="11"/>
      <name val="Arial"/>
      <family val="2"/>
    </font>
    <font>
      <sz val="11"/>
      <name val="AcadNusx"/>
      <family val="2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achveulebrivi Thin"/>
      <family val="2"/>
    </font>
    <font>
      <sz val="10"/>
      <color theme="1"/>
      <name val="AcadNusx"/>
    </font>
    <font>
      <b/>
      <i/>
      <sz val="10"/>
      <color theme="1"/>
      <name val="AcadNusx"/>
    </font>
    <font>
      <b/>
      <i/>
      <sz val="11"/>
      <color rgb="FF0070C0"/>
      <name val="AcadNusx"/>
    </font>
    <font>
      <b/>
      <i/>
      <sz val="10"/>
      <color theme="1"/>
      <name val="Arial"/>
      <family val="2"/>
    </font>
    <font>
      <sz val="10"/>
      <name val="Arial Cyr"/>
      <charset val="204"/>
    </font>
    <font>
      <sz val="9"/>
      <name val="AcadNusx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34" fillId="0" borderId="0"/>
  </cellStyleXfs>
  <cellXfs count="255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3" applyFont="1" applyAlignment="1">
      <alignment vertical="center" wrapText="1"/>
    </xf>
    <xf numFmtId="2" fontId="6" fillId="0" borderId="1" xfId="3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1" fillId="0" borderId="0" xfId="0" applyFont="1"/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0" borderId="1" xfId="8" applyFont="1" applyBorder="1" applyAlignment="1">
      <alignment horizontal="center" vertical="center"/>
    </xf>
    <xf numFmtId="0" fontId="2" fillId="0" borderId="1" xfId="7" applyFont="1" applyBorder="1" applyAlignment="1">
      <alignment horizontal="center"/>
    </xf>
    <xf numFmtId="164" fontId="6" fillId="0" borderId="1" xfId="7" applyNumberFormat="1" applyFont="1" applyBorder="1" applyAlignment="1">
      <alignment horizontal="center"/>
    </xf>
    <xf numFmtId="2" fontId="6" fillId="0" borderId="1" xfId="7" applyNumberFormat="1" applyFont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4" fontId="6" fillId="0" borderId="1" xfId="7" applyNumberFormat="1" applyFont="1" applyBorder="1" applyAlignment="1">
      <alignment horizontal="center" vertical="center"/>
    </xf>
    <xf numFmtId="2" fontId="6" fillId="0" borderId="1" xfId="7" applyNumberFormat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166" fontId="6" fillId="0" borderId="1" xfId="7" applyNumberFormat="1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1" xfId="7" applyFont="1" applyBorder="1"/>
    <xf numFmtId="0" fontId="2" fillId="0" borderId="0" xfId="7" applyFont="1" applyBorder="1"/>
    <xf numFmtId="164" fontId="6" fillId="0" borderId="1" xfId="7" applyNumberFormat="1" applyFont="1" applyBorder="1" applyAlignment="1">
      <alignment horizontal="center" vertical="center" wrapText="1"/>
    </xf>
    <xf numFmtId="2" fontId="6" fillId="2" borderId="1" xfId="7" applyNumberFormat="1" applyFont="1" applyFill="1" applyBorder="1" applyAlignment="1">
      <alignment horizontal="center" vertical="center" wrapText="1"/>
    </xf>
    <xf numFmtId="166" fontId="6" fillId="0" borderId="1" xfId="7" applyNumberFormat="1" applyFont="1" applyBorder="1" applyAlignment="1">
      <alignment horizontal="center" vertical="center" wrapText="1"/>
    </xf>
    <xf numFmtId="0" fontId="2" fillId="0" borderId="0" xfId="7" applyFont="1" applyBorder="1" applyAlignment="1">
      <alignment vertical="center" wrapText="1"/>
    </xf>
    <xf numFmtId="165" fontId="6" fillId="0" borderId="1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1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1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1" fillId="0" borderId="1" xfId="0" applyFont="1" applyBorder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/>
    </xf>
    <xf numFmtId="164" fontId="6" fillId="0" borderId="1" xfId="11" applyNumberFormat="1" applyFont="1" applyBorder="1" applyAlignment="1">
      <alignment horizontal="center" vertical="center"/>
    </xf>
    <xf numFmtId="2" fontId="9" fillId="2" borderId="1" xfId="11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2" fillId="0" borderId="0" xfId="11" applyFont="1"/>
    <xf numFmtId="0" fontId="4" fillId="0" borderId="1" xfId="11" applyFont="1" applyBorder="1"/>
    <xf numFmtId="164" fontId="9" fillId="0" borderId="1" xfId="11" applyNumberFormat="1" applyFont="1" applyBorder="1" applyAlignment="1">
      <alignment horizontal="center" vertical="center"/>
    </xf>
    <xf numFmtId="2" fontId="9" fillId="0" borderId="1" xfId="11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2" fontId="9" fillId="0" borderId="1" xfId="4" applyNumberFormat="1" applyFont="1" applyBorder="1" applyAlignment="1">
      <alignment horizontal="center" vertical="center"/>
    </xf>
    <xf numFmtId="0" fontId="4" fillId="0" borderId="1" xfId="1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/>
    </xf>
    <xf numFmtId="2" fontId="6" fillId="2" borderId="1" xfId="4" applyNumberFormat="1" applyFont="1" applyFill="1" applyBorder="1" applyAlignment="1">
      <alignment horizontal="center"/>
    </xf>
    <xf numFmtId="0" fontId="2" fillId="2" borderId="0" xfId="0" applyFont="1" applyFill="1" applyBorder="1"/>
    <xf numFmtId="164" fontId="8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5" fillId="3" borderId="5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16" fillId="4" borderId="1" xfId="0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1" xfId="9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164" fontId="9" fillId="2" borderId="1" xfId="9" applyNumberFormat="1" applyFont="1" applyFill="1" applyBorder="1" applyAlignment="1">
      <alignment horizontal="center" vertical="center" wrapText="1"/>
    </xf>
    <xf numFmtId="2" fontId="9" fillId="2" borderId="1" xfId="9" applyNumberFormat="1" applyFont="1" applyFill="1" applyBorder="1" applyAlignment="1">
      <alignment horizontal="center" vertical="center" wrapText="1"/>
    </xf>
    <xf numFmtId="2" fontId="9" fillId="0" borderId="1" xfId="9" applyNumberFormat="1" applyFont="1" applyFill="1" applyBorder="1" applyAlignment="1">
      <alignment horizontal="center" vertical="center"/>
    </xf>
    <xf numFmtId="2" fontId="9" fillId="2" borderId="1" xfId="9" applyNumberFormat="1" applyFont="1" applyFill="1" applyBorder="1" applyAlignment="1">
      <alignment horizontal="center"/>
    </xf>
    <xf numFmtId="164" fontId="9" fillId="2" borderId="1" xfId="9" applyNumberFormat="1" applyFont="1" applyFill="1" applyBorder="1" applyAlignment="1">
      <alignment horizontal="center"/>
    </xf>
    <xf numFmtId="2" fontId="9" fillId="4" borderId="1" xfId="0" quotePrefix="1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2" fontId="9" fillId="2" borderId="1" xfId="8" applyNumberFormat="1" applyFont="1" applyFill="1" applyBorder="1" applyAlignment="1">
      <alignment horizontal="center" vertical="center" wrapText="1"/>
    </xf>
    <xf numFmtId="2" fontId="9" fillId="0" borderId="1" xfId="7" applyNumberFormat="1" applyFont="1" applyBorder="1" applyAlignment="1">
      <alignment horizontal="center" vertical="center" wrapText="1"/>
    </xf>
    <xf numFmtId="2" fontId="9" fillId="0" borderId="1" xfId="3" applyNumberFormat="1" applyFont="1" applyBorder="1" applyAlignment="1">
      <alignment horizontal="center" vertical="center" wrapText="1"/>
    </xf>
    <xf numFmtId="2" fontId="9" fillId="2" borderId="1" xfId="8" applyNumberFormat="1" applyFont="1" applyFill="1" applyBorder="1" applyAlignment="1">
      <alignment horizontal="center"/>
    </xf>
    <xf numFmtId="2" fontId="9" fillId="0" borderId="1" xfId="8" applyNumberFormat="1" applyFont="1" applyFill="1" applyBorder="1" applyAlignment="1">
      <alignment horizontal="center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164" fontId="9" fillId="4" borderId="1" xfId="0" quotePrefix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0" fontId="2" fillId="2" borderId="1" xfId="9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center" wrapText="1"/>
    </xf>
    <xf numFmtId="2" fontId="9" fillId="2" borderId="1" xfId="9" applyNumberFormat="1" applyFont="1" applyFill="1" applyBorder="1" applyAlignment="1">
      <alignment horizontal="center" vertical="center"/>
    </xf>
    <xf numFmtId="164" fontId="9" fillId="2" borderId="1" xfId="9" applyNumberFormat="1" applyFont="1" applyFill="1" applyBorder="1" applyAlignment="1">
      <alignment horizontal="center" vertical="center"/>
    </xf>
    <xf numFmtId="2" fontId="9" fillId="0" borderId="1" xfId="8" applyNumberFormat="1" applyFont="1" applyFill="1" applyBorder="1" applyAlignment="1">
      <alignment horizontal="center" vertical="center"/>
    </xf>
    <xf numFmtId="2" fontId="9" fillId="2" borderId="1" xfId="8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center" vertical="center" wrapText="1"/>
    </xf>
    <xf numFmtId="169" fontId="9" fillId="2" borderId="1" xfId="9" applyNumberFormat="1" applyFont="1" applyFill="1" applyBorder="1" applyAlignment="1">
      <alignment horizontal="center" vertical="center"/>
    </xf>
    <xf numFmtId="0" fontId="2" fillId="0" borderId="1" xfId="7" applyFont="1" applyBorder="1" applyAlignment="1">
      <alignment horizontal="left" vertical="center" wrapText="1"/>
    </xf>
    <xf numFmtId="167" fontId="19" fillId="3" borderId="4" xfId="0" applyNumberFormat="1" applyFont="1" applyFill="1" applyBorder="1" applyAlignment="1">
      <alignment horizontal="center" vertical="center" wrapText="1"/>
    </xf>
    <xf numFmtId="167" fontId="14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21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3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11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 wrapText="1"/>
    </xf>
    <xf numFmtId="2" fontId="9" fillId="4" borderId="1" xfId="9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/>
    </xf>
    <xf numFmtId="167" fontId="19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164" fontId="9" fillId="4" borderId="1" xfId="9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left" vertical="top" wrapText="1"/>
    </xf>
    <xf numFmtId="167" fontId="18" fillId="3" borderId="2" xfId="0" applyNumberFormat="1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right" wrapText="1"/>
    </xf>
    <xf numFmtId="167" fontId="23" fillId="3" borderId="2" xfId="0" applyNumberFormat="1" applyFont="1" applyFill="1" applyBorder="1" applyAlignment="1">
      <alignment horizontal="left" vertical="center" wrapText="1"/>
    </xf>
    <xf numFmtId="168" fontId="22" fillId="3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/>
    </xf>
    <xf numFmtId="165" fontId="9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14" fontId="26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9" fillId="0" borderId="0" xfId="0" applyFont="1" applyFill="1"/>
    <xf numFmtId="0" fontId="29" fillId="0" borderId="0" xfId="0" applyFont="1"/>
    <xf numFmtId="0" fontId="2" fillId="0" borderId="1" xfId="9" applyFont="1" applyFill="1" applyBorder="1" applyAlignment="1">
      <alignment horizontal="left"/>
    </xf>
    <xf numFmtId="0" fontId="2" fillId="0" borderId="1" xfId="9" applyFont="1" applyFill="1" applyBorder="1" applyAlignment="1">
      <alignment horizontal="center" wrapText="1"/>
    </xf>
    <xf numFmtId="0" fontId="2" fillId="0" borderId="1" xfId="9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right" vertical="center"/>
    </xf>
    <xf numFmtId="2" fontId="33" fillId="0" borderId="1" xfId="0" applyNumberFormat="1" applyFont="1" applyFill="1" applyBorder="1" applyAlignment="1">
      <alignment horizontal="right" vertical="center"/>
    </xf>
    <xf numFmtId="4" fontId="33" fillId="0" borderId="1" xfId="0" applyNumberFormat="1" applyFont="1" applyFill="1" applyBorder="1" applyAlignment="1">
      <alignment horizontal="right" vertical="center"/>
    </xf>
    <xf numFmtId="0" fontId="35" fillId="0" borderId="1" xfId="7" applyFont="1" applyBorder="1" applyAlignment="1">
      <alignment horizontal="center" vertical="center"/>
    </xf>
    <xf numFmtId="2" fontId="9" fillId="0" borderId="1" xfId="7" applyNumberFormat="1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166" fontId="9" fillId="0" borderId="1" xfId="7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7" applyFont="1" applyBorder="1" applyAlignment="1">
      <alignment vertical="center"/>
    </xf>
    <xf numFmtId="164" fontId="9" fillId="0" borderId="1" xfId="7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/>
    </xf>
    <xf numFmtId="2" fontId="9" fillId="0" borderId="1" xfId="8" applyNumberFormat="1" applyFont="1" applyBorder="1" applyAlignment="1">
      <alignment horizontal="center" vertical="center"/>
    </xf>
    <xf numFmtId="164" fontId="9" fillId="0" borderId="1" xfId="7" applyNumberFormat="1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2" fontId="9" fillId="0" borderId="1" xfId="8" applyNumberFormat="1" applyFont="1" applyBorder="1" applyAlignment="1">
      <alignment horizontal="center"/>
    </xf>
    <xf numFmtId="2" fontId="9" fillId="0" borderId="1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/>
    </xf>
    <xf numFmtId="2" fontId="9" fillId="2" borderId="1" xfId="7" applyNumberFormat="1" applyFont="1" applyFill="1" applyBorder="1" applyAlignment="1">
      <alignment horizontal="center" vertical="center"/>
    </xf>
    <xf numFmtId="0" fontId="2" fillId="0" borderId="0" xfId="7" applyFont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2" fillId="0" borderId="0" xfId="7" applyFont="1" applyAlignment="1">
      <alignment horizontal="center"/>
    </xf>
    <xf numFmtId="164" fontId="2" fillId="0" borderId="1" xfId="7" applyNumberFormat="1" applyFont="1" applyBorder="1" applyAlignment="1">
      <alignment horizontal="center" vertical="center" wrapText="1"/>
    </xf>
    <xf numFmtId="2" fontId="9" fillId="2" borderId="1" xfId="7" applyNumberFormat="1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7" applyFont="1" applyAlignment="1">
      <alignment horizontal="center" vertical="center"/>
    </xf>
    <xf numFmtId="0" fontId="9" fillId="0" borderId="1" xfId="7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3" fillId="0" borderId="0" xfId="7" applyFont="1" applyAlignment="1">
      <alignment vertical="center"/>
    </xf>
    <xf numFmtId="164" fontId="9" fillId="0" borderId="1" xfId="0" applyNumberFormat="1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4">
    <cellStyle name="Normal" xfId="0" builtinId="0"/>
    <cellStyle name="Normal 11 2" xfId="5"/>
    <cellStyle name="Normal 11 2 2" xfId="12"/>
    <cellStyle name="Normal 13 5 3 7" xfId="10"/>
    <cellStyle name="Normal 36 2 2" xfId="11"/>
    <cellStyle name="Normal 38 2" xfId="3"/>
    <cellStyle name="Normal_gare wyalsadfenigagarini 10" xfId="4"/>
    <cellStyle name="Normal_gare wyalsadfenigagarini 2 2" xfId="2"/>
    <cellStyle name="Normal_gare wyalsadfenigagarini 2_SMSH2008-IIkv ." xfId="8"/>
    <cellStyle name="Normal_SMETA 3" xfId="9"/>
    <cellStyle name="Обычный 2 2" xfId="7"/>
    <cellStyle name="Обычный 4" xfId="1"/>
    <cellStyle name="Обычный 5 2 2" xfId="6"/>
    <cellStyle name="Обычный_დემონტაჟი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115" zoomScaleNormal="100" zoomScaleSheetLayoutView="115" workbookViewId="0">
      <selection activeCell="A2" sqref="A2:D2"/>
    </sheetView>
  </sheetViews>
  <sheetFormatPr defaultColWidth="9" defaultRowHeight="14.25" x14ac:dyDescent="0.25"/>
  <cols>
    <col min="1" max="1" width="5.42578125" style="172" customWidth="1"/>
    <col min="2" max="2" width="53.140625" style="173" customWidth="1"/>
    <col min="3" max="3" width="28.140625" style="173" customWidth="1"/>
    <col min="4" max="4" width="15" style="172" customWidth="1"/>
    <col min="5" max="16384" width="9" style="173"/>
  </cols>
  <sheetData>
    <row r="1" spans="1:4" ht="13.5" customHeight="1" x14ac:dyDescent="0.25">
      <c r="D1" s="174"/>
    </row>
    <row r="2" spans="1:4" ht="46.5" customHeight="1" x14ac:dyDescent="0.25">
      <c r="A2" s="239" t="s">
        <v>112</v>
      </c>
      <c r="B2" s="239"/>
      <c r="C2" s="239"/>
      <c r="D2" s="239"/>
    </row>
    <row r="3" spans="1:4" ht="18" customHeight="1" x14ac:dyDescent="0.25">
      <c r="A3" s="240" t="s">
        <v>107</v>
      </c>
      <c r="B3" s="241"/>
      <c r="C3" s="241"/>
      <c r="D3" s="242"/>
    </row>
    <row r="4" spans="1:4" x14ac:dyDescent="0.25">
      <c r="A4" s="175" t="s">
        <v>2</v>
      </c>
      <c r="B4" s="176" t="s">
        <v>36</v>
      </c>
      <c r="C4" s="176" t="s">
        <v>113</v>
      </c>
      <c r="D4" s="176" t="s">
        <v>114</v>
      </c>
    </row>
    <row r="5" spans="1:4" x14ac:dyDescent="0.25">
      <c r="A5" s="177">
        <v>1</v>
      </c>
      <c r="B5" s="178">
        <v>2</v>
      </c>
      <c r="C5" s="178">
        <v>3</v>
      </c>
      <c r="D5" s="178">
        <v>4</v>
      </c>
    </row>
    <row r="6" spans="1:4" ht="18.75" customHeight="1" x14ac:dyDescent="0.25">
      <c r="A6" s="176">
        <v>1</v>
      </c>
      <c r="B6" s="180" t="s">
        <v>137</v>
      </c>
      <c r="C6" s="176" t="s">
        <v>108</v>
      </c>
      <c r="D6" s="179"/>
    </row>
    <row r="7" spans="1:4" ht="25.5" x14ac:dyDescent="0.25">
      <c r="A7" s="176">
        <v>2</v>
      </c>
      <c r="B7" s="181" t="s">
        <v>122</v>
      </c>
      <c r="C7" s="176" t="s">
        <v>108</v>
      </c>
      <c r="D7" s="179"/>
    </row>
    <row r="8" spans="1:4" ht="25.5" x14ac:dyDescent="0.25">
      <c r="A8" s="176">
        <v>3</v>
      </c>
      <c r="B8" s="181" t="s">
        <v>124</v>
      </c>
      <c r="C8" s="176" t="s">
        <v>108</v>
      </c>
      <c r="D8" s="179"/>
    </row>
    <row r="9" spans="1:4" ht="36.75" customHeight="1" x14ac:dyDescent="0.25">
      <c r="A9" s="176">
        <v>4</v>
      </c>
      <c r="B9" s="181" t="s">
        <v>123</v>
      </c>
      <c r="C9" s="176" t="s">
        <v>108</v>
      </c>
      <c r="D9" s="179"/>
    </row>
    <row r="10" spans="1:4" ht="33" customHeight="1" x14ac:dyDescent="0.25">
      <c r="A10" s="176">
        <v>5</v>
      </c>
      <c r="B10" s="181" t="s">
        <v>125</v>
      </c>
      <c r="C10" s="176" t="s">
        <v>108</v>
      </c>
      <c r="D10" s="179"/>
    </row>
    <row r="11" spans="1:4" ht="33.75" customHeight="1" x14ac:dyDescent="0.25">
      <c r="A11" s="176">
        <v>6</v>
      </c>
      <c r="B11" s="181" t="s">
        <v>126</v>
      </c>
      <c r="C11" s="176" t="s">
        <v>108</v>
      </c>
      <c r="D11" s="179"/>
    </row>
    <row r="12" spans="1:4" ht="30" customHeight="1" x14ac:dyDescent="0.25">
      <c r="A12" s="176">
        <v>7</v>
      </c>
      <c r="B12" s="181" t="s">
        <v>127</v>
      </c>
      <c r="C12" s="176" t="s">
        <v>108</v>
      </c>
      <c r="D12" s="179"/>
    </row>
    <row r="13" spans="1:4" ht="30" customHeight="1" x14ac:dyDescent="0.25">
      <c r="A13" s="176">
        <v>8</v>
      </c>
      <c r="B13" s="181" t="s">
        <v>128</v>
      </c>
      <c r="C13" s="176" t="s">
        <v>108</v>
      </c>
      <c r="D13" s="179"/>
    </row>
    <row r="14" spans="1:4" ht="30" customHeight="1" x14ac:dyDescent="0.25">
      <c r="A14" s="176">
        <v>9</v>
      </c>
      <c r="B14" s="181" t="s">
        <v>129</v>
      </c>
      <c r="C14" s="176" t="s">
        <v>108</v>
      </c>
      <c r="D14" s="179"/>
    </row>
    <row r="15" spans="1:4" ht="30" customHeight="1" x14ac:dyDescent="0.25">
      <c r="A15" s="176">
        <v>10</v>
      </c>
      <c r="B15" s="181" t="s">
        <v>130</v>
      </c>
      <c r="C15" s="176" t="s">
        <v>108</v>
      </c>
      <c r="D15" s="179"/>
    </row>
    <row r="16" spans="1:4" ht="27.75" customHeight="1" x14ac:dyDescent="0.25">
      <c r="A16" s="176">
        <v>11</v>
      </c>
      <c r="B16" s="181" t="s">
        <v>232</v>
      </c>
      <c r="C16" s="176" t="s">
        <v>108</v>
      </c>
      <c r="D16" s="179"/>
    </row>
    <row r="17" spans="1:4" ht="31.5" customHeight="1" x14ac:dyDescent="0.25">
      <c r="A17" s="176">
        <v>12</v>
      </c>
      <c r="B17" s="181" t="s">
        <v>233</v>
      </c>
      <c r="C17" s="176" t="s">
        <v>108</v>
      </c>
      <c r="D17" s="179"/>
    </row>
    <row r="18" spans="1:4" ht="30" customHeight="1" x14ac:dyDescent="0.25">
      <c r="A18" s="176">
        <v>13</v>
      </c>
      <c r="B18" s="181" t="s">
        <v>131</v>
      </c>
      <c r="C18" s="176" t="s">
        <v>109</v>
      </c>
      <c r="D18" s="179"/>
    </row>
    <row r="19" spans="1:4" ht="43.5" customHeight="1" x14ac:dyDescent="0.25">
      <c r="A19" s="176">
        <v>14</v>
      </c>
      <c r="B19" s="181" t="s">
        <v>132</v>
      </c>
      <c r="C19" s="176" t="s">
        <v>109</v>
      </c>
      <c r="D19" s="179"/>
    </row>
    <row r="20" spans="1:4" ht="37.5" customHeight="1" x14ac:dyDescent="0.25">
      <c r="A20" s="176">
        <v>15</v>
      </c>
      <c r="B20" s="181" t="s">
        <v>133</v>
      </c>
      <c r="C20" s="176" t="s">
        <v>109</v>
      </c>
      <c r="D20" s="179"/>
    </row>
    <row r="21" spans="1:4" ht="38.25" x14ac:dyDescent="0.25">
      <c r="A21" s="176">
        <v>16</v>
      </c>
      <c r="B21" s="181" t="s">
        <v>134</v>
      </c>
      <c r="C21" s="176" t="s">
        <v>109</v>
      </c>
      <c r="D21" s="179"/>
    </row>
    <row r="22" spans="1:4" ht="42.75" customHeight="1" x14ac:dyDescent="0.25">
      <c r="A22" s="176">
        <v>17</v>
      </c>
      <c r="B22" s="181" t="s">
        <v>135</v>
      </c>
      <c r="C22" s="176" t="s">
        <v>109</v>
      </c>
      <c r="D22" s="179"/>
    </row>
    <row r="23" spans="1:4" ht="18.75" customHeight="1" x14ac:dyDescent="0.25">
      <c r="A23" s="176">
        <v>18</v>
      </c>
      <c r="B23" s="175" t="s">
        <v>164</v>
      </c>
      <c r="C23" s="176" t="s">
        <v>109</v>
      </c>
      <c r="D23" s="179"/>
    </row>
    <row r="24" spans="1:4" ht="18.75" customHeight="1" x14ac:dyDescent="0.25">
      <c r="A24" s="176">
        <v>19</v>
      </c>
      <c r="B24" s="236" t="s">
        <v>229</v>
      </c>
      <c r="C24" s="176" t="s">
        <v>108</v>
      </c>
      <c r="D24" s="179"/>
    </row>
    <row r="25" spans="1:4" x14ac:dyDescent="0.25">
      <c r="A25" s="176"/>
      <c r="B25" s="175" t="s">
        <v>46</v>
      </c>
      <c r="C25" s="175"/>
      <c r="D25" s="179">
        <f>SUM(D6:D24)</f>
        <v>0</v>
      </c>
    </row>
    <row r="26" spans="1:4" x14ac:dyDescent="0.25">
      <c r="A26" s="176"/>
      <c r="B26" s="175" t="s">
        <v>175</v>
      </c>
      <c r="C26" s="175"/>
      <c r="D26" s="179">
        <f>D25*2%</f>
        <v>0</v>
      </c>
    </row>
    <row r="27" spans="1:4" x14ac:dyDescent="0.25">
      <c r="A27" s="176"/>
      <c r="B27" s="175" t="s">
        <v>46</v>
      </c>
      <c r="C27" s="175"/>
      <c r="D27" s="179">
        <f>D26+D25</f>
        <v>0</v>
      </c>
    </row>
    <row r="28" spans="1:4" x14ac:dyDescent="0.25">
      <c r="A28" s="176"/>
      <c r="B28" s="175" t="s">
        <v>106</v>
      </c>
      <c r="C28" s="175"/>
      <c r="D28" s="179">
        <f>D27*0.18</f>
        <v>0</v>
      </c>
    </row>
    <row r="29" spans="1:4" x14ac:dyDescent="0.25">
      <c r="A29" s="176"/>
      <c r="B29" s="175" t="s">
        <v>47</v>
      </c>
      <c r="C29" s="175"/>
      <c r="D29" s="179">
        <f>D28+D27</f>
        <v>0</v>
      </c>
    </row>
    <row r="32" spans="1:4" x14ac:dyDescent="0.25">
      <c r="B32" s="173" t="s">
        <v>234</v>
      </c>
    </row>
    <row r="33" spans="2:2" x14ac:dyDescent="0.25">
      <c r="B33" s="173" t="s">
        <v>235</v>
      </c>
    </row>
  </sheetData>
  <mergeCells count="2">
    <mergeCell ref="A2:D2"/>
    <mergeCell ref="A3:D3"/>
  </mergeCells>
  <pageMargins left="0.27" right="0.2" top="0.33" bottom="0.25" header="0.24" footer="0.21"/>
  <pageSetup paperSize="9" scale="99" orientation="portrait" horizontalDpi="300" verticalDpi="300" r:id="rId1"/>
  <ignoredErrors>
    <ignoredError sqref="D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Zeros="0" view="pageBreakPreview" topLeftCell="B1" zoomScale="115" zoomScaleNormal="100" zoomScaleSheetLayoutView="115" workbookViewId="0">
      <selection activeCell="I10" sqref="I10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'პარკინგის შესასვლელი'!A2:M3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კრებსითი!B13</f>
        <v>პარკინგზე შლაგბაუმის ფეხის სამონტაჟო სამუშაოები (ნახაზი#5)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32.25" customHeight="1" x14ac:dyDescent="0.3">
      <c r="A8" s="124">
        <v>1</v>
      </c>
      <c r="B8" s="118" t="s">
        <v>69</v>
      </c>
      <c r="C8" s="127" t="s">
        <v>73</v>
      </c>
      <c r="D8" s="118" t="s">
        <v>51</v>
      </c>
      <c r="E8" s="119"/>
      <c r="F8" s="120">
        <v>0.9</v>
      </c>
      <c r="G8" s="12"/>
      <c r="H8" s="12"/>
      <c r="I8" s="12"/>
      <c r="J8" s="12"/>
      <c r="K8" s="12"/>
      <c r="L8" s="12"/>
      <c r="M8" s="12"/>
    </row>
    <row r="9" spans="1:13" s="90" customFormat="1" ht="31.5" x14ac:dyDescent="0.3">
      <c r="A9" s="133"/>
      <c r="B9" s="130">
        <v>0.47599999999999998</v>
      </c>
      <c r="C9" s="127" t="s">
        <v>3</v>
      </c>
      <c r="D9" s="118" t="s">
        <v>60</v>
      </c>
      <c r="E9" s="120">
        <v>1</v>
      </c>
      <c r="F9" s="120">
        <f>F$8*E9</f>
        <v>0.9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20">
        <f>F$8*E10</f>
        <v>3.0330000000000003E-2</v>
      </c>
      <c r="G10" s="119"/>
      <c r="H10" s="119"/>
      <c r="I10" s="119"/>
      <c r="J10" s="119"/>
      <c r="K10" s="119"/>
      <c r="L10" s="119"/>
      <c r="M10" s="119"/>
    </row>
    <row r="11" spans="1:13" s="126" customFormat="1" ht="15.75" x14ac:dyDescent="0.25">
      <c r="A11" s="124"/>
      <c r="B11" s="118"/>
      <c r="C11" s="128" t="s">
        <v>81</v>
      </c>
      <c r="D11" s="118" t="s">
        <v>53</v>
      </c>
      <c r="E11" s="119" t="s">
        <v>59</v>
      </c>
      <c r="F11" s="120">
        <v>0.9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8" t="s">
        <v>82</v>
      </c>
      <c r="D12" s="118" t="s">
        <v>77</v>
      </c>
      <c r="E12" s="119" t="s">
        <v>59</v>
      </c>
      <c r="F12" s="120">
        <f>0.045</f>
        <v>4.4999999999999998E-2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24"/>
      <c r="B13" s="118"/>
      <c r="C13" s="127" t="s">
        <v>58</v>
      </c>
      <c r="D13" s="125" t="s">
        <v>25</v>
      </c>
      <c r="E13" s="119" t="s">
        <v>59</v>
      </c>
      <c r="F13" s="120">
        <v>4</v>
      </c>
      <c r="G13" s="119"/>
      <c r="H13" s="119"/>
      <c r="I13" s="119"/>
      <c r="J13" s="119"/>
      <c r="K13" s="119"/>
      <c r="L13" s="119"/>
      <c r="M13" s="119"/>
    </row>
    <row r="14" spans="1:13" s="126" customFormat="1" ht="15.75" x14ac:dyDescent="0.25">
      <c r="A14" s="124"/>
      <c r="B14" s="118"/>
      <c r="C14" s="127" t="s">
        <v>15</v>
      </c>
      <c r="D14" s="118" t="s">
        <v>16</v>
      </c>
      <c r="E14" s="119" t="s">
        <v>59</v>
      </c>
      <c r="F14" s="120">
        <v>0.1</v>
      </c>
      <c r="G14" s="119"/>
      <c r="H14" s="119"/>
      <c r="I14" s="119"/>
      <c r="J14" s="119"/>
      <c r="K14" s="119"/>
      <c r="L14" s="119"/>
      <c r="M14" s="119"/>
    </row>
    <row r="15" spans="1:13" s="92" customFormat="1" ht="15.75" x14ac:dyDescent="0.25">
      <c r="A15" s="124"/>
      <c r="B15" s="117"/>
      <c r="C15" s="116" t="s">
        <v>49</v>
      </c>
      <c r="D15" s="118" t="s">
        <v>52</v>
      </c>
      <c r="E15" s="119">
        <v>2.5999999999999999E-2</v>
      </c>
      <c r="F15" s="120">
        <f>F$8*E15</f>
        <v>2.3400000000000001E-2</v>
      </c>
      <c r="G15" s="119"/>
      <c r="H15" s="119"/>
      <c r="I15" s="119"/>
      <c r="J15" s="119"/>
      <c r="K15" s="119"/>
      <c r="L15" s="119"/>
      <c r="M15" s="119"/>
    </row>
    <row r="16" spans="1:13" s="25" customFormat="1" ht="31.5" x14ac:dyDescent="0.2">
      <c r="A16" s="135">
        <v>2</v>
      </c>
      <c r="B16" s="34" t="s">
        <v>23</v>
      </c>
      <c r="C16" s="132" t="s">
        <v>68</v>
      </c>
      <c r="D16" s="34" t="s">
        <v>13</v>
      </c>
      <c r="E16" s="36"/>
      <c r="F16" s="37">
        <f>0.1/0.25</f>
        <v>0.4</v>
      </c>
      <c r="G16" s="119"/>
      <c r="H16" s="119"/>
      <c r="I16" s="119"/>
      <c r="J16" s="119"/>
      <c r="K16" s="119"/>
      <c r="L16" s="119"/>
      <c r="M16" s="119"/>
    </row>
    <row r="17" spans="1:13" s="25" customFormat="1" ht="15.75" x14ac:dyDescent="0.3">
      <c r="A17" s="59"/>
      <c r="B17" s="59"/>
      <c r="C17" s="128" t="s">
        <v>11</v>
      </c>
      <c r="D17" s="18" t="s">
        <v>4</v>
      </c>
      <c r="E17" s="14">
        <v>0.68</v>
      </c>
      <c r="F17" s="24">
        <f>F$16*E17</f>
        <v>0.27200000000000002</v>
      </c>
      <c r="G17" s="119"/>
      <c r="H17" s="119"/>
      <c r="I17" s="119"/>
      <c r="J17" s="119"/>
      <c r="K17" s="119"/>
      <c r="L17" s="119"/>
      <c r="M17" s="119"/>
    </row>
    <row r="18" spans="1:13" s="25" customFormat="1" ht="15.75" x14ac:dyDescent="0.3">
      <c r="A18" s="59"/>
      <c r="B18" s="59"/>
      <c r="C18" s="128" t="s">
        <v>9</v>
      </c>
      <c r="D18" s="18" t="s">
        <v>0</v>
      </c>
      <c r="E18" s="24">
        <f>0.03/100</f>
        <v>2.9999999999999997E-4</v>
      </c>
      <c r="F18" s="24">
        <f>F$16*E18</f>
        <v>1.1999999999999999E-4</v>
      </c>
      <c r="G18" s="119"/>
      <c r="H18" s="119"/>
      <c r="I18" s="119"/>
      <c r="J18" s="119"/>
      <c r="K18" s="119"/>
      <c r="L18" s="120"/>
      <c r="M18" s="119"/>
    </row>
    <row r="19" spans="1:13" s="25" customFormat="1" ht="15.75" x14ac:dyDescent="0.3">
      <c r="A19" s="59"/>
      <c r="B19" s="59"/>
      <c r="C19" s="128" t="s">
        <v>24</v>
      </c>
      <c r="D19" s="18" t="s">
        <v>17</v>
      </c>
      <c r="E19" s="24">
        <f>(24.6+2.7)/100</f>
        <v>0.27300000000000002</v>
      </c>
      <c r="F19" s="24">
        <f>F$16*E19</f>
        <v>0.10920000000000002</v>
      </c>
      <c r="G19" s="119"/>
      <c r="H19" s="119"/>
      <c r="I19" s="119"/>
      <c r="J19" s="119"/>
      <c r="K19" s="119"/>
      <c r="L19" s="119"/>
      <c r="M19" s="119"/>
    </row>
    <row r="20" spans="1:13" s="1" customFormat="1" ht="16.5" x14ac:dyDescent="0.3">
      <c r="A20" s="59"/>
      <c r="B20" s="59"/>
      <c r="C20" s="128" t="s">
        <v>10</v>
      </c>
      <c r="D20" s="18" t="s">
        <v>0</v>
      </c>
      <c r="E20" s="24">
        <f>0.19/100</f>
        <v>1.9E-3</v>
      </c>
      <c r="F20" s="24">
        <f>F$16*E20</f>
        <v>7.6000000000000004E-4</v>
      </c>
      <c r="G20" s="119"/>
      <c r="H20" s="119"/>
      <c r="I20" s="119"/>
      <c r="J20" s="119"/>
      <c r="K20" s="119"/>
      <c r="L20" s="120"/>
      <c r="M20" s="119"/>
    </row>
    <row r="21" spans="1:13" s="94" customFormat="1" ht="15.75" customHeight="1" x14ac:dyDescent="0.3">
      <c r="A21" s="52"/>
      <c r="B21" s="52"/>
      <c r="C21" s="52" t="s">
        <v>1</v>
      </c>
      <c r="D21" s="53"/>
      <c r="E21" s="120"/>
      <c r="F21" s="61"/>
      <c r="G21" s="121"/>
      <c r="H21" s="119"/>
      <c r="I21" s="119"/>
      <c r="J21" s="119"/>
      <c r="K21" s="122"/>
      <c r="L21" s="119"/>
      <c r="M21" s="119"/>
    </row>
    <row r="22" spans="1:13" s="94" customFormat="1" ht="15.75" customHeight="1" x14ac:dyDescent="0.3">
      <c r="A22" s="52"/>
      <c r="B22" s="52"/>
      <c r="C22" s="52" t="s">
        <v>34</v>
      </c>
      <c r="D22" s="113">
        <v>0.1</v>
      </c>
      <c r="E22" s="120"/>
      <c r="F22" s="61"/>
      <c r="G22" s="121"/>
      <c r="H22" s="123"/>
      <c r="I22" s="119"/>
      <c r="J22" s="105"/>
      <c r="K22" s="122"/>
      <c r="L22" s="106"/>
      <c r="M22" s="119"/>
    </row>
    <row r="23" spans="1:13" s="94" customFormat="1" ht="15.75" customHeight="1" x14ac:dyDescent="0.3">
      <c r="A23" s="52"/>
      <c r="B23" s="52"/>
      <c r="C23" s="52" t="s">
        <v>1</v>
      </c>
      <c r="D23" s="113"/>
      <c r="E23" s="120"/>
      <c r="F23" s="61"/>
      <c r="G23" s="121"/>
      <c r="H23" s="123"/>
      <c r="I23" s="119"/>
      <c r="J23" s="105"/>
      <c r="K23" s="122"/>
      <c r="L23" s="106"/>
      <c r="M23" s="119"/>
    </row>
    <row r="24" spans="1:13" s="94" customFormat="1" ht="15.75" customHeight="1" x14ac:dyDescent="0.3">
      <c r="A24" s="52"/>
      <c r="B24" s="52"/>
      <c r="C24" s="52" t="s">
        <v>35</v>
      </c>
      <c r="D24" s="113">
        <v>0.08</v>
      </c>
      <c r="E24" s="120"/>
      <c r="F24" s="61"/>
      <c r="G24" s="121"/>
      <c r="H24" s="123"/>
      <c r="I24" s="119"/>
      <c r="J24" s="105"/>
      <c r="K24" s="122"/>
      <c r="L24" s="106"/>
      <c r="M24" s="119"/>
    </row>
    <row r="25" spans="1:13" s="94" customFormat="1" ht="15.75" customHeight="1" x14ac:dyDescent="0.3">
      <c r="A25" s="52"/>
      <c r="B25" s="52"/>
      <c r="C25" s="52" t="s">
        <v>1</v>
      </c>
      <c r="D25" s="113"/>
      <c r="E25" s="120"/>
      <c r="F25" s="61"/>
      <c r="G25" s="121"/>
      <c r="H25" s="123"/>
      <c r="I25" s="119"/>
      <c r="J25" s="105"/>
      <c r="K25" s="122"/>
      <c r="L25" s="106"/>
      <c r="M25" s="119"/>
    </row>
    <row r="28" spans="1:13" s="173" customFormat="1" ht="14.25" x14ac:dyDescent="0.25">
      <c r="A28" s="172"/>
      <c r="B28" s="173" t="s">
        <v>176</v>
      </c>
      <c r="D28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19685039370078741" right="0.19685039370078741" top="0.23622047244094491" bottom="0.23622047244094491" header="0.19685039370078741" footer="0.19685039370078741"/>
  <pageSetup paperSize="9" scale="9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ht="27" customHeight="1" x14ac:dyDescent="0.25">
      <c r="A2" s="253" t="str">
        <f>'შლაგბაუმის ფეხი'!A2:M3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x14ac:dyDescent="0.25">
      <c r="A3" s="248" t="str">
        <f>კრებსითი!B14</f>
        <v>პარკინგზე შლაგბაუმის კამერის სამაგრი ბოძის მონტაჟის სამუშაოები (ნახაზი#6)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8" customHeight="1" x14ac:dyDescent="0.25">
      <c r="A4" s="249" t="s">
        <v>2</v>
      </c>
      <c r="B4" s="249" t="s">
        <v>37</v>
      </c>
      <c r="C4" s="249" t="s">
        <v>36</v>
      </c>
      <c r="D4" s="249" t="s">
        <v>41</v>
      </c>
      <c r="E4" s="249"/>
      <c r="F4" s="249"/>
      <c r="G4" s="243" t="s">
        <v>42</v>
      </c>
      <c r="H4" s="243"/>
      <c r="I4" s="243" t="s">
        <v>43</v>
      </c>
      <c r="J4" s="243"/>
      <c r="K4" s="243" t="s">
        <v>44</v>
      </c>
      <c r="L4" s="243"/>
      <c r="M4" s="243" t="s">
        <v>47</v>
      </c>
    </row>
    <row r="5" spans="1:13" ht="30" x14ac:dyDescent="0.25">
      <c r="A5" s="249"/>
      <c r="B5" s="249"/>
      <c r="C5" s="249"/>
      <c r="D5" s="114" t="s">
        <v>39</v>
      </c>
      <c r="E5" s="114" t="s">
        <v>40</v>
      </c>
      <c r="F5" s="115" t="s">
        <v>38</v>
      </c>
      <c r="G5" s="115" t="s">
        <v>45</v>
      </c>
      <c r="H5" s="115" t="s">
        <v>46</v>
      </c>
      <c r="I5" s="115" t="s">
        <v>45</v>
      </c>
      <c r="J5" s="115" t="s">
        <v>46</v>
      </c>
      <c r="K5" s="115" t="s">
        <v>45</v>
      </c>
      <c r="L5" s="115" t="s">
        <v>46</v>
      </c>
      <c r="M5" s="243"/>
    </row>
    <row r="6" spans="1:13" s="90" customFormat="1" ht="15.75" x14ac:dyDescent="0.3">
      <c r="A6" s="88">
        <v>1</v>
      </c>
      <c r="B6" s="89">
        <v>2</v>
      </c>
      <c r="C6" s="88">
        <v>3</v>
      </c>
      <c r="D6" s="89">
        <v>4</v>
      </c>
      <c r="E6" s="88">
        <v>5</v>
      </c>
      <c r="F6" s="89">
        <v>6</v>
      </c>
      <c r="G6" s="88">
        <v>7</v>
      </c>
      <c r="H6" s="89">
        <v>8</v>
      </c>
      <c r="I6" s="88">
        <v>9</v>
      </c>
      <c r="J6" s="89">
        <v>10</v>
      </c>
      <c r="K6" s="88">
        <v>11</v>
      </c>
      <c r="L6" s="89">
        <v>12</v>
      </c>
      <c r="M6" s="88">
        <v>13</v>
      </c>
    </row>
    <row r="7" spans="1:13" s="10" customFormat="1" ht="38.25" customHeight="1" x14ac:dyDescent="0.25">
      <c r="A7" s="4">
        <v>1</v>
      </c>
      <c r="B7" s="62" t="s">
        <v>26</v>
      </c>
      <c r="C7" s="137" t="s">
        <v>74</v>
      </c>
      <c r="D7" s="5" t="s">
        <v>5</v>
      </c>
      <c r="E7" s="6"/>
      <c r="F7" s="6">
        <f>0.4*0.4*0.8*1</f>
        <v>0.12800000000000003</v>
      </c>
      <c r="G7" s="7"/>
      <c r="H7" s="7"/>
      <c r="I7" s="7"/>
      <c r="J7" s="7"/>
      <c r="K7" s="8"/>
      <c r="L7" s="9"/>
      <c r="M7" s="9"/>
    </row>
    <row r="8" spans="1:13" s="15" customFormat="1" ht="15.75" x14ac:dyDescent="0.3">
      <c r="A8" s="11"/>
      <c r="B8" s="11"/>
      <c r="C8" s="138" t="s">
        <v>3</v>
      </c>
      <c r="D8" s="11" t="s">
        <v>4</v>
      </c>
      <c r="E8" s="12">
        <v>3.88</v>
      </c>
      <c r="F8" s="12">
        <f>E8*F7</f>
        <v>0.49664000000000008</v>
      </c>
      <c r="G8" s="12"/>
      <c r="H8" s="12"/>
      <c r="I8" s="12"/>
      <c r="J8" s="12"/>
      <c r="K8" s="12"/>
      <c r="L8" s="12"/>
      <c r="M8" s="12"/>
    </row>
    <row r="9" spans="1:13" s="10" customFormat="1" ht="38.25" customHeight="1" x14ac:dyDescent="0.2">
      <c r="A9" s="5">
        <v>2</v>
      </c>
      <c r="B9" s="5"/>
      <c r="C9" s="137" t="s">
        <v>6</v>
      </c>
      <c r="D9" s="5" t="s">
        <v>5</v>
      </c>
      <c r="E9" s="16"/>
      <c r="F9" s="16">
        <f>F7*1.25</f>
        <v>0.16000000000000003</v>
      </c>
      <c r="G9" s="12"/>
      <c r="H9" s="12"/>
      <c r="I9" s="12"/>
      <c r="J9" s="12"/>
      <c r="K9" s="12"/>
      <c r="L9" s="12"/>
      <c r="M9" s="12"/>
    </row>
    <row r="10" spans="1:13" s="15" customFormat="1" ht="15.75" x14ac:dyDescent="0.3">
      <c r="A10" s="11"/>
      <c r="B10" s="11"/>
      <c r="C10" s="138" t="s">
        <v>3</v>
      </c>
      <c r="D10" s="11" t="s">
        <v>4</v>
      </c>
      <c r="E10" s="17">
        <v>0.87</v>
      </c>
      <c r="F10" s="17">
        <f>F9*E10</f>
        <v>0.13920000000000002</v>
      </c>
      <c r="G10" s="12"/>
      <c r="H10" s="12"/>
      <c r="I10" s="12"/>
      <c r="J10" s="12"/>
      <c r="K10" s="12"/>
      <c r="L10" s="12"/>
      <c r="M10" s="12"/>
    </row>
    <row r="11" spans="1:13" s="2" customFormat="1" ht="38.25" customHeight="1" x14ac:dyDescent="0.2">
      <c r="A11" s="19">
        <v>3</v>
      </c>
      <c r="B11" s="20"/>
      <c r="C11" s="139" t="s">
        <v>7</v>
      </c>
      <c r="D11" s="19" t="s">
        <v>8</v>
      </c>
      <c r="E11" s="21"/>
      <c r="F11" s="21">
        <f>F9*2</f>
        <v>0.32000000000000006</v>
      </c>
      <c r="G11" s="12"/>
      <c r="H11" s="12"/>
      <c r="I11" s="12"/>
      <c r="J11" s="12"/>
      <c r="K11" s="140"/>
      <c r="L11" s="140"/>
      <c r="M11" s="12"/>
    </row>
    <row r="12" spans="1:13" s="68" customFormat="1" ht="38.25" customHeight="1" x14ac:dyDescent="0.3">
      <c r="A12" s="64">
        <v>4</v>
      </c>
      <c r="B12" s="64" t="s">
        <v>12</v>
      </c>
      <c r="C12" s="141" t="s">
        <v>27</v>
      </c>
      <c r="D12" s="64" t="s">
        <v>5</v>
      </c>
      <c r="E12" s="65"/>
      <c r="F12" s="66">
        <v>0.06</v>
      </c>
      <c r="G12" s="67"/>
      <c r="H12" s="67"/>
      <c r="I12" s="67"/>
      <c r="J12" s="67"/>
      <c r="K12" s="67"/>
      <c r="L12" s="67"/>
      <c r="M12" s="12"/>
    </row>
    <row r="13" spans="1:13" s="68" customFormat="1" ht="15.75" x14ac:dyDescent="0.3">
      <c r="A13" s="64"/>
      <c r="B13" s="69" t="s">
        <v>60</v>
      </c>
      <c r="C13" s="141" t="s">
        <v>3</v>
      </c>
      <c r="D13" s="64" t="s">
        <v>79</v>
      </c>
      <c r="E13" s="65">
        <v>1</v>
      </c>
      <c r="F13" s="70">
        <f>F12*E13</f>
        <v>0.06</v>
      </c>
      <c r="G13" s="63"/>
      <c r="H13" s="71"/>
      <c r="I13" s="72"/>
      <c r="J13" s="72"/>
      <c r="K13" s="72"/>
      <c r="L13" s="72"/>
      <c r="M13" s="12"/>
    </row>
    <row r="14" spans="1:13" s="68" customFormat="1" ht="15.75" x14ac:dyDescent="0.3">
      <c r="A14" s="64"/>
      <c r="B14" s="64"/>
      <c r="C14" s="141" t="s">
        <v>9</v>
      </c>
      <c r="D14" s="64" t="s">
        <v>0</v>
      </c>
      <c r="E14" s="65">
        <v>0.28299999999999997</v>
      </c>
      <c r="F14" s="70">
        <f>F12*E14</f>
        <v>1.6979999999999999E-2</v>
      </c>
      <c r="G14" s="67"/>
      <c r="H14" s="72"/>
      <c r="I14" s="72"/>
      <c r="J14" s="72"/>
      <c r="K14" s="73"/>
      <c r="L14" s="71"/>
      <c r="M14" s="12"/>
    </row>
    <row r="15" spans="1:13" s="68" customFormat="1" ht="15.75" x14ac:dyDescent="0.3">
      <c r="A15" s="64"/>
      <c r="B15" s="74"/>
      <c r="C15" s="141" t="s">
        <v>78</v>
      </c>
      <c r="D15" s="64" t="s">
        <v>5</v>
      </c>
      <c r="E15" s="65">
        <v>1.02</v>
      </c>
      <c r="F15" s="70">
        <f>F12*E15</f>
        <v>6.1199999999999997E-2</v>
      </c>
      <c r="G15" s="67"/>
      <c r="H15" s="72"/>
      <c r="I15" s="71"/>
      <c r="J15" s="71"/>
      <c r="K15" s="72"/>
      <c r="L15" s="72"/>
      <c r="M15" s="12"/>
    </row>
    <row r="16" spans="1:13" s="68" customFormat="1" ht="15.75" x14ac:dyDescent="0.3">
      <c r="A16" s="64"/>
      <c r="B16" s="64"/>
      <c r="C16" s="141" t="s">
        <v>10</v>
      </c>
      <c r="D16" s="64" t="s">
        <v>0</v>
      </c>
      <c r="E16" s="65">
        <v>0.62</v>
      </c>
      <c r="F16" s="70">
        <f>F12*E16</f>
        <v>3.7199999999999997E-2</v>
      </c>
      <c r="G16" s="75"/>
      <c r="H16" s="72"/>
      <c r="I16" s="71"/>
      <c r="J16" s="71"/>
      <c r="K16" s="72"/>
      <c r="L16" s="72"/>
      <c r="M16" s="12"/>
    </row>
    <row r="17" spans="1:13" s="51" customFormat="1" ht="38.25" customHeight="1" x14ac:dyDescent="0.3">
      <c r="A17" s="124">
        <v>5</v>
      </c>
      <c r="B17" s="118" t="s">
        <v>69</v>
      </c>
      <c r="C17" s="127" t="s">
        <v>73</v>
      </c>
      <c r="D17" s="118" t="s">
        <v>53</v>
      </c>
      <c r="E17" s="119"/>
      <c r="F17" s="119">
        <f>SUM(F20:F20)</f>
        <v>3</v>
      </c>
      <c r="G17" s="12"/>
      <c r="H17" s="12"/>
      <c r="I17" s="12"/>
      <c r="J17" s="12"/>
      <c r="K17" s="12"/>
      <c r="L17" s="12"/>
      <c r="M17" s="12"/>
    </row>
    <row r="18" spans="1:13" s="90" customFormat="1" ht="31.5" x14ac:dyDescent="0.3">
      <c r="A18" s="133"/>
      <c r="B18" s="130">
        <v>0.47599999999999998</v>
      </c>
      <c r="C18" s="127" t="s">
        <v>3</v>
      </c>
      <c r="D18" s="118" t="s">
        <v>60</v>
      </c>
      <c r="E18" s="120">
        <v>1</v>
      </c>
      <c r="F18" s="119">
        <f>F$17*E18</f>
        <v>3</v>
      </c>
      <c r="G18" s="119"/>
      <c r="H18" s="119"/>
      <c r="I18" s="119"/>
      <c r="J18" s="119"/>
      <c r="K18" s="119"/>
      <c r="L18" s="119"/>
      <c r="M18" s="12"/>
    </row>
    <row r="19" spans="1:13" s="90" customFormat="1" ht="15.75" x14ac:dyDescent="0.3">
      <c r="A19" s="124"/>
      <c r="B19" s="118"/>
      <c r="C19" s="127" t="s">
        <v>48</v>
      </c>
      <c r="D19" s="118" t="s">
        <v>52</v>
      </c>
      <c r="E19" s="119">
        <v>3.3700000000000001E-2</v>
      </c>
      <c r="F19" s="119">
        <f>F$17*E19</f>
        <v>0.1011</v>
      </c>
      <c r="G19" s="119"/>
      <c r="H19" s="119"/>
      <c r="I19" s="119"/>
      <c r="J19" s="119"/>
      <c r="K19" s="119"/>
      <c r="L19" s="119"/>
      <c r="M19" s="12"/>
    </row>
    <row r="20" spans="1:13" s="126" customFormat="1" ht="31.5" x14ac:dyDescent="0.2">
      <c r="A20" s="124"/>
      <c r="B20" s="118"/>
      <c r="C20" s="128" t="s">
        <v>75</v>
      </c>
      <c r="D20" s="118" t="s">
        <v>53</v>
      </c>
      <c r="E20" s="119" t="s">
        <v>59</v>
      </c>
      <c r="F20" s="119">
        <v>3</v>
      </c>
      <c r="G20" s="119"/>
      <c r="H20" s="119"/>
      <c r="I20" s="119"/>
      <c r="J20" s="119"/>
      <c r="K20" s="119"/>
      <c r="L20" s="119"/>
      <c r="M20" s="12"/>
    </row>
    <row r="21" spans="1:13" s="126" customFormat="1" ht="15.75" x14ac:dyDescent="0.2">
      <c r="A21" s="124"/>
      <c r="B21" s="118"/>
      <c r="C21" s="128" t="s">
        <v>76</v>
      </c>
      <c r="D21" s="118" t="s">
        <v>77</v>
      </c>
      <c r="E21" s="119" t="s">
        <v>59</v>
      </c>
      <c r="F21" s="120">
        <f>0.0225</f>
        <v>2.2499999999999999E-2</v>
      </c>
      <c r="G21" s="119"/>
      <c r="H21" s="119"/>
      <c r="I21" s="119"/>
      <c r="J21" s="119"/>
      <c r="K21" s="119"/>
      <c r="L21" s="119"/>
      <c r="M21" s="12"/>
    </row>
    <row r="22" spans="1:13" s="126" customFormat="1" ht="15.75" x14ac:dyDescent="0.2">
      <c r="A22" s="124"/>
      <c r="B22" s="118"/>
      <c r="C22" s="127" t="s">
        <v>15</v>
      </c>
      <c r="D22" s="118" t="s">
        <v>16</v>
      </c>
      <c r="E22" s="119" t="s">
        <v>59</v>
      </c>
      <c r="F22" s="119">
        <v>0.1</v>
      </c>
      <c r="G22" s="119"/>
      <c r="H22" s="119"/>
      <c r="I22" s="119"/>
      <c r="J22" s="119"/>
      <c r="K22" s="119"/>
      <c r="L22" s="119"/>
      <c r="M22" s="12"/>
    </row>
    <row r="23" spans="1:13" s="92" customFormat="1" ht="15.75" x14ac:dyDescent="0.2">
      <c r="A23" s="124"/>
      <c r="B23" s="117"/>
      <c r="C23" s="116" t="s">
        <v>49</v>
      </c>
      <c r="D23" s="118" t="s">
        <v>52</v>
      </c>
      <c r="E23" s="119">
        <v>2.5999999999999999E-2</v>
      </c>
      <c r="F23" s="119">
        <f>F$17*E23</f>
        <v>7.8E-2</v>
      </c>
      <c r="G23" s="119"/>
      <c r="H23" s="119"/>
      <c r="I23" s="119"/>
      <c r="J23" s="119"/>
      <c r="K23" s="119"/>
      <c r="L23" s="119"/>
      <c r="M23" s="12"/>
    </row>
    <row r="24" spans="1:13" s="25" customFormat="1" ht="38.25" customHeight="1" x14ac:dyDescent="0.2">
      <c r="A24" s="135">
        <v>6</v>
      </c>
      <c r="B24" s="34" t="s">
        <v>23</v>
      </c>
      <c r="C24" s="132" t="s">
        <v>68</v>
      </c>
      <c r="D24" s="34" t="s">
        <v>13</v>
      </c>
      <c r="E24" s="36"/>
      <c r="F24" s="37">
        <f>0.4/0.25</f>
        <v>1.6</v>
      </c>
      <c r="G24" s="119"/>
      <c r="H24" s="119"/>
      <c r="I24" s="119"/>
      <c r="J24" s="119"/>
      <c r="K24" s="119"/>
      <c r="L24" s="119"/>
      <c r="M24" s="12"/>
    </row>
    <row r="25" spans="1:13" s="25" customFormat="1" ht="15.75" x14ac:dyDescent="0.3">
      <c r="A25" s="59"/>
      <c r="B25" s="59"/>
      <c r="C25" s="128" t="s">
        <v>11</v>
      </c>
      <c r="D25" s="18" t="s">
        <v>4</v>
      </c>
      <c r="E25" s="14">
        <v>0.68</v>
      </c>
      <c r="F25" s="24">
        <f>F$24*E25</f>
        <v>1.0880000000000001</v>
      </c>
      <c r="G25" s="119"/>
      <c r="H25" s="119"/>
      <c r="I25" s="119"/>
      <c r="J25" s="119"/>
      <c r="K25" s="119"/>
      <c r="L25" s="119"/>
      <c r="M25" s="12"/>
    </row>
    <row r="26" spans="1:13" s="25" customFormat="1" ht="15.75" x14ac:dyDescent="0.3">
      <c r="A26" s="59"/>
      <c r="B26" s="59"/>
      <c r="C26" s="128" t="s">
        <v>9</v>
      </c>
      <c r="D26" s="18" t="s">
        <v>0</v>
      </c>
      <c r="E26" s="24">
        <f>0.03/100</f>
        <v>2.9999999999999997E-4</v>
      </c>
      <c r="F26" s="24">
        <f>F$24*E26</f>
        <v>4.7999999999999996E-4</v>
      </c>
      <c r="G26" s="119"/>
      <c r="H26" s="119"/>
      <c r="I26" s="119"/>
      <c r="J26" s="119"/>
      <c r="K26" s="119"/>
      <c r="L26" s="120"/>
      <c r="M26" s="12"/>
    </row>
    <row r="27" spans="1:13" s="25" customFormat="1" ht="15.75" x14ac:dyDescent="0.3">
      <c r="A27" s="59"/>
      <c r="B27" s="59"/>
      <c r="C27" s="128" t="s">
        <v>24</v>
      </c>
      <c r="D27" s="18" t="s">
        <v>17</v>
      </c>
      <c r="E27" s="24">
        <f>(24.6+2.7)/100</f>
        <v>0.27300000000000002</v>
      </c>
      <c r="F27" s="24">
        <f>F$24*E27</f>
        <v>0.43680000000000008</v>
      </c>
      <c r="G27" s="119"/>
      <c r="H27" s="119"/>
      <c r="I27" s="119"/>
      <c r="J27" s="119"/>
      <c r="K27" s="119"/>
      <c r="L27" s="119"/>
      <c r="M27" s="12"/>
    </row>
    <row r="28" spans="1:13" s="1" customFormat="1" ht="16.5" x14ac:dyDescent="0.3">
      <c r="A28" s="59"/>
      <c r="B28" s="59"/>
      <c r="C28" s="128" t="s">
        <v>10</v>
      </c>
      <c r="D28" s="18" t="s">
        <v>0</v>
      </c>
      <c r="E28" s="24">
        <f>0.19/100</f>
        <v>1.9E-3</v>
      </c>
      <c r="F28" s="24">
        <f>F$24*E28</f>
        <v>3.0400000000000002E-3</v>
      </c>
      <c r="G28" s="119"/>
      <c r="H28" s="119"/>
      <c r="I28" s="119"/>
      <c r="J28" s="119"/>
      <c r="K28" s="119"/>
      <c r="L28" s="120"/>
      <c r="M28" s="12"/>
    </row>
    <row r="29" spans="1:13" s="94" customFormat="1" ht="15.75" customHeight="1" x14ac:dyDescent="0.3">
      <c r="A29" s="52"/>
      <c r="B29" s="52"/>
      <c r="C29" s="52" t="s">
        <v>1</v>
      </c>
      <c r="D29" s="53"/>
      <c r="E29" s="120"/>
      <c r="F29" s="61"/>
      <c r="G29" s="121"/>
      <c r="H29" s="119"/>
      <c r="I29" s="119"/>
      <c r="J29" s="119"/>
      <c r="K29" s="122"/>
      <c r="L29" s="119"/>
      <c r="M29" s="119"/>
    </row>
    <row r="30" spans="1:13" s="94" customFormat="1" ht="15.75" customHeight="1" x14ac:dyDescent="0.3">
      <c r="A30" s="52"/>
      <c r="B30" s="52"/>
      <c r="C30" s="52" t="s">
        <v>34</v>
      </c>
      <c r="D30" s="113">
        <v>0.1</v>
      </c>
      <c r="E30" s="120"/>
      <c r="F30" s="61"/>
      <c r="G30" s="121"/>
      <c r="H30" s="123"/>
      <c r="I30" s="119"/>
      <c r="J30" s="105"/>
      <c r="K30" s="122"/>
      <c r="L30" s="106"/>
      <c r="M30" s="119"/>
    </row>
    <row r="31" spans="1:13" s="94" customFormat="1" ht="15.75" customHeight="1" x14ac:dyDescent="0.3">
      <c r="A31" s="52"/>
      <c r="B31" s="52"/>
      <c r="C31" s="52" t="s">
        <v>1</v>
      </c>
      <c r="D31" s="113"/>
      <c r="E31" s="120"/>
      <c r="F31" s="61"/>
      <c r="G31" s="121"/>
      <c r="H31" s="123"/>
      <c r="I31" s="119"/>
      <c r="J31" s="105"/>
      <c r="K31" s="122"/>
      <c r="L31" s="106"/>
      <c r="M31" s="119"/>
    </row>
    <row r="32" spans="1:13" s="94" customFormat="1" ht="15.75" customHeight="1" x14ac:dyDescent="0.3">
      <c r="A32" s="52"/>
      <c r="B32" s="52"/>
      <c r="C32" s="52" t="s">
        <v>35</v>
      </c>
      <c r="D32" s="113">
        <v>0.08</v>
      </c>
      <c r="E32" s="120"/>
      <c r="F32" s="61"/>
      <c r="G32" s="121"/>
      <c r="H32" s="123"/>
      <c r="I32" s="119"/>
      <c r="J32" s="105"/>
      <c r="K32" s="122"/>
      <c r="L32" s="106"/>
      <c r="M32" s="119"/>
    </row>
    <row r="33" spans="1:13" s="94" customFormat="1" ht="15.75" customHeight="1" x14ac:dyDescent="0.3">
      <c r="A33" s="52"/>
      <c r="B33" s="52"/>
      <c r="C33" s="52" t="s">
        <v>1</v>
      </c>
      <c r="D33" s="113"/>
      <c r="E33" s="120"/>
      <c r="F33" s="61"/>
      <c r="G33" s="121"/>
      <c r="H33" s="123"/>
      <c r="I33" s="119"/>
      <c r="J33" s="105"/>
      <c r="K33" s="122"/>
      <c r="L33" s="106"/>
      <c r="M33" s="119"/>
    </row>
    <row r="36" spans="1:13" s="173" customFormat="1" ht="14.25" x14ac:dyDescent="0.25">
      <c r="A36" s="172"/>
      <c r="D36" s="172"/>
    </row>
  </sheetData>
  <mergeCells count="11">
    <mergeCell ref="L1:M1"/>
    <mergeCell ref="A2:M2"/>
    <mergeCell ref="A3:M3"/>
    <mergeCell ref="K4:L4"/>
    <mergeCell ref="M4:M5"/>
    <mergeCell ref="A4:A5"/>
    <mergeCell ref="B4:B5"/>
    <mergeCell ref="C4:C5"/>
    <mergeCell ref="D4:F4"/>
    <mergeCell ref="G4:H4"/>
    <mergeCell ref="I4:J4"/>
  </mergeCells>
  <pageMargins left="0.19685039370078741" right="0.19685039370078741" top="0.39370078740157483" bottom="0.35433070866141736" header="0.19685039370078741" footer="0.19685039370078741"/>
  <pageSetup paperSize="9" scale="9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Zeros="0"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'კამერის სამაგრი'!A2:M2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კრებსითი!B15</f>
        <v>გათბობა გაგრილების დანადგარების განთავსების ადგილის  შემოღობვის სამუშაოები (ნახაზი#7)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10" customFormat="1" ht="38.25" customHeight="1" x14ac:dyDescent="0.25">
      <c r="A8" s="4">
        <v>2</v>
      </c>
      <c r="B8" s="62" t="s">
        <v>26</v>
      </c>
      <c r="C8" s="137" t="s">
        <v>74</v>
      </c>
      <c r="D8" s="5" t="s">
        <v>5</v>
      </c>
      <c r="E8" s="6"/>
      <c r="F8" s="6">
        <f>0.4*0.4*0.8*13</f>
        <v>1.6640000000000004</v>
      </c>
      <c r="G8" s="7"/>
      <c r="H8" s="7"/>
      <c r="I8" s="7"/>
      <c r="J8" s="7"/>
      <c r="K8" s="8"/>
      <c r="L8" s="9"/>
      <c r="M8" s="9"/>
    </row>
    <row r="9" spans="1:13" s="15" customFormat="1" ht="15.75" x14ac:dyDescent="0.3">
      <c r="A9" s="11"/>
      <c r="B9" s="11"/>
      <c r="C9" s="138" t="s">
        <v>3</v>
      </c>
      <c r="D9" s="11" t="s">
        <v>4</v>
      </c>
      <c r="E9" s="12">
        <v>3.88</v>
      </c>
      <c r="F9" s="12">
        <f>E9*F8</f>
        <v>6.4563200000000016</v>
      </c>
      <c r="G9" s="12"/>
      <c r="H9" s="12"/>
      <c r="I9" s="12"/>
      <c r="J9" s="12"/>
      <c r="K9" s="12"/>
      <c r="L9" s="12"/>
      <c r="M9" s="12"/>
    </row>
    <row r="10" spans="1:13" s="10" customFormat="1" ht="15.75" x14ac:dyDescent="0.2">
      <c r="A10" s="5">
        <v>3</v>
      </c>
      <c r="B10" s="5"/>
      <c r="C10" s="137" t="s">
        <v>6</v>
      </c>
      <c r="D10" s="5" t="s">
        <v>5</v>
      </c>
      <c r="E10" s="16"/>
      <c r="F10" s="16">
        <f>F8*1.25</f>
        <v>2.0800000000000005</v>
      </c>
      <c r="G10" s="12"/>
      <c r="H10" s="12"/>
      <c r="I10" s="12"/>
      <c r="J10" s="12"/>
      <c r="K10" s="12"/>
      <c r="L10" s="12"/>
      <c r="M10" s="12"/>
    </row>
    <row r="11" spans="1:13" s="15" customFormat="1" ht="15.75" x14ac:dyDescent="0.3">
      <c r="A11" s="11"/>
      <c r="B11" s="11"/>
      <c r="C11" s="138" t="s">
        <v>3</v>
      </c>
      <c r="D11" s="11" t="s">
        <v>4</v>
      </c>
      <c r="E11" s="17">
        <v>0.87</v>
      </c>
      <c r="F11" s="17">
        <f>F10*E11</f>
        <v>1.8096000000000005</v>
      </c>
      <c r="G11" s="12"/>
      <c r="H11" s="12"/>
      <c r="I11" s="12"/>
      <c r="J11" s="12"/>
      <c r="K11" s="12"/>
      <c r="L11" s="12"/>
      <c r="M11" s="12"/>
    </row>
    <row r="12" spans="1:13" s="2" customFormat="1" ht="15.75" x14ac:dyDescent="0.2">
      <c r="A12" s="19">
        <v>5</v>
      </c>
      <c r="B12" s="20"/>
      <c r="C12" s="139" t="s">
        <v>178</v>
      </c>
      <c r="D12" s="19" t="s">
        <v>8</v>
      </c>
      <c r="E12" s="21"/>
      <c r="F12" s="21">
        <f>F10*2</f>
        <v>4.160000000000001</v>
      </c>
      <c r="G12" s="12"/>
      <c r="H12" s="12"/>
      <c r="I12" s="12"/>
      <c r="J12" s="12"/>
      <c r="K12" s="140"/>
      <c r="L12" s="140"/>
      <c r="M12" s="12"/>
    </row>
    <row r="13" spans="1:13" s="68" customFormat="1" ht="15.75" x14ac:dyDescent="0.3">
      <c r="A13" s="64">
        <v>11</v>
      </c>
      <c r="B13" s="64" t="s">
        <v>12</v>
      </c>
      <c r="C13" s="141" t="s">
        <v>136</v>
      </c>
      <c r="D13" s="64" t="s">
        <v>5</v>
      </c>
      <c r="E13" s="65"/>
      <c r="F13" s="66">
        <f>0.06*13</f>
        <v>0.78</v>
      </c>
      <c r="G13" s="67"/>
      <c r="H13" s="67"/>
      <c r="I13" s="67"/>
      <c r="J13" s="67"/>
      <c r="K13" s="67"/>
      <c r="L13" s="67"/>
      <c r="M13" s="12"/>
    </row>
    <row r="14" spans="1:13" s="68" customFormat="1" ht="15.75" x14ac:dyDescent="0.3">
      <c r="A14" s="64"/>
      <c r="B14" s="69" t="s">
        <v>60</v>
      </c>
      <c r="C14" s="141" t="s">
        <v>3</v>
      </c>
      <c r="D14" s="64" t="s">
        <v>79</v>
      </c>
      <c r="E14" s="65">
        <v>1</v>
      </c>
      <c r="F14" s="70">
        <f>F13*E14</f>
        <v>0.78</v>
      </c>
      <c r="G14" s="63"/>
      <c r="H14" s="71"/>
      <c r="I14" s="72"/>
      <c r="J14" s="72"/>
      <c r="K14" s="72"/>
      <c r="L14" s="72"/>
      <c r="M14" s="12"/>
    </row>
    <row r="15" spans="1:13" s="68" customFormat="1" ht="15.75" x14ac:dyDescent="0.3">
      <c r="A15" s="64"/>
      <c r="B15" s="64"/>
      <c r="C15" s="141" t="s">
        <v>9</v>
      </c>
      <c r="D15" s="64" t="s">
        <v>0</v>
      </c>
      <c r="E15" s="65">
        <v>0.28299999999999997</v>
      </c>
      <c r="F15" s="70">
        <f>F13*E15</f>
        <v>0.22073999999999999</v>
      </c>
      <c r="G15" s="67"/>
      <c r="H15" s="72"/>
      <c r="I15" s="72"/>
      <c r="J15" s="72"/>
      <c r="K15" s="73"/>
      <c r="L15" s="71"/>
      <c r="M15" s="12"/>
    </row>
    <row r="16" spans="1:13" s="68" customFormat="1" ht="15.75" x14ac:dyDescent="0.3">
      <c r="A16" s="64"/>
      <c r="B16" s="74"/>
      <c r="C16" s="141" t="s">
        <v>78</v>
      </c>
      <c r="D16" s="64" t="s">
        <v>5</v>
      </c>
      <c r="E16" s="65">
        <v>1.02</v>
      </c>
      <c r="F16" s="70">
        <f>F13*E16</f>
        <v>0.79560000000000008</v>
      </c>
      <c r="G16" s="67"/>
      <c r="H16" s="72"/>
      <c r="I16" s="71"/>
      <c r="J16" s="71"/>
      <c r="K16" s="72"/>
      <c r="L16" s="72"/>
      <c r="M16" s="12"/>
    </row>
    <row r="17" spans="1:13" s="68" customFormat="1" ht="15.75" x14ac:dyDescent="0.3">
      <c r="A17" s="64"/>
      <c r="B17" s="64"/>
      <c r="C17" s="141" t="s">
        <v>10</v>
      </c>
      <c r="D17" s="64" t="s">
        <v>0</v>
      </c>
      <c r="E17" s="65">
        <v>0.62</v>
      </c>
      <c r="F17" s="70">
        <f>F13*E17</f>
        <v>0.48360000000000003</v>
      </c>
      <c r="G17" s="75"/>
      <c r="H17" s="72"/>
      <c r="I17" s="71"/>
      <c r="J17" s="71"/>
      <c r="K17" s="72"/>
      <c r="L17" s="72"/>
      <c r="M17" s="12"/>
    </row>
    <row r="18" spans="1:13" s="51" customFormat="1" ht="31.5" x14ac:dyDescent="0.3">
      <c r="A18" s="144">
        <v>1</v>
      </c>
      <c r="B18" s="145" t="s">
        <v>69</v>
      </c>
      <c r="C18" s="146" t="s">
        <v>84</v>
      </c>
      <c r="D18" s="55" t="s">
        <v>22</v>
      </c>
      <c r="E18" s="147"/>
      <c r="F18" s="147">
        <f>SUM(F21:F22)</f>
        <v>12.2</v>
      </c>
      <c r="G18" s="148"/>
      <c r="H18" s="148"/>
      <c r="I18" s="148"/>
      <c r="J18" s="148"/>
      <c r="K18" s="148"/>
      <c r="L18" s="148"/>
      <c r="M18" s="12"/>
    </row>
    <row r="19" spans="1:13" s="90" customFormat="1" ht="31.5" x14ac:dyDescent="0.3">
      <c r="A19" s="149"/>
      <c r="B19" s="150">
        <v>0.47599999999999998</v>
      </c>
      <c r="C19" s="146" t="s">
        <v>3</v>
      </c>
      <c r="D19" s="145" t="s">
        <v>60</v>
      </c>
      <c r="E19" s="151">
        <v>1</v>
      </c>
      <c r="F19" s="147">
        <f>F$18*E19</f>
        <v>12.2</v>
      </c>
      <c r="G19" s="147"/>
      <c r="H19" s="147"/>
      <c r="I19" s="147"/>
      <c r="J19" s="147"/>
      <c r="K19" s="147"/>
      <c r="L19" s="147"/>
      <c r="M19" s="12"/>
    </row>
    <row r="20" spans="1:13" s="90" customFormat="1" ht="15.75" x14ac:dyDescent="0.3">
      <c r="A20" s="144"/>
      <c r="B20" s="145"/>
      <c r="C20" s="146" t="s">
        <v>48</v>
      </c>
      <c r="D20" s="145" t="s">
        <v>52</v>
      </c>
      <c r="E20" s="147">
        <v>3.3700000000000001E-2</v>
      </c>
      <c r="F20" s="147">
        <f>F$18*E20</f>
        <v>0.41114000000000001</v>
      </c>
      <c r="G20" s="147"/>
      <c r="H20" s="147"/>
      <c r="I20" s="147"/>
      <c r="J20" s="147"/>
      <c r="K20" s="147"/>
      <c r="L20" s="147"/>
      <c r="M20" s="12"/>
    </row>
    <row r="21" spans="1:13" s="126" customFormat="1" ht="15.75" x14ac:dyDescent="0.2">
      <c r="A21" s="144"/>
      <c r="B21" s="145"/>
      <c r="C21" s="152" t="s">
        <v>83</v>
      </c>
      <c r="D21" s="145" t="s">
        <v>53</v>
      </c>
      <c r="E21" s="147" t="s">
        <v>59</v>
      </c>
      <c r="F21" s="147">
        <v>9.1999999999999993</v>
      </c>
      <c r="G21" s="147"/>
      <c r="H21" s="147"/>
      <c r="I21" s="147"/>
      <c r="J21" s="147"/>
      <c r="K21" s="147"/>
      <c r="L21" s="147"/>
      <c r="M21" s="12"/>
    </row>
    <row r="22" spans="1:13" s="126" customFormat="1" ht="15.75" x14ac:dyDescent="0.2">
      <c r="A22" s="144"/>
      <c r="B22" s="145"/>
      <c r="C22" s="153" t="s">
        <v>56</v>
      </c>
      <c r="D22" s="145" t="s">
        <v>53</v>
      </c>
      <c r="E22" s="147" t="s">
        <v>59</v>
      </c>
      <c r="F22" s="147">
        <v>3</v>
      </c>
      <c r="G22" s="147"/>
      <c r="H22" s="147"/>
      <c r="I22" s="147"/>
      <c r="J22" s="147"/>
      <c r="K22" s="147"/>
      <c r="L22" s="147"/>
      <c r="M22" s="12"/>
    </row>
    <row r="23" spans="1:13" s="126" customFormat="1" ht="15.75" x14ac:dyDescent="0.2">
      <c r="A23" s="144"/>
      <c r="B23" s="145"/>
      <c r="C23" s="153" t="s">
        <v>86</v>
      </c>
      <c r="D23" s="145" t="s">
        <v>87</v>
      </c>
      <c r="E23" s="147" t="s">
        <v>59</v>
      </c>
      <c r="F23" s="147">
        <v>4</v>
      </c>
      <c r="G23" s="147"/>
      <c r="H23" s="147"/>
      <c r="I23" s="147"/>
      <c r="J23" s="147"/>
      <c r="K23" s="147"/>
      <c r="L23" s="147"/>
      <c r="M23" s="12"/>
    </row>
    <row r="24" spans="1:13" s="126" customFormat="1" ht="15.75" x14ac:dyDescent="0.2">
      <c r="A24" s="144"/>
      <c r="B24" s="145"/>
      <c r="C24" s="153" t="s">
        <v>88</v>
      </c>
      <c r="D24" s="145" t="s">
        <v>87</v>
      </c>
      <c r="E24" s="147" t="s">
        <v>59</v>
      </c>
      <c r="F24" s="147">
        <v>1</v>
      </c>
      <c r="G24" s="147"/>
      <c r="H24" s="147"/>
      <c r="I24" s="147"/>
      <c r="J24" s="147"/>
      <c r="K24" s="147"/>
      <c r="L24" s="147"/>
      <c r="M24" s="12"/>
    </row>
    <row r="25" spans="1:13" s="126" customFormat="1" ht="15.75" x14ac:dyDescent="0.2">
      <c r="A25" s="144"/>
      <c r="B25" s="145"/>
      <c r="C25" s="146" t="s">
        <v>15</v>
      </c>
      <c r="D25" s="145" t="s">
        <v>16</v>
      </c>
      <c r="E25" s="147" t="s">
        <v>59</v>
      </c>
      <c r="F25" s="147">
        <v>0.1</v>
      </c>
      <c r="G25" s="147"/>
      <c r="H25" s="147"/>
      <c r="I25" s="147"/>
      <c r="J25" s="147"/>
      <c r="K25" s="147"/>
      <c r="L25" s="147"/>
      <c r="M25" s="12"/>
    </row>
    <row r="26" spans="1:13" s="92" customFormat="1" ht="15.75" x14ac:dyDescent="0.2">
      <c r="A26" s="144"/>
      <c r="B26" s="154"/>
      <c r="C26" s="155" t="s">
        <v>49</v>
      </c>
      <c r="D26" s="145" t="s">
        <v>52</v>
      </c>
      <c r="E26" s="147">
        <v>2.5999999999999999E-2</v>
      </c>
      <c r="F26" s="147">
        <f>F$18*E26</f>
        <v>0.31719999999999998</v>
      </c>
      <c r="G26" s="147"/>
      <c r="H26" s="147"/>
      <c r="I26" s="147"/>
      <c r="J26" s="147"/>
      <c r="K26" s="147"/>
      <c r="L26" s="147"/>
      <c r="M26" s="12"/>
    </row>
    <row r="27" spans="1:13" s="82" customFormat="1" ht="15.75" x14ac:dyDescent="0.3">
      <c r="A27" s="55">
        <v>13</v>
      </c>
      <c r="B27" s="55" t="s">
        <v>28</v>
      </c>
      <c r="C27" s="142" t="s">
        <v>29</v>
      </c>
      <c r="D27" s="55" t="s">
        <v>22</v>
      </c>
      <c r="E27" s="76"/>
      <c r="F27" s="54">
        <f>18.31+14.05</f>
        <v>32.36</v>
      </c>
      <c r="G27" s="77"/>
      <c r="H27" s="77"/>
      <c r="I27" s="26"/>
      <c r="J27" s="78"/>
      <c r="K27" s="77"/>
      <c r="L27" s="77"/>
      <c r="M27" s="12"/>
    </row>
    <row r="28" spans="1:13" s="82" customFormat="1" ht="15.75" x14ac:dyDescent="0.3">
      <c r="A28" s="56"/>
      <c r="B28" s="56"/>
      <c r="C28" s="143" t="s">
        <v>3</v>
      </c>
      <c r="D28" s="56" t="s">
        <v>0</v>
      </c>
      <c r="E28" s="80">
        <v>2.4900000000000002</v>
      </c>
      <c r="F28" s="57">
        <f>F27*E28</f>
        <v>80.576400000000007</v>
      </c>
      <c r="G28" s="29"/>
      <c r="H28" s="29"/>
      <c r="I28" s="81"/>
      <c r="J28" s="81"/>
      <c r="K28" s="81"/>
      <c r="L28" s="81"/>
      <c r="M28" s="12"/>
    </row>
    <row r="29" spans="1:13" s="82" customFormat="1" ht="15.75" x14ac:dyDescent="0.3">
      <c r="A29" s="56"/>
      <c r="B29" s="56"/>
      <c r="C29" s="143" t="s">
        <v>9</v>
      </c>
      <c r="D29" s="56" t="s">
        <v>0</v>
      </c>
      <c r="E29" s="80">
        <v>0.06</v>
      </c>
      <c r="F29" s="57">
        <f>F27*E29</f>
        <v>1.9416</v>
      </c>
      <c r="G29" s="58"/>
      <c r="H29" s="81"/>
      <c r="I29" s="81"/>
      <c r="J29" s="81"/>
      <c r="K29" s="29"/>
      <c r="L29" s="29"/>
      <c r="M29" s="12"/>
    </row>
    <row r="30" spans="1:13" s="84" customFormat="1" ht="15.75" x14ac:dyDescent="0.3">
      <c r="A30" s="56"/>
      <c r="B30" s="56"/>
      <c r="C30" s="129" t="s">
        <v>54</v>
      </c>
      <c r="D30" s="56" t="s">
        <v>119</v>
      </c>
      <c r="E30" s="83" t="s">
        <v>14</v>
      </c>
      <c r="F30" s="29">
        <v>36</v>
      </c>
      <c r="G30" s="58"/>
      <c r="H30" s="81"/>
      <c r="I30" s="29"/>
      <c r="J30" s="29"/>
      <c r="K30" s="81"/>
      <c r="L30" s="81"/>
      <c r="M30" s="12"/>
    </row>
    <row r="31" spans="1:13" s="126" customFormat="1" ht="15.75" x14ac:dyDescent="0.2">
      <c r="A31" s="124"/>
      <c r="B31" s="118"/>
      <c r="C31" s="127" t="s">
        <v>70</v>
      </c>
      <c r="D31" s="118" t="s">
        <v>72</v>
      </c>
      <c r="E31" s="119"/>
      <c r="F31" s="119">
        <v>40</v>
      </c>
      <c r="G31" s="119"/>
      <c r="H31" s="119"/>
      <c r="I31" s="119"/>
      <c r="J31" s="119"/>
      <c r="K31" s="119"/>
      <c r="L31" s="119"/>
      <c r="M31" s="12"/>
    </row>
    <row r="32" spans="1:13" s="82" customFormat="1" ht="15.75" x14ac:dyDescent="0.3">
      <c r="A32" s="56"/>
      <c r="B32" s="56"/>
      <c r="C32" s="143" t="s">
        <v>30</v>
      </c>
      <c r="D32" s="56" t="s">
        <v>16</v>
      </c>
      <c r="E32" s="80">
        <v>0.02</v>
      </c>
      <c r="F32" s="57">
        <f>F27*E32</f>
        <v>0.6472</v>
      </c>
      <c r="G32" s="58"/>
      <c r="H32" s="81"/>
      <c r="I32" s="29"/>
      <c r="J32" s="29"/>
      <c r="K32" s="81"/>
      <c r="L32" s="81"/>
      <c r="M32" s="12"/>
    </row>
    <row r="33" spans="1:13" s="25" customFormat="1" ht="15.75" x14ac:dyDescent="0.3">
      <c r="A33" s="56"/>
      <c r="B33" s="56"/>
      <c r="C33" s="143" t="s">
        <v>31</v>
      </c>
      <c r="D33" s="56" t="s">
        <v>13</v>
      </c>
      <c r="E33" s="83" t="s">
        <v>14</v>
      </c>
      <c r="F33" s="29">
        <f>F27*2</f>
        <v>64.72</v>
      </c>
      <c r="G33" s="58"/>
      <c r="H33" s="81"/>
      <c r="I33" s="29"/>
      <c r="J33" s="29"/>
      <c r="K33" s="81"/>
      <c r="L33" s="81"/>
      <c r="M33" s="12"/>
    </row>
    <row r="34" spans="1:13" s="25" customFormat="1" ht="15.75" x14ac:dyDescent="0.3">
      <c r="A34" s="56"/>
      <c r="B34" s="56"/>
      <c r="C34" s="143" t="s">
        <v>10</v>
      </c>
      <c r="D34" s="56" t="s">
        <v>0</v>
      </c>
      <c r="E34" s="80">
        <v>0.04</v>
      </c>
      <c r="F34" s="57">
        <f>F27*E34</f>
        <v>1.2944</v>
      </c>
      <c r="G34" s="58"/>
      <c r="H34" s="81"/>
      <c r="I34" s="29"/>
      <c r="J34" s="29"/>
      <c r="K34" s="81"/>
      <c r="L34" s="81"/>
      <c r="M34" s="12"/>
    </row>
    <row r="35" spans="1:13" s="25" customFormat="1" ht="31.5" x14ac:dyDescent="0.2">
      <c r="A35" s="135">
        <v>3</v>
      </c>
      <c r="B35" s="34" t="s">
        <v>23</v>
      </c>
      <c r="C35" s="132" t="s">
        <v>68</v>
      </c>
      <c r="D35" s="34" t="s">
        <v>13</v>
      </c>
      <c r="E35" s="36"/>
      <c r="F35" s="37">
        <f>2.25/0.25</f>
        <v>9</v>
      </c>
      <c r="G35" s="119"/>
      <c r="H35" s="119"/>
      <c r="I35" s="119"/>
      <c r="J35" s="119"/>
      <c r="K35" s="119"/>
      <c r="L35" s="119"/>
      <c r="M35" s="12"/>
    </row>
    <row r="36" spans="1:13" s="25" customFormat="1" ht="15.75" x14ac:dyDescent="0.3">
      <c r="A36" s="59"/>
      <c r="B36" s="59"/>
      <c r="C36" s="128" t="s">
        <v>11</v>
      </c>
      <c r="D36" s="18" t="s">
        <v>4</v>
      </c>
      <c r="E36" s="14">
        <v>0.68</v>
      </c>
      <c r="F36" s="24">
        <f>F$35*E36</f>
        <v>6.12</v>
      </c>
      <c r="G36" s="119"/>
      <c r="H36" s="119"/>
      <c r="I36" s="119"/>
      <c r="J36" s="119"/>
      <c r="K36" s="119"/>
      <c r="L36" s="119"/>
      <c r="M36" s="12"/>
    </row>
    <row r="37" spans="1:13" s="25" customFormat="1" ht="15.75" x14ac:dyDescent="0.3">
      <c r="A37" s="59"/>
      <c r="B37" s="59"/>
      <c r="C37" s="128" t="s">
        <v>9</v>
      </c>
      <c r="D37" s="18" t="s">
        <v>0</v>
      </c>
      <c r="E37" s="24">
        <f>0.03/100</f>
        <v>2.9999999999999997E-4</v>
      </c>
      <c r="F37" s="24">
        <f>F$35*E37</f>
        <v>2.6999999999999997E-3</v>
      </c>
      <c r="G37" s="119"/>
      <c r="H37" s="119"/>
      <c r="I37" s="119"/>
      <c r="J37" s="119"/>
      <c r="K37" s="119"/>
      <c r="L37" s="120"/>
      <c r="M37" s="12"/>
    </row>
    <row r="38" spans="1:13" s="25" customFormat="1" ht="15.75" x14ac:dyDescent="0.3">
      <c r="A38" s="59"/>
      <c r="B38" s="59"/>
      <c r="C38" s="128" t="s">
        <v>24</v>
      </c>
      <c r="D38" s="18" t="s">
        <v>17</v>
      </c>
      <c r="E38" s="24">
        <f>(24.6+2.7)/100</f>
        <v>0.27300000000000002</v>
      </c>
      <c r="F38" s="24">
        <f>F$35*E38</f>
        <v>2.4570000000000003</v>
      </c>
      <c r="G38" s="119"/>
      <c r="H38" s="119"/>
      <c r="I38" s="119"/>
      <c r="J38" s="119"/>
      <c r="K38" s="119"/>
      <c r="L38" s="119"/>
      <c r="M38" s="12"/>
    </row>
    <row r="39" spans="1:13" s="1" customFormat="1" ht="16.5" x14ac:dyDescent="0.3">
      <c r="A39" s="59"/>
      <c r="B39" s="59"/>
      <c r="C39" s="128" t="s">
        <v>10</v>
      </c>
      <c r="D39" s="18" t="s">
        <v>0</v>
      </c>
      <c r="E39" s="24">
        <f>0.19/100</f>
        <v>1.9E-3</v>
      </c>
      <c r="F39" s="24">
        <f>F$35*E39</f>
        <v>1.7100000000000001E-2</v>
      </c>
      <c r="G39" s="119"/>
      <c r="H39" s="119"/>
      <c r="I39" s="119"/>
      <c r="J39" s="119"/>
      <c r="K39" s="119"/>
      <c r="L39" s="120"/>
      <c r="M39" s="12"/>
    </row>
    <row r="40" spans="1:13" s="94" customFormat="1" ht="15.75" customHeight="1" x14ac:dyDescent="0.3">
      <c r="A40" s="52"/>
      <c r="B40" s="52"/>
      <c r="C40" s="52" t="s">
        <v>1</v>
      </c>
      <c r="D40" s="53"/>
      <c r="E40" s="120"/>
      <c r="F40" s="61"/>
      <c r="G40" s="121"/>
      <c r="H40" s="119"/>
      <c r="I40" s="119"/>
      <c r="J40" s="119"/>
      <c r="K40" s="122"/>
      <c r="L40" s="119"/>
      <c r="M40" s="119"/>
    </row>
    <row r="41" spans="1:13" s="94" customFormat="1" ht="15.75" customHeight="1" x14ac:dyDescent="0.3">
      <c r="A41" s="52"/>
      <c r="B41" s="52"/>
      <c r="C41" s="52" t="s">
        <v>34</v>
      </c>
      <c r="D41" s="113">
        <v>0.1</v>
      </c>
      <c r="E41" s="120"/>
      <c r="F41" s="61"/>
      <c r="G41" s="121"/>
      <c r="H41" s="123"/>
      <c r="I41" s="119"/>
      <c r="J41" s="105"/>
      <c r="K41" s="122"/>
      <c r="L41" s="106"/>
      <c r="M41" s="119"/>
    </row>
    <row r="42" spans="1:13" s="94" customFormat="1" ht="15.75" customHeight="1" x14ac:dyDescent="0.3">
      <c r="A42" s="52"/>
      <c r="B42" s="52"/>
      <c r="C42" s="52" t="s">
        <v>1</v>
      </c>
      <c r="D42" s="113"/>
      <c r="E42" s="120"/>
      <c r="F42" s="61"/>
      <c r="G42" s="121"/>
      <c r="H42" s="123"/>
      <c r="I42" s="119"/>
      <c r="J42" s="105"/>
      <c r="K42" s="122"/>
      <c r="L42" s="106"/>
      <c r="M42" s="119"/>
    </row>
    <row r="43" spans="1:13" s="94" customFormat="1" ht="15.75" customHeight="1" x14ac:dyDescent="0.3">
      <c r="A43" s="52"/>
      <c r="B43" s="52"/>
      <c r="C43" s="52" t="s">
        <v>35</v>
      </c>
      <c r="D43" s="113">
        <v>0.08</v>
      </c>
      <c r="E43" s="120"/>
      <c r="F43" s="61"/>
      <c r="G43" s="121"/>
      <c r="H43" s="123"/>
      <c r="I43" s="119"/>
      <c r="J43" s="105"/>
      <c r="K43" s="122"/>
      <c r="L43" s="106"/>
      <c r="M43" s="119"/>
    </row>
    <row r="44" spans="1:13" s="94" customFormat="1" ht="15.75" customHeight="1" x14ac:dyDescent="0.3">
      <c r="A44" s="52"/>
      <c r="B44" s="52"/>
      <c r="C44" s="52" t="s">
        <v>1</v>
      </c>
      <c r="D44" s="113"/>
      <c r="E44" s="120"/>
      <c r="F44" s="61"/>
      <c r="G44" s="121"/>
      <c r="H44" s="123"/>
      <c r="I44" s="119"/>
      <c r="J44" s="105"/>
      <c r="K44" s="122"/>
      <c r="L44" s="106"/>
      <c r="M44" s="119"/>
    </row>
    <row r="49" spans="1:4" s="173" customFormat="1" ht="14.25" x14ac:dyDescent="0.25">
      <c r="A49" s="172"/>
      <c r="B49" s="173" t="s">
        <v>176</v>
      </c>
      <c r="D49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19685039370078741" right="0.19685039370078741" top="0.23622047244094491" bottom="0.19685039370078741" header="0.19685039370078741" footer="0.19685039370078741"/>
  <pageSetup paperSize="9" scale="9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6"/>
  <sheetViews>
    <sheetView view="pageBreakPreview" topLeftCell="F1" zoomScale="85" zoomScaleNormal="100" zoomScaleSheetLayoutView="8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4" x14ac:dyDescent="0.25">
      <c r="L1" s="244"/>
      <c r="M1" s="245"/>
    </row>
    <row r="2" spans="1:14" x14ac:dyDescent="0.25">
      <c r="A2" s="246" t="str">
        <f>კარი!A2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4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4" x14ac:dyDescent="0.25">
      <c r="A4" s="248" t="s">
        <v>230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4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4" ht="30" x14ac:dyDescent="0.25">
      <c r="A6" s="249"/>
      <c r="B6" s="249"/>
      <c r="C6" s="249"/>
      <c r="D6" s="182" t="s">
        <v>39</v>
      </c>
      <c r="E6" s="182" t="s">
        <v>40</v>
      </c>
      <c r="F6" s="183" t="s">
        <v>38</v>
      </c>
      <c r="G6" s="183" t="s">
        <v>45</v>
      </c>
      <c r="H6" s="183" t="s">
        <v>46</v>
      </c>
      <c r="I6" s="183" t="s">
        <v>45</v>
      </c>
      <c r="J6" s="183" t="s">
        <v>46</v>
      </c>
      <c r="K6" s="183" t="s">
        <v>45</v>
      </c>
      <c r="L6" s="183" t="s">
        <v>46</v>
      </c>
      <c r="M6" s="243"/>
    </row>
    <row r="7" spans="1:14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4" s="90" customFormat="1" ht="15.75" x14ac:dyDescent="0.3">
      <c r="A8" s="88"/>
      <c r="B8" s="89"/>
      <c r="C8" s="191" t="s">
        <v>223</v>
      </c>
      <c r="D8" s="89"/>
      <c r="E8" s="88"/>
      <c r="F8" s="89"/>
      <c r="G8" s="88"/>
      <c r="H8" s="89"/>
      <c r="I8" s="88"/>
      <c r="J8" s="89"/>
      <c r="K8" s="88"/>
      <c r="L8" s="89"/>
      <c r="M8" s="88"/>
    </row>
    <row r="9" spans="1:14" s="94" customFormat="1" ht="31.5" x14ac:dyDescent="0.3">
      <c r="A9" s="52">
        <v>1</v>
      </c>
      <c r="B9" s="187" t="s">
        <v>188</v>
      </c>
      <c r="C9" s="188" t="s">
        <v>180</v>
      </c>
      <c r="D9" s="53" t="s">
        <v>181</v>
      </c>
      <c r="E9" s="101"/>
      <c r="F9" s="61">
        <v>75.260000000000005</v>
      </c>
      <c r="G9" s="108"/>
      <c r="H9" s="100"/>
      <c r="I9" s="100"/>
      <c r="J9" s="100"/>
      <c r="K9" s="107"/>
      <c r="L9" s="100"/>
      <c r="M9" s="100"/>
    </row>
    <row r="10" spans="1:14" s="94" customFormat="1" ht="15.75" customHeight="1" x14ac:dyDescent="0.3">
      <c r="A10" s="52"/>
      <c r="B10" s="52"/>
      <c r="C10" s="186" t="s">
        <v>182</v>
      </c>
      <c r="D10" s="53" t="s">
        <v>4</v>
      </c>
      <c r="E10" s="101">
        <f>1.15*0.323</f>
        <v>0.37145</v>
      </c>
      <c r="F10" s="61">
        <f>E10*F9</f>
        <v>27.955327</v>
      </c>
      <c r="G10" s="108"/>
      <c r="H10" s="100"/>
      <c r="I10" s="100"/>
      <c r="J10" s="100"/>
      <c r="K10" s="107"/>
      <c r="L10" s="100"/>
      <c r="M10" s="100"/>
    </row>
    <row r="11" spans="1:14" s="94" customFormat="1" ht="15.75" customHeight="1" x14ac:dyDescent="0.3">
      <c r="A11" s="52"/>
      <c r="B11" s="52"/>
      <c r="C11" s="186" t="s">
        <v>183</v>
      </c>
      <c r="D11" s="53" t="s">
        <v>0</v>
      </c>
      <c r="E11" s="101">
        <f>1.15*0.0205</f>
        <v>2.3574999999999999E-2</v>
      </c>
      <c r="F11" s="61">
        <f>F9*E11</f>
        <v>1.7742545000000001</v>
      </c>
      <c r="G11" s="108"/>
      <c r="H11" s="100"/>
      <c r="I11" s="100"/>
      <c r="J11" s="100"/>
      <c r="K11" s="107"/>
      <c r="L11" s="100"/>
      <c r="M11" s="100"/>
    </row>
    <row r="12" spans="1:14" s="94" customFormat="1" ht="45.75" x14ac:dyDescent="0.3">
      <c r="A12" s="52">
        <v>2</v>
      </c>
      <c r="B12" s="187" t="s">
        <v>187</v>
      </c>
      <c r="C12" s="188" t="s">
        <v>189</v>
      </c>
      <c r="D12" s="53" t="s">
        <v>184</v>
      </c>
      <c r="E12" s="101"/>
      <c r="F12" s="61">
        <f>F9*0.05</f>
        <v>3.7630000000000003</v>
      </c>
      <c r="G12" s="108"/>
      <c r="H12" s="100"/>
      <c r="I12" s="100"/>
      <c r="J12" s="100"/>
      <c r="K12" s="107"/>
      <c r="L12" s="100"/>
      <c r="M12" s="100"/>
    </row>
    <row r="13" spans="1:14" s="94" customFormat="1" ht="15.75" customHeight="1" x14ac:dyDescent="0.3">
      <c r="A13" s="52"/>
      <c r="B13" s="52"/>
      <c r="C13" s="186" t="s">
        <v>185</v>
      </c>
      <c r="D13" s="53" t="s">
        <v>4</v>
      </c>
      <c r="E13" s="101">
        <f>1.15*8.8</f>
        <v>10.119999999999999</v>
      </c>
      <c r="F13" s="61">
        <f>E13*F12</f>
        <v>38.081560000000003</v>
      </c>
      <c r="G13" s="108"/>
      <c r="H13" s="100"/>
      <c r="I13" s="100"/>
      <c r="J13" s="100"/>
      <c r="K13" s="107"/>
      <c r="L13" s="100"/>
      <c r="M13" s="100"/>
    </row>
    <row r="14" spans="1:14" s="94" customFormat="1" ht="15.75" customHeight="1" x14ac:dyDescent="0.3">
      <c r="A14" s="52"/>
      <c r="B14" s="52"/>
      <c r="C14" s="186" t="s">
        <v>186</v>
      </c>
      <c r="D14" s="53" t="s">
        <v>0</v>
      </c>
      <c r="E14" s="101">
        <f>1.15*4.8</f>
        <v>5.52</v>
      </c>
      <c r="F14" s="61">
        <f>F12*E14</f>
        <v>20.77176</v>
      </c>
      <c r="G14" s="108"/>
      <c r="H14" s="100"/>
      <c r="I14" s="100"/>
      <c r="J14" s="100"/>
      <c r="K14" s="107"/>
      <c r="L14" s="100"/>
      <c r="M14" s="100"/>
    </row>
    <row r="15" spans="1:14" s="185" customFormat="1" ht="15.75" x14ac:dyDescent="0.3">
      <c r="A15" s="189"/>
      <c r="B15" s="190"/>
      <c r="C15" s="191" t="s">
        <v>190</v>
      </c>
      <c r="D15" s="190"/>
      <c r="E15" s="192"/>
      <c r="F15" s="193"/>
      <c r="G15" s="193"/>
      <c r="H15" s="194"/>
      <c r="I15" s="194"/>
      <c r="J15" s="194"/>
      <c r="K15" s="194"/>
      <c r="L15" s="194"/>
      <c r="M15" s="194"/>
      <c r="N15" s="184"/>
    </row>
    <row r="16" spans="1:14" s="94" customFormat="1" ht="31.5" x14ac:dyDescent="0.3">
      <c r="A16" s="52">
        <v>1</v>
      </c>
      <c r="B16" s="187" t="s">
        <v>60</v>
      </c>
      <c r="C16" s="188" t="s">
        <v>191</v>
      </c>
      <c r="D16" s="53" t="s">
        <v>192</v>
      </c>
      <c r="E16" s="101"/>
      <c r="F16" s="61">
        <f>F9*0.015*2.2+F12*2.2</f>
        <v>10.762180000000001</v>
      </c>
      <c r="G16" s="108"/>
      <c r="H16" s="100"/>
      <c r="I16" s="100"/>
      <c r="J16" s="100"/>
      <c r="K16" s="107"/>
      <c r="L16" s="100"/>
      <c r="M16" s="100"/>
    </row>
    <row r="17" spans="1:15" s="94" customFormat="1" ht="15.75" x14ac:dyDescent="0.3">
      <c r="A17" s="52"/>
      <c r="B17" s="187"/>
      <c r="C17" s="188" t="s">
        <v>32</v>
      </c>
      <c r="D17" s="53" t="s">
        <v>192</v>
      </c>
      <c r="E17" s="101">
        <v>1</v>
      </c>
      <c r="F17" s="61">
        <f>E17*F16</f>
        <v>10.762180000000001</v>
      </c>
      <c r="G17" s="108"/>
      <c r="H17" s="100"/>
      <c r="I17" s="100"/>
      <c r="J17" s="100"/>
      <c r="K17" s="107"/>
      <c r="L17" s="100"/>
      <c r="M17" s="100"/>
    </row>
    <row r="18" spans="1:15" s="94" customFormat="1" ht="31.5" x14ac:dyDescent="0.3">
      <c r="A18" s="52">
        <v>2</v>
      </c>
      <c r="B18" s="187" t="s">
        <v>60</v>
      </c>
      <c r="C18" s="188" t="s">
        <v>193</v>
      </c>
      <c r="D18" s="53" t="s">
        <v>192</v>
      </c>
      <c r="E18" s="101"/>
      <c r="F18" s="61">
        <f>F16</f>
        <v>10.762180000000001</v>
      </c>
      <c r="G18" s="108"/>
      <c r="H18" s="100"/>
      <c r="I18" s="100"/>
      <c r="J18" s="100"/>
      <c r="K18" s="107"/>
      <c r="L18" s="100"/>
      <c r="M18" s="100"/>
    </row>
    <row r="19" spans="1:15" s="94" customFormat="1" ht="15.75" x14ac:dyDescent="0.3">
      <c r="A19" s="52"/>
      <c r="B19" s="187"/>
      <c r="C19" s="188" t="s">
        <v>32</v>
      </c>
      <c r="D19" s="53" t="s">
        <v>192</v>
      </c>
      <c r="E19" s="101">
        <v>1</v>
      </c>
      <c r="F19" s="61">
        <f>E19*F18</f>
        <v>10.762180000000001</v>
      </c>
      <c r="G19" s="108"/>
      <c r="H19" s="100"/>
      <c r="I19" s="100"/>
      <c r="J19" s="100"/>
      <c r="K19" s="107"/>
      <c r="L19" s="100"/>
      <c r="M19" s="100"/>
    </row>
    <row r="20" spans="1:15" s="94" customFormat="1" ht="31.5" x14ac:dyDescent="0.3">
      <c r="A20" s="52">
        <v>3</v>
      </c>
      <c r="B20" s="187" t="s">
        <v>60</v>
      </c>
      <c r="C20" s="188" t="s">
        <v>194</v>
      </c>
      <c r="D20" s="53" t="s">
        <v>192</v>
      </c>
      <c r="E20" s="101"/>
      <c r="F20" s="61">
        <f>F16</f>
        <v>10.762180000000001</v>
      </c>
      <c r="G20" s="108"/>
      <c r="H20" s="100"/>
      <c r="I20" s="100"/>
      <c r="J20" s="100"/>
      <c r="K20" s="107"/>
      <c r="L20" s="100"/>
      <c r="M20" s="100"/>
    </row>
    <row r="21" spans="1:15" s="94" customFormat="1" ht="15.75" x14ac:dyDescent="0.3">
      <c r="A21" s="52"/>
      <c r="B21" s="187"/>
      <c r="C21" s="188" t="s">
        <v>32</v>
      </c>
      <c r="D21" s="53" t="s">
        <v>192</v>
      </c>
      <c r="E21" s="101">
        <v>1</v>
      </c>
      <c r="F21" s="61">
        <f>E21*F20</f>
        <v>10.762180000000001</v>
      </c>
      <c r="G21" s="108"/>
      <c r="H21" s="100"/>
      <c r="I21" s="100"/>
      <c r="J21" s="100"/>
      <c r="K21" s="107"/>
      <c r="L21" s="100"/>
      <c r="M21" s="100"/>
    </row>
    <row r="22" spans="1:15" s="94" customFormat="1" ht="31.5" x14ac:dyDescent="0.3">
      <c r="A22" s="52"/>
      <c r="B22" s="187" t="s">
        <v>195</v>
      </c>
      <c r="C22" s="188" t="s">
        <v>196</v>
      </c>
      <c r="D22" s="53" t="s">
        <v>192</v>
      </c>
      <c r="E22" s="101"/>
      <c r="F22" s="61">
        <f>F16</f>
        <v>10.762180000000001</v>
      </c>
      <c r="G22" s="108"/>
      <c r="H22" s="100"/>
      <c r="I22" s="100"/>
      <c r="J22" s="100"/>
      <c r="K22" s="107"/>
      <c r="L22" s="100"/>
      <c r="M22" s="100"/>
      <c r="O22" s="94" t="s">
        <v>197</v>
      </c>
    </row>
    <row r="23" spans="1:15" s="94" customFormat="1" ht="15.75" x14ac:dyDescent="0.3">
      <c r="A23" s="52"/>
      <c r="B23" s="187"/>
      <c r="C23" s="191" t="s">
        <v>224</v>
      </c>
      <c r="D23" s="53"/>
      <c r="E23" s="101"/>
      <c r="F23" s="61"/>
      <c r="G23" s="108"/>
      <c r="H23" s="100"/>
      <c r="I23" s="100"/>
      <c r="J23" s="100"/>
      <c r="K23" s="107"/>
      <c r="L23" s="100"/>
      <c r="M23" s="100"/>
    </row>
    <row r="24" spans="1:15" s="94" customFormat="1" ht="31.5" x14ac:dyDescent="0.3">
      <c r="A24" s="52">
        <f>A18+1</f>
        <v>3</v>
      </c>
      <c r="B24" s="187" t="s">
        <v>207</v>
      </c>
      <c r="C24" s="188" t="s">
        <v>228</v>
      </c>
      <c r="D24" s="53" t="s">
        <v>200</v>
      </c>
      <c r="E24" s="101"/>
      <c r="F24" s="61">
        <f>0.01*75.26</f>
        <v>0.75260000000000005</v>
      </c>
      <c r="G24" s="108"/>
      <c r="H24" s="100"/>
      <c r="I24" s="100"/>
      <c r="J24" s="100"/>
      <c r="K24" s="107"/>
      <c r="L24" s="100"/>
      <c r="M24" s="100"/>
    </row>
    <row r="25" spans="1:15" s="94" customFormat="1" ht="15.75" x14ac:dyDescent="0.3">
      <c r="A25" s="52"/>
      <c r="B25" s="187"/>
      <c r="C25" s="188" t="s">
        <v>11</v>
      </c>
      <c r="D25" s="53" t="s">
        <v>4</v>
      </c>
      <c r="E25" s="101">
        <v>32.799999999999997</v>
      </c>
      <c r="F25" s="61">
        <f>F24*E25</f>
        <v>24.685279999999999</v>
      </c>
      <c r="G25" s="108"/>
      <c r="H25" s="100"/>
      <c r="I25" s="100"/>
      <c r="J25" s="100"/>
      <c r="K25" s="107"/>
      <c r="L25" s="100"/>
      <c r="M25" s="100"/>
    </row>
    <row r="26" spans="1:15" s="94" customFormat="1" ht="15.75" x14ac:dyDescent="0.3">
      <c r="A26" s="52"/>
      <c r="B26" s="187"/>
      <c r="C26" s="188" t="s">
        <v>201</v>
      </c>
      <c r="D26" s="53" t="s">
        <v>0</v>
      </c>
      <c r="E26" s="101">
        <v>2.63</v>
      </c>
      <c r="F26" s="61">
        <f>F24*E26</f>
        <v>1.979338</v>
      </c>
      <c r="G26" s="108"/>
      <c r="H26" s="100"/>
      <c r="I26" s="100"/>
      <c r="J26" s="100"/>
      <c r="K26" s="107"/>
      <c r="L26" s="100"/>
      <c r="M26" s="100"/>
    </row>
    <row r="27" spans="1:15" s="94" customFormat="1" ht="15.75" x14ac:dyDescent="0.3">
      <c r="A27" s="52"/>
      <c r="B27" s="187"/>
      <c r="C27" s="188" t="s">
        <v>202</v>
      </c>
      <c r="D27" s="53" t="s">
        <v>13</v>
      </c>
      <c r="E27" s="101">
        <f>(345/3)</f>
        <v>115</v>
      </c>
      <c r="F27" s="61">
        <f>E27*F24</f>
        <v>86.549000000000007</v>
      </c>
      <c r="G27" s="108"/>
      <c r="H27" s="100"/>
      <c r="I27" s="100"/>
      <c r="J27" s="100"/>
      <c r="K27" s="107"/>
      <c r="L27" s="100"/>
      <c r="M27" s="100"/>
    </row>
    <row r="28" spans="1:15" s="94" customFormat="1" ht="15.75" x14ac:dyDescent="0.3">
      <c r="A28" s="52"/>
      <c r="B28" s="187"/>
      <c r="C28" s="188" t="s">
        <v>203</v>
      </c>
      <c r="D28" s="53" t="s">
        <v>13</v>
      </c>
      <c r="E28" s="101">
        <f>123</f>
        <v>123</v>
      </c>
      <c r="F28" s="61">
        <f>E28*F24</f>
        <v>92.569800000000001</v>
      </c>
      <c r="G28" s="108"/>
      <c r="H28" s="100"/>
      <c r="I28" s="100"/>
      <c r="J28" s="100"/>
      <c r="K28" s="107"/>
      <c r="L28" s="100"/>
      <c r="M28" s="100"/>
    </row>
    <row r="29" spans="1:15" s="94" customFormat="1" ht="15.75" x14ac:dyDescent="0.3">
      <c r="A29" s="52"/>
      <c r="B29" s="187"/>
      <c r="C29" s="188" t="s">
        <v>204</v>
      </c>
      <c r="D29" s="53" t="s">
        <v>16</v>
      </c>
      <c r="E29" s="101">
        <v>40</v>
      </c>
      <c r="F29" s="61">
        <f>F24*E29</f>
        <v>30.104000000000003</v>
      </c>
      <c r="G29" s="108"/>
      <c r="H29" s="100"/>
      <c r="I29" s="100"/>
      <c r="J29" s="100"/>
      <c r="K29" s="107"/>
      <c r="L29" s="100"/>
      <c r="M29" s="100"/>
    </row>
    <row r="30" spans="1:15" s="94" customFormat="1" ht="15.75" x14ac:dyDescent="0.3">
      <c r="A30" s="52"/>
      <c r="B30" s="187"/>
      <c r="C30" s="188" t="s">
        <v>205</v>
      </c>
      <c r="D30" s="53" t="s">
        <v>17</v>
      </c>
      <c r="E30" s="101">
        <f>(10/70)*2*100</f>
        <v>28.571428571428569</v>
      </c>
      <c r="F30" s="61">
        <f>E30*F24</f>
        <v>21.502857142857142</v>
      </c>
      <c r="G30" s="108"/>
      <c r="H30" s="100"/>
      <c r="I30" s="100"/>
      <c r="J30" s="100"/>
      <c r="K30" s="107"/>
      <c r="L30" s="100"/>
      <c r="M30" s="100"/>
    </row>
    <row r="31" spans="1:15" s="94" customFormat="1" ht="15.75" x14ac:dyDescent="0.3">
      <c r="A31" s="52"/>
      <c r="B31" s="187"/>
      <c r="C31" s="188" t="s">
        <v>206</v>
      </c>
      <c r="D31" s="53" t="s">
        <v>0</v>
      </c>
      <c r="E31" s="101">
        <v>2.5299999999999998</v>
      </c>
      <c r="F31" s="61">
        <f>F24*E31</f>
        <v>1.9040779999999999</v>
      </c>
      <c r="G31" s="108"/>
      <c r="H31" s="100"/>
      <c r="I31" s="100"/>
      <c r="J31" s="100"/>
      <c r="K31" s="107"/>
      <c r="L31" s="100"/>
      <c r="M31" s="100"/>
    </row>
    <row r="32" spans="1:15" s="200" customFormat="1" ht="31.5" x14ac:dyDescent="0.3">
      <c r="A32" s="34">
        <v>14</v>
      </c>
      <c r="B32" s="195" t="s">
        <v>208</v>
      </c>
      <c r="C32" s="35" t="s">
        <v>225</v>
      </c>
      <c r="D32" s="34" t="s">
        <v>13</v>
      </c>
      <c r="E32" s="101"/>
      <c r="F32" s="196">
        <f>F24*100</f>
        <v>75.260000000000005</v>
      </c>
      <c r="G32" s="197"/>
      <c r="H32" s="197"/>
      <c r="I32" s="196"/>
      <c r="J32" s="198"/>
      <c r="K32" s="197"/>
      <c r="L32" s="197"/>
      <c r="M32" s="199"/>
    </row>
    <row r="33" spans="1:75" s="40" customFormat="1" ht="19.5" customHeight="1" x14ac:dyDescent="0.2">
      <c r="A33" s="34"/>
      <c r="B33" s="201" t="s">
        <v>60</v>
      </c>
      <c r="C33" s="34" t="s">
        <v>11</v>
      </c>
      <c r="D33" s="34" t="s">
        <v>13</v>
      </c>
      <c r="E33" s="101">
        <v>1</v>
      </c>
      <c r="F33" s="202">
        <f>F32*E33</f>
        <v>75.260000000000005</v>
      </c>
      <c r="G33" s="203"/>
      <c r="H33" s="196"/>
      <c r="I33" s="204"/>
      <c r="J33" s="204"/>
      <c r="K33" s="204"/>
      <c r="L33" s="204"/>
      <c r="M33" s="196"/>
    </row>
    <row r="34" spans="1:75" s="209" customFormat="1" ht="15.75" x14ac:dyDescent="0.3">
      <c r="A34" s="31"/>
      <c r="B34" s="31"/>
      <c r="C34" s="31" t="s">
        <v>9</v>
      </c>
      <c r="D34" s="31" t="s">
        <v>0</v>
      </c>
      <c r="E34" s="101">
        <f>(0.95+0.23*2)/100</f>
        <v>1.41E-2</v>
      </c>
      <c r="F34" s="205">
        <f>F32*E34</f>
        <v>1.0611660000000001</v>
      </c>
      <c r="G34" s="206"/>
      <c r="H34" s="207"/>
      <c r="I34" s="207"/>
      <c r="J34" s="207"/>
      <c r="K34" s="203"/>
      <c r="L34" s="208"/>
      <c r="M34" s="208"/>
    </row>
    <row r="35" spans="1:75" s="212" customFormat="1" ht="15.75" x14ac:dyDescent="0.2">
      <c r="A35" s="34"/>
      <c r="B35" s="210"/>
      <c r="C35" s="35" t="s">
        <v>226</v>
      </c>
      <c r="D35" s="34" t="s">
        <v>5</v>
      </c>
      <c r="E35" s="101">
        <f>(2.04+0.51*2)/100</f>
        <v>3.0600000000000002E-2</v>
      </c>
      <c r="F35" s="202">
        <f>F32*E35</f>
        <v>2.3029560000000004</v>
      </c>
      <c r="G35" s="197"/>
      <c r="H35" s="204"/>
      <c r="I35" s="211"/>
      <c r="J35" s="196"/>
      <c r="K35" s="204"/>
      <c r="L35" s="204"/>
      <c r="M35" s="196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5" s="214" customFormat="1" ht="15.75" x14ac:dyDescent="0.3">
      <c r="A36" s="31"/>
      <c r="B36" s="31"/>
      <c r="C36" s="31" t="s">
        <v>10</v>
      </c>
      <c r="D36" s="31" t="s">
        <v>0</v>
      </c>
      <c r="E36" s="101">
        <f>6.36/100</f>
        <v>6.3600000000000004E-2</v>
      </c>
      <c r="F36" s="205">
        <f>F32*E36</f>
        <v>4.7865360000000008</v>
      </c>
      <c r="G36" s="206"/>
      <c r="H36" s="207"/>
      <c r="I36" s="213"/>
      <c r="J36" s="208"/>
      <c r="K36" s="207"/>
      <c r="L36" s="207"/>
      <c r="M36" s="20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</row>
    <row r="37" spans="1:75" s="200" customFormat="1" ht="31.5" x14ac:dyDescent="0.3">
      <c r="A37" s="35">
        <v>15</v>
      </c>
      <c r="B37" s="35" t="s">
        <v>212</v>
      </c>
      <c r="C37" s="35" t="s">
        <v>227</v>
      </c>
      <c r="D37" s="35" t="s">
        <v>13</v>
      </c>
      <c r="E37" s="215"/>
      <c r="F37" s="216">
        <f>F32</f>
        <v>75.260000000000005</v>
      </c>
      <c r="G37" s="217"/>
      <c r="H37" s="217"/>
      <c r="I37" s="217"/>
      <c r="J37" s="217"/>
      <c r="K37" s="105"/>
      <c r="L37" s="218"/>
      <c r="M37" s="218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</row>
    <row r="38" spans="1:75" s="200" customFormat="1" ht="15.75" x14ac:dyDescent="0.3">
      <c r="A38" s="31"/>
      <c r="B38" s="31" t="s">
        <v>60</v>
      </c>
      <c r="C38" s="31" t="s">
        <v>3</v>
      </c>
      <c r="D38" s="35" t="s">
        <v>13</v>
      </c>
      <c r="E38" s="101">
        <v>1</v>
      </c>
      <c r="F38" s="208">
        <f>F37*E38</f>
        <v>75.260000000000005</v>
      </c>
      <c r="G38" s="203"/>
      <c r="H38" s="208"/>
      <c r="I38" s="206"/>
      <c r="J38" s="206"/>
      <c r="K38" s="206"/>
      <c r="L38" s="206"/>
      <c r="M38" s="208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</row>
    <row r="39" spans="1:75" s="220" customFormat="1" ht="23.25" customHeight="1" x14ac:dyDescent="0.3">
      <c r="A39" s="31"/>
      <c r="B39" s="31"/>
      <c r="C39" s="31" t="s">
        <v>9</v>
      </c>
      <c r="D39" s="31" t="s">
        <v>0</v>
      </c>
      <c r="E39" s="101">
        <v>4.5199999999999997E-2</v>
      </c>
      <c r="F39" s="208">
        <f>F37*E39</f>
        <v>3.4017520000000001</v>
      </c>
      <c r="G39" s="206"/>
      <c r="H39" s="206"/>
      <c r="I39" s="206"/>
      <c r="J39" s="206"/>
      <c r="K39" s="203"/>
      <c r="L39" s="208"/>
      <c r="M39" s="208"/>
    </row>
    <row r="40" spans="1:75" s="220" customFormat="1" ht="15.75" x14ac:dyDescent="0.3">
      <c r="A40" s="31"/>
      <c r="B40" s="31"/>
      <c r="C40" s="31" t="s">
        <v>214</v>
      </c>
      <c r="D40" s="31" t="s">
        <v>13</v>
      </c>
      <c r="E40" s="101">
        <v>1.02</v>
      </c>
      <c r="F40" s="208">
        <f>F37*E40</f>
        <v>76.765200000000007</v>
      </c>
      <c r="G40" s="208"/>
      <c r="H40" s="221"/>
      <c r="I40" s="208"/>
      <c r="J40" s="208"/>
      <c r="K40" s="206"/>
      <c r="L40" s="206"/>
      <c r="M40" s="208"/>
    </row>
    <row r="41" spans="1:75" s="222" customFormat="1" ht="15.75" customHeight="1" x14ac:dyDescent="0.3">
      <c r="A41" s="31"/>
      <c r="B41" s="31"/>
      <c r="C41" s="31" t="s">
        <v>198</v>
      </c>
      <c r="D41" s="31" t="s">
        <v>16</v>
      </c>
      <c r="E41" s="101">
        <v>5</v>
      </c>
      <c r="F41" s="208">
        <f>F37*E41</f>
        <v>376.3</v>
      </c>
      <c r="G41" s="206"/>
      <c r="H41" s="206"/>
      <c r="I41" s="208"/>
      <c r="J41" s="208"/>
      <c r="K41" s="206"/>
      <c r="L41" s="206"/>
      <c r="M41" s="208"/>
    </row>
    <row r="42" spans="1:75" s="223" customFormat="1" ht="15.75" x14ac:dyDescent="0.2">
      <c r="A42" s="34"/>
      <c r="B42" s="34"/>
      <c r="C42" s="34" t="s">
        <v>10</v>
      </c>
      <c r="D42" s="34" t="s">
        <v>0</v>
      </c>
      <c r="E42" s="101">
        <v>4.6600000000000003E-2</v>
      </c>
      <c r="F42" s="196">
        <f>F37*E42</f>
        <v>3.5071160000000003</v>
      </c>
      <c r="G42" s="197"/>
      <c r="H42" s="197"/>
      <c r="I42" s="213"/>
      <c r="J42" s="196"/>
      <c r="K42" s="197"/>
      <c r="L42" s="197"/>
      <c r="M42" s="196"/>
    </row>
    <row r="43" spans="1:75" s="94" customFormat="1" ht="15.75" customHeight="1" x14ac:dyDescent="0.3">
      <c r="A43" s="52"/>
      <c r="B43" s="52"/>
      <c r="C43" s="52" t="s">
        <v>1</v>
      </c>
      <c r="D43" s="53"/>
      <c r="E43" s="101"/>
      <c r="F43" s="61"/>
      <c r="G43" s="108"/>
      <c r="H43" s="100"/>
      <c r="I43" s="100"/>
      <c r="J43" s="100"/>
      <c r="K43" s="107"/>
      <c r="L43" s="100"/>
      <c r="M43" s="100"/>
    </row>
    <row r="44" spans="1:75" s="94" customFormat="1" ht="15.75" customHeight="1" x14ac:dyDescent="0.3">
      <c r="A44" s="52"/>
      <c r="B44" s="52"/>
      <c r="C44" s="52" t="s">
        <v>34</v>
      </c>
      <c r="D44" s="165">
        <v>0.1</v>
      </c>
      <c r="E44" s="101"/>
      <c r="F44" s="61"/>
      <c r="G44" s="108"/>
      <c r="H44" s="60"/>
      <c r="I44" s="100"/>
      <c r="J44" s="105"/>
      <c r="K44" s="107"/>
      <c r="L44" s="106"/>
      <c r="M44" s="100"/>
    </row>
    <row r="45" spans="1:75" s="94" customFormat="1" ht="15.75" customHeight="1" x14ac:dyDescent="0.3">
      <c r="A45" s="52"/>
      <c r="B45" s="52"/>
      <c r="C45" s="52" t="s">
        <v>1</v>
      </c>
      <c r="D45" s="165"/>
      <c r="E45" s="101"/>
      <c r="F45" s="61"/>
      <c r="G45" s="108"/>
      <c r="H45" s="60"/>
      <c r="I45" s="100"/>
      <c r="J45" s="105"/>
      <c r="K45" s="107"/>
      <c r="L45" s="106"/>
      <c r="M45" s="100"/>
    </row>
    <row r="46" spans="1:75" s="94" customFormat="1" ht="15.75" customHeight="1" x14ac:dyDescent="0.3">
      <c r="A46" s="52"/>
      <c r="B46" s="52"/>
      <c r="C46" s="52" t="s">
        <v>35</v>
      </c>
      <c r="D46" s="165">
        <v>0.08</v>
      </c>
      <c r="E46" s="101"/>
      <c r="F46" s="61"/>
      <c r="G46" s="108"/>
      <c r="H46" s="60"/>
      <c r="I46" s="100"/>
      <c r="J46" s="105"/>
      <c r="K46" s="107"/>
      <c r="L46" s="106"/>
      <c r="M46" s="100"/>
    </row>
    <row r="47" spans="1:75" s="94" customFormat="1" ht="15.75" customHeight="1" x14ac:dyDescent="0.3">
      <c r="A47" s="52"/>
      <c r="B47" s="52"/>
      <c r="C47" s="52" t="s">
        <v>1</v>
      </c>
      <c r="D47" s="113"/>
      <c r="E47" s="101"/>
      <c r="F47" s="61"/>
      <c r="G47" s="108"/>
      <c r="H47" s="60"/>
      <c r="I47" s="100"/>
      <c r="J47" s="105"/>
      <c r="K47" s="107"/>
      <c r="L47" s="106"/>
      <c r="M47" s="100"/>
    </row>
    <row r="49" spans="1:4" s="173" customFormat="1" ht="14.25" x14ac:dyDescent="0.25">
      <c r="A49" s="172"/>
      <c r="D49" s="172"/>
    </row>
    <row r="56" spans="1:4" s="173" customFormat="1" ht="14.25" x14ac:dyDescent="0.25">
      <c r="A56" s="172"/>
      <c r="B56" s="173" t="s">
        <v>176</v>
      </c>
      <c r="D56" s="172"/>
    </row>
  </sheetData>
  <mergeCells count="11">
    <mergeCell ref="M5:M6"/>
    <mergeCell ref="L1:M1"/>
    <mergeCell ref="A2:M3"/>
    <mergeCell ref="A4:M4"/>
    <mergeCell ref="A5:A6"/>
    <mergeCell ref="B5:B6"/>
    <mergeCell ref="C5:C6"/>
    <mergeCell ref="D5:F5"/>
    <mergeCell ref="G5:H5"/>
    <mergeCell ref="I5:J5"/>
    <mergeCell ref="K5:L5"/>
  </mergeCells>
  <pageMargins left="0.2" right="0.2" top="0.21" bottom="0.2" header="0.2" footer="0.2"/>
  <pageSetup paperSize="9" scale="9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8"/>
  <sheetViews>
    <sheetView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4" x14ac:dyDescent="0.25">
      <c r="L1" s="244"/>
      <c r="M1" s="245"/>
    </row>
    <row r="2" spans="1:14" x14ac:dyDescent="0.25">
      <c r="A2" s="246" t="str">
        <f>კარი!A2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4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4" x14ac:dyDescent="0.25">
      <c r="A4" s="248" t="s">
        <v>231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4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4" ht="30" x14ac:dyDescent="0.25">
      <c r="A6" s="249"/>
      <c r="B6" s="249"/>
      <c r="C6" s="249"/>
      <c r="D6" s="182" t="s">
        <v>39</v>
      </c>
      <c r="E6" s="182" t="s">
        <v>40</v>
      </c>
      <c r="F6" s="183" t="s">
        <v>38</v>
      </c>
      <c r="G6" s="183" t="s">
        <v>45</v>
      </c>
      <c r="H6" s="183" t="s">
        <v>46</v>
      </c>
      <c r="I6" s="183" t="s">
        <v>45</v>
      </c>
      <c r="J6" s="183" t="s">
        <v>46</v>
      </c>
      <c r="K6" s="183" t="s">
        <v>45</v>
      </c>
      <c r="L6" s="183" t="s">
        <v>46</v>
      </c>
      <c r="M6" s="243"/>
    </row>
    <row r="7" spans="1:14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4" s="90" customFormat="1" ht="15.75" x14ac:dyDescent="0.3">
      <c r="A8" s="88"/>
      <c r="B8" s="89"/>
      <c r="C8" s="191" t="s">
        <v>223</v>
      </c>
      <c r="D8" s="89"/>
      <c r="E8" s="88"/>
      <c r="F8" s="89"/>
      <c r="G8" s="88"/>
      <c r="H8" s="89"/>
      <c r="I8" s="88"/>
      <c r="J8" s="89"/>
      <c r="K8" s="88"/>
      <c r="L8" s="89"/>
      <c r="M8" s="88"/>
    </row>
    <row r="9" spans="1:14" s="94" customFormat="1" ht="31.5" x14ac:dyDescent="0.3">
      <c r="A9" s="52">
        <v>1</v>
      </c>
      <c r="B9" s="187" t="s">
        <v>188</v>
      </c>
      <c r="C9" s="188" t="s">
        <v>180</v>
      </c>
      <c r="D9" s="53" t="s">
        <v>181</v>
      </c>
      <c r="E9" s="101"/>
      <c r="F9" s="61">
        <v>156.55000000000001</v>
      </c>
      <c r="G9" s="108"/>
      <c r="H9" s="100"/>
      <c r="I9" s="100"/>
      <c r="J9" s="100"/>
      <c r="K9" s="107"/>
      <c r="L9" s="100"/>
      <c r="M9" s="100"/>
    </row>
    <row r="10" spans="1:14" s="94" customFormat="1" ht="15.75" customHeight="1" x14ac:dyDescent="0.3">
      <c r="A10" s="52"/>
      <c r="B10" s="52"/>
      <c r="C10" s="186" t="s">
        <v>182</v>
      </c>
      <c r="D10" s="53" t="s">
        <v>4</v>
      </c>
      <c r="E10" s="101">
        <f>1.15*0.323</f>
        <v>0.37145</v>
      </c>
      <c r="F10" s="61">
        <f>E10*F9</f>
        <v>58.150497500000007</v>
      </c>
      <c r="G10" s="100"/>
      <c r="H10" s="100"/>
      <c r="I10" s="100"/>
      <c r="J10" s="100"/>
      <c r="K10" s="107"/>
      <c r="L10" s="100"/>
      <c r="M10" s="100"/>
    </row>
    <row r="11" spans="1:14" s="94" customFormat="1" ht="15.75" customHeight="1" x14ac:dyDescent="0.3">
      <c r="A11" s="52"/>
      <c r="B11" s="52"/>
      <c r="C11" s="186" t="s">
        <v>183</v>
      </c>
      <c r="D11" s="53" t="s">
        <v>0</v>
      </c>
      <c r="E11" s="101">
        <f>1.15*0.0205</f>
        <v>2.3574999999999999E-2</v>
      </c>
      <c r="F11" s="61">
        <f>F9*E11</f>
        <v>3.69066625</v>
      </c>
      <c r="G11" s="100"/>
      <c r="H11" s="100"/>
      <c r="I11" s="100"/>
      <c r="J11" s="100"/>
      <c r="K11" s="107"/>
      <c r="L11" s="100"/>
      <c r="M11" s="100"/>
    </row>
    <row r="12" spans="1:14" s="94" customFormat="1" ht="45.75" x14ac:dyDescent="0.3">
      <c r="A12" s="52">
        <v>2</v>
      </c>
      <c r="B12" s="187" t="s">
        <v>187</v>
      </c>
      <c r="C12" s="188" t="s">
        <v>189</v>
      </c>
      <c r="D12" s="53" t="s">
        <v>184</v>
      </c>
      <c r="E12" s="101"/>
      <c r="F12" s="61">
        <f>F9*0.05</f>
        <v>7.8275000000000006</v>
      </c>
      <c r="G12" s="100"/>
      <c r="H12" s="100"/>
      <c r="I12" s="100"/>
      <c r="J12" s="100"/>
      <c r="K12" s="107"/>
      <c r="L12" s="100"/>
      <c r="M12" s="100"/>
    </row>
    <row r="13" spans="1:14" s="94" customFormat="1" ht="15.75" customHeight="1" x14ac:dyDescent="0.3">
      <c r="A13" s="52"/>
      <c r="B13" s="52"/>
      <c r="C13" s="186" t="s">
        <v>185</v>
      </c>
      <c r="D13" s="53" t="s">
        <v>4</v>
      </c>
      <c r="E13" s="101">
        <f>1.15*8.8</f>
        <v>10.119999999999999</v>
      </c>
      <c r="F13" s="61">
        <f>E13*F12</f>
        <v>79.214299999999994</v>
      </c>
      <c r="G13" s="100"/>
      <c r="H13" s="100"/>
      <c r="I13" s="100"/>
      <c r="J13" s="100"/>
      <c r="K13" s="107"/>
      <c r="L13" s="100"/>
      <c r="M13" s="100"/>
    </row>
    <row r="14" spans="1:14" s="94" customFormat="1" ht="15.75" customHeight="1" x14ac:dyDescent="0.3">
      <c r="A14" s="52"/>
      <c r="B14" s="52"/>
      <c r="C14" s="186" t="s">
        <v>186</v>
      </c>
      <c r="D14" s="53" t="s">
        <v>0</v>
      </c>
      <c r="E14" s="101">
        <f>1.15*4.8</f>
        <v>5.52</v>
      </c>
      <c r="F14" s="61">
        <f>F12*E14</f>
        <v>43.207799999999999</v>
      </c>
      <c r="G14" s="100"/>
      <c r="H14" s="100"/>
      <c r="I14" s="100"/>
      <c r="J14" s="100"/>
      <c r="K14" s="107"/>
      <c r="L14" s="100"/>
      <c r="M14" s="100"/>
    </row>
    <row r="15" spans="1:14" s="185" customFormat="1" ht="15.75" x14ac:dyDescent="0.3">
      <c r="A15" s="189"/>
      <c r="B15" s="190"/>
      <c r="C15" s="191" t="s">
        <v>190</v>
      </c>
      <c r="D15" s="190"/>
      <c r="E15" s="192"/>
      <c r="F15" s="193"/>
      <c r="G15" s="194"/>
      <c r="H15" s="194"/>
      <c r="I15" s="194"/>
      <c r="J15" s="194"/>
      <c r="K15" s="194"/>
      <c r="L15" s="194"/>
      <c r="M15" s="194"/>
      <c r="N15" s="184"/>
    </row>
    <row r="16" spans="1:14" s="94" customFormat="1" ht="31.5" x14ac:dyDescent="0.3">
      <c r="A16" s="52">
        <v>1</v>
      </c>
      <c r="B16" s="187" t="s">
        <v>60</v>
      </c>
      <c r="C16" s="188" t="s">
        <v>191</v>
      </c>
      <c r="D16" s="53" t="s">
        <v>192</v>
      </c>
      <c r="E16" s="101"/>
      <c r="F16" s="61">
        <f>F9*0.015*2.2+F12*2.2</f>
        <v>22.386650000000003</v>
      </c>
      <c r="G16" s="100"/>
      <c r="H16" s="100"/>
      <c r="I16" s="100"/>
      <c r="J16" s="100"/>
      <c r="K16" s="107"/>
      <c r="L16" s="100"/>
      <c r="M16" s="100"/>
    </row>
    <row r="17" spans="1:75" s="94" customFormat="1" ht="15.75" x14ac:dyDescent="0.3">
      <c r="A17" s="52"/>
      <c r="B17" s="187"/>
      <c r="C17" s="188" t="s">
        <v>32</v>
      </c>
      <c r="D17" s="53" t="s">
        <v>192</v>
      </c>
      <c r="E17" s="101">
        <v>1</v>
      </c>
      <c r="F17" s="61">
        <f>E17*F16</f>
        <v>22.386650000000003</v>
      </c>
      <c r="G17" s="100"/>
      <c r="H17" s="100"/>
      <c r="I17" s="100"/>
      <c r="J17" s="100"/>
      <c r="K17" s="107"/>
      <c r="L17" s="100"/>
      <c r="M17" s="100"/>
    </row>
    <row r="18" spans="1:75" s="94" customFormat="1" ht="31.5" x14ac:dyDescent="0.3">
      <c r="A18" s="52">
        <v>2</v>
      </c>
      <c r="B18" s="187" t="s">
        <v>60</v>
      </c>
      <c r="C18" s="188" t="s">
        <v>193</v>
      </c>
      <c r="D18" s="53" t="s">
        <v>192</v>
      </c>
      <c r="E18" s="101"/>
      <c r="F18" s="61">
        <f>F16</f>
        <v>22.386650000000003</v>
      </c>
      <c r="G18" s="100"/>
      <c r="H18" s="100"/>
      <c r="I18" s="100"/>
      <c r="J18" s="100"/>
      <c r="K18" s="107"/>
      <c r="L18" s="100"/>
      <c r="M18" s="100"/>
    </row>
    <row r="19" spans="1:75" s="94" customFormat="1" ht="15.75" x14ac:dyDescent="0.3">
      <c r="A19" s="52"/>
      <c r="B19" s="187"/>
      <c r="C19" s="188" t="s">
        <v>32</v>
      </c>
      <c r="D19" s="53" t="s">
        <v>192</v>
      </c>
      <c r="E19" s="101">
        <v>1</v>
      </c>
      <c r="F19" s="61">
        <f>E19*F18</f>
        <v>22.386650000000003</v>
      </c>
      <c r="G19" s="100"/>
      <c r="H19" s="100"/>
      <c r="I19" s="100"/>
      <c r="J19" s="100"/>
      <c r="K19" s="107"/>
      <c r="L19" s="100"/>
      <c r="M19" s="100"/>
    </row>
    <row r="20" spans="1:75" s="94" customFormat="1" ht="31.5" x14ac:dyDescent="0.3">
      <c r="A20" s="52">
        <v>3</v>
      </c>
      <c r="B20" s="187" t="s">
        <v>60</v>
      </c>
      <c r="C20" s="188" t="s">
        <v>194</v>
      </c>
      <c r="D20" s="53" t="s">
        <v>192</v>
      </c>
      <c r="E20" s="101"/>
      <c r="F20" s="61">
        <f>F16</f>
        <v>22.386650000000003</v>
      </c>
      <c r="G20" s="100"/>
      <c r="H20" s="100"/>
      <c r="I20" s="100"/>
      <c r="J20" s="100"/>
      <c r="K20" s="107"/>
      <c r="L20" s="100"/>
      <c r="M20" s="100"/>
    </row>
    <row r="21" spans="1:75" s="94" customFormat="1" ht="15.75" x14ac:dyDescent="0.3">
      <c r="A21" s="52"/>
      <c r="B21" s="187"/>
      <c r="C21" s="188" t="s">
        <v>32</v>
      </c>
      <c r="D21" s="53" t="s">
        <v>192</v>
      </c>
      <c r="E21" s="101">
        <v>1</v>
      </c>
      <c r="F21" s="61">
        <f>E21*F20</f>
        <v>22.386650000000003</v>
      </c>
      <c r="G21" s="100"/>
      <c r="H21" s="100"/>
      <c r="I21" s="100"/>
      <c r="J21" s="100"/>
      <c r="K21" s="107"/>
      <c r="L21" s="100"/>
      <c r="M21" s="100"/>
    </row>
    <row r="22" spans="1:75" s="94" customFormat="1" ht="31.5" x14ac:dyDescent="0.3">
      <c r="A22" s="52"/>
      <c r="B22" s="187" t="s">
        <v>195</v>
      </c>
      <c r="C22" s="188" t="s">
        <v>196</v>
      </c>
      <c r="D22" s="53" t="s">
        <v>192</v>
      </c>
      <c r="E22" s="101"/>
      <c r="F22" s="61">
        <f>F16</f>
        <v>22.386650000000003</v>
      </c>
      <c r="G22" s="108"/>
      <c r="H22" s="100"/>
      <c r="I22" s="100"/>
      <c r="J22" s="100"/>
      <c r="K22" s="107"/>
      <c r="L22" s="100"/>
      <c r="M22" s="100"/>
      <c r="O22" s="94" t="s">
        <v>197</v>
      </c>
    </row>
    <row r="23" spans="1:75" s="94" customFormat="1" ht="15.75" x14ac:dyDescent="0.3">
      <c r="A23" s="52"/>
      <c r="B23" s="187"/>
      <c r="C23" s="191" t="s">
        <v>224</v>
      </c>
      <c r="D23" s="53"/>
      <c r="E23" s="101"/>
      <c r="F23" s="61"/>
      <c r="G23" s="108"/>
      <c r="H23" s="100"/>
      <c r="I23" s="100"/>
      <c r="J23" s="100"/>
      <c r="K23" s="107"/>
      <c r="L23" s="100"/>
      <c r="M23" s="100"/>
    </row>
    <row r="24" spans="1:75" s="200" customFormat="1" ht="31.5" x14ac:dyDescent="0.3">
      <c r="A24" s="34">
        <v>14</v>
      </c>
      <c r="B24" s="195" t="s">
        <v>208</v>
      </c>
      <c r="C24" s="35" t="s">
        <v>209</v>
      </c>
      <c r="D24" s="34" t="s">
        <v>13</v>
      </c>
      <c r="E24" s="101"/>
      <c r="F24" s="196">
        <f>F9</f>
        <v>156.55000000000001</v>
      </c>
      <c r="G24" s="197"/>
      <c r="H24" s="197"/>
      <c r="I24" s="196"/>
      <c r="J24" s="198"/>
      <c r="K24" s="197"/>
      <c r="L24" s="197"/>
      <c r="M24" s="199"/>
    </row>
    <row r="25" spans="1:75" s="40" customFormat="1" ht="19.5" customHeight="1" x14ac:dyDescent="0.2">
      <c r="A25" s="34"/>
      <c r="B25" s="201" t="s">
        <v>60</v>
      </c>
      <c r="C25" s="34" t="s">
        <v>11</v>
      </c>
      <c r="D25" s="34" t="s">
        <v>13</v>
      </c>
      <c r="E25" s="101">
        <v>1</v>
      </c>
      <c r="F25" s="202">
        <f>F24*E25</f>
        <v>156.55000000000001</v>
      </c>
      <c r="G25" s="203"/>
      <c r="H25" s="196"/>
      <c r="I25" s="204"/>
      <c r="J25" s="204"/>
      <c r="K25" s="204"/>
      <c r="L25" s="204"/>
      <c r="M25" s="196"/>
    </row>
    <row r="26" spans="1:75" s="209" customFormat="1" ht="15.75" x14ac:dyDescent="0.3">
      <c r="A26" s="31"/>
      <c r="B26" s="31"/>
      <c r="C26" s="31" t="s">
        <v>210</v>
      </c>
      <c r="D26" s="31" t="s">
        <v>0</v>
      </c>
      <c r="E26" s="101">
        <f>(0.95+0.23*2)/100</f>
        <v>1.41E-2</v>
      </c>
      <c r="F26" s="205">
        <f>F24*E26</f>
        <v>2.2073550000000002</v>
      </c>
      <c r="G26" s="206"/>
      <c r="H26" s="207"/>
      <c r="I26" s="207"/>
      <c r="J26" s="207"/>
      <c r="K26" s="203"/>
      <c r="L26" s="208"/>
      <c r="M26" s="208"/>
    </row>
    <row r="27" spans="1:75" s="212" customFormat="1" ht="15.75" x14ac:dyDescent="0.2">
      <c r="A27" s="34"/>
      <c r="B27" s="210"/>
      <c r="C27" s="35" t="s">
        <v>211</v>
      </c>
      <c r="D27" s="34" t="s">
        <v>5</v>
      </c>
      <c r="E27" s="101">
        <f>(2.04+0.51*2)/100</f>
        <v>3.0600000000000002E-2</v>
      </c>
      <c r="F27" s="202">
        <f>F24*E27</f>
        <v>4.7904300000000006</v>
      </c>
      <c r="G27" s="197"/>
      <c r="H27" s="204"/>
      <c r="I27" s="211"/>
      <c r="J27" s="196"/>
      <c r="K27" s="204"/>
      <c r="L27" s="204"/>
      <c r="M27" s="196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</row>
    <row r="28" spans="1:75" s="214" customFormat="1" ht="15.75" x14ac:dyDescent="0.3">
      <c r="A28" s="31"/>
      <c r="B28" s="31"/>
      <c r="C28" s="31" t="s">
        <v>10</v>
      </c>
      <c r="D28" s="31" t="s">
        <v>0</v>
      </c>
      <c r="E28" s="101">
        <f>6.36/100</f>
        <v>6.3600000000000004E-2</v>
      </c>
      <c r="F28" s="205">
        <f>F24*E28</f>
        <v>9.9565800000000007</v>
      </c>
      <c r="G28" s="206"/>
      <c r="H28" s="207"/>
      <c r="I28" s="213"/>
      <c r="J28" s="208"/>
      <c r="K28" s="207"/>
      <c r="L28" s="207"/>
      <c r="M28" s="20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</row>
    <row r="29" spans="1:75" s="200" customFormat="1" ht="31.5" x14ac:dyDescent="0.3">
      <c r="A29" s="35">
        <v>15</v>
      </c>
      <c r="B29" s="35" t="s">
        <v>212</v>
      </c>
      <c r="C29" s="35" t="s">
        <v>213</v>
      </c>
      <c r="D29" s="35" t="s">
        <v>13</v>
      </c>
      <c r="E29" s="215"/>
      <c r="F29" s="216">
        <f>F24</f>
        <v>156.55000000000001</v>
      </c>
      <c r="G29" s="217"/>
      <c r="H29" s="217"/>
      <c r="I29" s="217"/>
      <c r="J29" s="217"/>
      <c r="K29" s="105"/>
      <c r="L29" s="218"/>
      <c r="M29" s="218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</row>
    <row r="30" spans="1:75" s="200" customFormat="1" ht="15.75" x14ac:dyDescent="0.3">
      <c r="A30" s="31"/>
      <c r="B30" s="31" t="s">
        <v>60</v>
      </c>
      <c r="C30" s="31" t="s">
        <v>3</v>
      </c>
      <c r="D30" s="35" t="s">
        <v>13</v>
      </c>
      <c r="E30" s="101">
        <v>1</v>
      </c>
      <c r="F30" s="208">
        <f>F29*E30</f>
        <v>156.55000000000001</v>
      </c>
      <c r="G30" s="203"/>
      <c r="H30" s="208"/>
      <c r="I30" s="206"/>
      <c r="J30" s="206"/>
      <c r="K30" s="206"/>
      <c r="L30" s="206"/>
      <c r="M30" s="208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</row>
    <row r="31" spans="1:75" s="220" customFormat="1" ht="23.25" customHeight="1" x14ac:dyDescent="0.3">
      <c r="A31" s="31"/>
      <c r="B31" s="31"/>
      <c r="C31" s="31" t="s">
        <v>9</v>
      </c>
      <c r="D31" s="31" t="s">
        <v>0</v>
      </c>
      <c r="E31" s="101">
        <v>4.5199999999999997E-2</v>
      </c>
      <c r="F31" s="208">
        <f>F29*E31</f>
        <v>7.07606</v>
      </c>
      <c r="G31" s="206"/>
      <c r="H31" s="206"/>
      <c r="I31" s="206"/>
      <c r="J31" s="206"/>
      <c r="K31" s="203"/>
      <c r="L31" s="208"/>
      <c r="M31" s="208"/>
    </row>
    <row r="32" spans="1:75" s="220" customFormat="1" ht="15.75" x14ac:dyDescent="0.3">
      <c r="A32" s="31"/>
      <c r="B32" s="31"/>
      <c r="C32" s="31" t="s">
        <v>214</v>
      </c>
      <c r="D32" s="31" t="s">
        <v>13</v>
      </c>
      <c r="E32" s="101">
        <v>1.02</v>
      </c>
      <c r="F32" s="208">
        <f>F29*E32</f>
        <v>159.68100000000001</v>
      </c>
      <c r="G32" s="208"/>
      <c r="H32" s="221"/>
      <c r="I32" s="208"/>
      <c r="J32" s="208"/>
      <c r="K32" s="206"/>
      <c r="L32" s="206"/>
      <c r="M32" s="208"/>
    </row>
    <row r="33" spans="1:13" s="222" customFormat="1" ht="15.75" customHeight="1" x14ac:dyDescent="0.3">
      <c r="A33" s="31"/>
      <c r="B33" s="31"/>
      <c r="C33" s="31" t="s">
        <v>198</v>
      </c>
      <c r="D33" s="31" t="s">
        <v>16</v>
      </c>
      <c r="E33" s="101">
        <v>5</v>
      </c>
      <c r="F33" s="208">
        <f>F29*E33</f>
        <v>782.75</v>
      </c>
      <c r="G33" s="206"/>
      <c r="H33" s="206"/>
      <c r="I33" s="208"/>
      <c r="J33" s="208"/>
      <c r="K33" s="206"/>
      <c r="L33" s="206"/>
      <c r="M33" s="208"/>
    </row>
    <row r="34" spans="1:13" s="223" customFormat="1" ht="15.75" x14ac:dyDescent="0.2">
      <c r="A34" s="34"/>
      <c r="B34" s="34"/>
      <c r="C34" s="34" t="s">
        <v>10</v>
      </c>
      <c r="D34" s="34" t="s">
        <v>0</v>
      </c>
      <c r="E34" s="101">
        <v>4.6600000000000003E-2</v>
      </c>
      <c r="F34" s="196">
        <f>F29*E34</f>
        <v>7.295230000000001</v>
      </c>
      <c r="G34" s="197"/>
      <c r="H34" s="197"/>
      <c r="I34" s="213"/>
      <c r="J34" s="196"/>
      <c r="K34" s="197"/>
      <c r="L34" s="197"/>
      <c r="M34" s="196"/>
    </row>
    <row r="35" spans="1:13" s="228" customFormat="1" ht="16.5" customHeight="1" x14ac:dyDescent="0.25">
      <c r="A35" s="224">
        <v>16</v>
      </c>
      <c r="B35" s="224" t="s">
        <v>199</v>
      </c>
      <c r="C35" s="224" t="s">
        <v>215</v>
      </c>
      <c r="D35" s="224" t="s">
        <v>13</v>
      </c>
      <c r="E35" s="225"/>
      <c r="F35" s="226">
        <v>30</v>
      </c>
      <c r="G35" s="227"/>
      <c r="H35" s="227"/>
      <c r="I35" s="227"/>
      <c r="J35" s="227"/>
      <c r="K35" s="226"/>
      <c r="L35" s="226"/>
      <c r="M35" s="226"/>
    </row>
    <row r="36" spans="1:13" s="228" customFormat="1" ht="16.5" x14ac:dyDescent="0.2">
      <c r="A36" s="23"/>
      <c r="B36" s="229"/>
      <c r="C36" s="23" t="s">
        <v>3</v>
      </c>
      <c r="D36" s="23" t="s">
        <v>4</v>
      </c>
      <c r="E36" s="101">
        <v>1.29</v>
      </c>
      <c r="F36" s="61">
        <f>F35*E36</f>
        <v>38.700000000000003</v>
      </c>
      <c r="G36" s="203"/>
      <c r="H36" s="63"/>
      <c r="I36" s="73"/>
      <c r="J36" s="73"/>
      <c r="K36" s="73"/>
      <c r="L36" s="73"/>
      <c r="M36" s="63"/>
    </row>
    <row r="37" spans="1:13" s="228" customFormat="1" ht="15.75" x14ac:dyDescent="0.2">
      <c r="A37" s="23"/>
      <c r="B37" s="23"/>
      <c r="C37" s="23" t="s">
        <v>9</v>
      </c>
      <c r="D37" s="23" t="s">
        <v>0</v>
      </c>
      <c r="E37" s="101">
        <v>3.4000000000000002E-2</v>
      </c>
      <c r="F37" s="61">
        <f>F35*E37</f>
        <v>1.02</v>
      </c>
      <c r="G37" s="230"/>
      <c r="H37" s="73"/>
      <c r="I37" s="73"/>
      <c r="J37" s="73"/>
      <c r="K37" s="203"/>
      <c r="L37" s="63"/>
      <c r="M37" s="63"/>
    </row>
    <row r="38" spans="1:13" s="232" customFormat="1" ht="15.75" customHeight="1" x14ac:dyDescent="0.2">
      <c r="A38" s="23"/>
      <c r="B38" s="23"/>
      <c r="C38" s="23" t="s">
        <v>216</v>
      </c>
      <c r="D38" s="23" t="s">
        <v>13</v>
      </c>
      <c r="E38" s="101">
        <v>1.0149999999999999</v>
      </c>
      <c r="F38" s="61">
        <f>F35*E38</f>
        <v>30.449999999999996</v>
      </c>
      <c r="G38" s="63"/>
      <c r="H38" s="63"/>
      <c r="I38" s="231"/>
      <c r="J38" s="63"/>
      <c r="K38" s="73"/>
      <c r="L38" s="73"/>
      <c r="M38" s="63"/>
    </row>
    <row r="39" spans="1:13" s="234" customFormat="1" ht="16.5" x14ac:dyDescent="0.3">
      <c r="A39" s="4"/>
      <c r="B39" s="4"/>
      <c r="C39" s="4" t="s">
        <v>217</v>
      </c>
      <c r="D39" s="23" t="s">
        <v>22</v>
      </c>
      <c r="E39" s="101">
        <v>1.07</v>
      </c>
      <c r="F39" s="233">
        <f>F35*E39</f>
        <v>32.1</v>
      </c>
      <c r="G39" s="230"/>
      <c r="H39" s="73"/>
      <c r="I39" s="231"/>
      <c r="J39" s="63"/>
      <c r="K39" s="73"/>
      <c r="L39" s="73"/>
      <c r="M39" s="63"/>
    </row>
    <row r="40" spans="1:13" s="235" customFormat="1" ht="19.5" customHeight="1" x14ac:dyDescent="0.2">
      <c r="A40" s="4"/>
      <c r="B40" s="4"/>
      <c r="C40" s="4" t="s">
        <v>218</v>
      </c>
      <c r="D40" s="23" t="s">
        <v>13</v>
      </c>
      <c r="E40" s="101">
        <v>1.0149999999999999</v>
      </c>
      <c r="F40" s="61">
        <f>F35*E40</f>
        <v>30.449999999999996</v>
      </c>
      <c r="G40" s="230"/>
      <c r="H40" s="73"/>
      <c r="I40" s="231"/>
      <c r="J40" s="63"/>
      <c r="K40" s="73"/>
      <c r="L40" s="73"/>
      <c r="M40" s="63"/>
    </row>
    <row r="41" spans="1:13" s="209" customFormat="1" ht="15.75" x14ac:dyDescent="0.2">
      <c r="A41" s="4"/>
      <c r="B41" s="4"/>
      <c r="C41" s="4" t="s">
        <v>10</v>
      </c>
      <c r="D41" s="23" t="s">
        <v>0</v>
      </c>
      <c r="E41" s="101">
        <v>0.182</v>
      </c>
      <c r="F41" s="61">
        <f>F35*E41</f>
        <v>5.46</v>
      </c>
      <c r="G41" s="230"/>
      <c r="H41" s="73"/>
      <c r="I41" s="213"/>
      <c r="J41" s="63"/>
      <c r="K41" s="73"/>
      <c r="L41" s="73"/>
      <c r="M41" s="63"/>
    </row>
    <row r="42" spans="1:13" s="228" customFormat="1" ht="31.5" x14ac:dyDescent="0.25">
      <c r="A42" s="224">
        <v>21</v>
      </c>
      <c r="B42" s="224" t="s">
        <v>219</v>
      </c>
      <c r="C42" s="224" t="s">
        <v>220</v>
      </c>
      <c r="D42" s="224" t="s">
        <v>13</v>
      </c>
      <c r="E42" s="225"/>
      <c r="F42" s="226">
        <v>56.04</v>
      </c>
      <c r="G42" s="227"/>
      <c r="H42" s="227"/>
      <c r="I42" s="227"/>
      <c r="J42" s="227"/>
      <c r="K42" s="226"/>
      <c r="L42" s="226"/>
      <c r="M42" s="226"/>
    </row>
    <row r="43" spans="1:13" s="228" customFormat="1" ht="16.5" customHeight="1" x14ac:dyDescent="0.2">
      <c r="A43" s="224"/>
      <c r="B43" s="224"/>
      <c r="C43" s="224" t="s">
        <v>11</v>
      </c>
      <c r="D43" s="224" t="s">
        <v>13</v>
      </c>
      <c r="E43" s="101">
        <v>1</v>
      </c>
      <c r="F43" s="226">
        <f>F42*E43</f>
        <v>56.04</v>
      </c>
      <c r="G43" s="227"/>
      <c r="H43" s="227"/>
      <c r="I43" s="227"/>
      <c r="J43" s="227"/>
      <c r="K43" s="226"/>
      <c r="L43" s="226"/>
      <c r="M43" s="226"/>
    </row>
    <row r="44" spans="1:13" s="228" customFormat="1" ht="16.5" customHeight="1" x14ac:dyDescent="0.2">
      <c r="A44" s="224"/>
      <c r="B44" s="224"/>
      <c r="C44" s="224" t="s">
        <v>9</v>
      </c>
      <c r="D44" s="224" t="s">
        <v>0</v>
      </c>
      <c r="E44" s="101">
        <v>0.01</v>
      </c>
      <c r="F44" s="226">
        <f>F42*E44</f>
        <v>0.56040000000000001</v>
      </c>
      <c r="G44" s="227"/>
      <c r="H44" s="227"/>
      <c r="I44" s="227"/>
      <c r="J44" s="227"/>
      <c r="K44" s="226"/>
      <c r="L44" s="226"/>
      <c r="M44" s="226"/>
    </row>
    <row r="45" spans="1:13" s="228" customFormat="1" ht="16.5" customHeight="1" x14ac:dyDescent="0.2">
      <c r="A45" s="224"/>
      <c r="B45" s="224"/>
      <c r="C45" s="224" t="s">
        <v>221</v>
      </c>
      <c r="D45" s="224" t="s">
        <v>16</v>
      </c>
      <c r="E45" s="101">
        <v>0.63</v>
      </c>
      <c r="F45" s="226">
        <f>F42*E45</f>
        <v>35.305199999999999</v>
      </c>
      <c r="G45" s="227"/>
      <c r="H45" s="227"/>
      <c r="I45" s="227"/>
      <c r="J45" s="227"/>
      <c r="K45" s="226"/>
      <c r="L45" s="226"/>
      <c r="M45" s="226"/>
    </row>
    <row r="46" spans="1:13" s="228" customFormat="1" ht="16.5" customHeight="1" x14ac:dyDescent="0.2">
      <c r="A46" s="224"/>
      <c r="B46" s="224"/>
      <c r="C46" s="224" t="s">
        <v>222</v>
      </c>
      <c r="D46" s="224" t="s">
        <v>16</v>
      </c>
      <c r="E46" s="101">
        <v>0.79</v>
      </c>
      <c r="F46" s="226">
        <f>F42*E46</f>
        <v>44.271599999999999</v>
      </c>
      <c r="G46" s="227"/>
      <c r="H46" s="227"/>
      <c r="I46" s="227"/>
      <c r="J46" s="227"/>
      <c r="K46" s="226"/>
      <c r="L46" s="226"/>
      <c r="M46" s="226"/>
    </row>
    <row r="47" spans="1:13" s="228" customFormat="1" ht="16.5" customHeight="1" x14ac:dyDescent="0.2">
      <c r="A47" s="224"/>
      <c r="B47" s="224"/>
      <c r="C47" s="224" t="s">
        <v>10</v>
      </c>
      <c r="D47" s="224" t="s">
        <v>0</v>
      </c>
      <c r="E47" s="101">
        <v>1.6E-2</v>
      </c>
      <c r="F47" s="226">
        <f>F42*E47</f>
        <v>0.89663999999999999</v>
      </c>
      <c r="G47" s="227"/>
      <c r="H47" s="227"/>
      <c r="I47" s="227"/>
      <c r="J47" s="227"/>
      <c r="K47" s="226"/>
      <c r="L47" s="226"/>
      <c r="M47" s="226"/>
    </row>
    <row r="48" spans="1:13" s="94" customFormat="1" ht="15.75" customHeight="1" x14ac:dyDescent="0.3">
      <c r="A48" s="52"/>
      <c r="B48" s="52"/>
      <c r="C48" s="52" t="s">
        <v>1</v>
      </c>
      <c r="D48" s="53"/>
      <c r="E48" s="101"/>
      <c r="F48" s="61"/>
      <c r="G48" s="108"/>
      <c r="H48" s="100"/>
      <c r="I48" s="100"/>
      <c r="J48" s="100"/>
      <c r="K48" s="107"/>
      <c r="L48" s="100"/>
      <c r="M48" s="100"/>
    </row>
    <row r="49" spans="1:13" s="94" customFormat="1" ht="15.75" customHeight="1" x14ac:dyDescent="0.3">
      <c r="A49" s="52"/>
      <c r="B49" s="52"/>
      <c r="C49" s="52" t="s">
        <v>34</v>
      </c>
      <c r="D49" s="165">
        <v>0.1</v>
      </c>
      <c r="E49" s="101"/>
      <c r="F49" s="61"/>
      <c r="G49" s="108"/>
      <c r="H49" s="60"/>
      <c r="I49" s="100"/>
      <c r="J49" s="105"/>
      <c r="K49" s="107"/>
      <c r="L49" s="106"/>
      <c r="M49" s="100"/>
    </row>
    <row r="50" spans="1:13" s="94" customFormat="1" ht="15.75" customHeight="1" x14ac:dyDescent="0.3">
      <c r="A50" s="52"/>
      <c r="B50" s="52"/>
      <c r="C50" s="52" t="s">
        <v>1</v>
      </c>
      <c r="D50" s="165"/>
      <c r="E50" s="101"/>
      <c r="F50" s="61"/>
      <c r="G50" s="108"/>
      <c r="H50" s="60"/>
      <c r="I50" s="100"/>
      <c r="J50" s="105"/>
      <c r="K50" s="107"/>
      <c r="L50" s="106"/>
      <c r="M50" s="100"/>
    </row>
    <row r="51" spans="1:13" s="94" customFormat="1" ht="15.75" customHeight="1" x14ac:dyDescent="0.3">
      <c r="A51" s="52"/>
      <c r="B51" s="52"/>
      <c r="C51" s="52" t="s">
        <v>35</v>
      </c>
      <c r="D51" s="165">
        <v>0.08</v>
      </c>
      <c r="E51" s="101"/>
      <c r="F51" s="61"/>
      <c r="G51" s="108"/>
      <c r="H51" s="60"/>
      <c r="I51" s="100"/>
      <c r="J51" s="105"/>
      <c r="K51" s="107"/>
      <c r="L51" s="106"/>
      <c r="M51" s="100"/>
    </row>
    <row r="52" spans="1:13" s="94" customFormat="1" ht="15.75" customHeight="1" x14ac:dyDescent="0.3">
      <c r="A52" s="52"/>
      <c r="B52" s="52"/>
      <c r="C52" s="52" t="s">
        <v>1</v>
      </c>
      <c r="D52" s="113"/>
      <c r="E52" s="101"/>
      <c r="F52" s="61"/>
      <c r="G52" s="108"/>
      <c r="H52" s="60"/>
      <c r="I52" s="100"/>
      <c r="J52" s="105"/>
      <c r="K52" s="107"/>
      <c r="L52" s="106"/>
      <c r="M52" s="100"/>
    </row>
    <row r="54" spans="1:13" s="173" customFormat="1" ht="14.25" x14ac:dyDescent="0.25">
      <c r="A54" s="172"/>
      <c r="D54" s="172"/>
    </row>
    <row r="58" spans="1:13" s="173" customFormat="1" ht="14.25" x14ac:dyDescent="0.25">
      <c r="A58" s="172"/>
      <c r="D58" s="172"/>
    </row>
  </sheetData>
  <mergeCells count="11">
    <mergeCell ref="M5:M6"/>
    <mergeCell ref="L1:M1"/>
    <mergeCell ref="A2:M3"/>
    <mergeCell ref="A4:M4"/>
    <mergeCell ref="A5:A6"/>
    <mergeCell ref="B5:B6"/>
    <mergeCell ref="C5:C6"/>
    <mergeCell ref="D5:F5"/>
    <mergeCell ref="G5:H5"/>
    <mergeCell ref="I5:J5"/>
    <mergeCell ref="K5:L5"/>
  </mergeCells>
  <pageMargins left="0.2" right="0.2" top="0.22" bottom="0.2" header="0.2" footer="0.2"/>
  <pageSetup paperSize="9" scale="9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Zeros="0"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">
        <v>111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კრებსითი!B18</f>
        <v>აუზის დანადგარების სათავსოს ჭიშკრების მოწყობის სამუშაოები (ნახაზი#8)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37.5" customHeight="1" x14ac:dyDescent="0.3">
      <c r="A8" s="124">
        <v>1</v>
      </c>
      <c r="B8" s="118" t="s">
        <v>69</v>
      </c>
      <c r="C8" s="127" t="s">
        <v>92</v>
      </c>
      <c r="D8" s="118" t="s">
        <v>53</v>
      </c>
      <c r="E8" s="119"/>
      <c r="F8" s="119">
        <f>SUM(F11:F12)</f>
        <v>93.2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30">
        <v>0.47599999999999998</v>
      </c>
      <c r="C9" s="127" t="s">
        <v>3</v>
      </c>
      <c r="D9" s="118" t="s">
        <v>60</v>
      </c>
      <c r="E9" s="120">
        <v>1</v>
      </c>
      <c r="F9" s="119">
        <f>F$8*E9</f>
        <v>93.2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3.1408400000000003</v>
      </c>
      <c r="G10" s="119"/>
      <c r="H10" s="119"/>
      <c r="I10" s="119"/>
      <c r="J10" s="119"/>
      <c r="K10" s="119"/>
      <c r="L10" s="119"/>
      <c r="M10" s="119"/>
    </row>
    <row r="11" spans="1:13" s="126" customFormat="1" ht="15.75" x14ac:dyDescent="0.25">
      <c r="A11" s="124"/>
      <c r="B11" s="118"/>
      <c r="C11" s="129" t="s">
        <v>54</v>
      </c>
      <c r="D11" s="118" t="s">
        <v>53</v>
      </c>
      <c r="E11" s="119" t="s">
        <v>59</v>
      </c>
      <c r="F11" s="119">
        <f>14.4*2</f>
        <v>28.8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9" t="s">
        <v>56</v>
      </c>
      <c r="D12" s="118" t="s">
        <v>53</v>
      </c>
      <c r="E12" s="119" t="s">
        <v>59</v>
      </c>
      <c r="F12" s="119">
        <f>32.2*2</f>
        <v>64.400000000000006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44"/>
      <c r="B13" s="145"/>
      <c r="C13" s="153" t="s">
        <v>86</v>
      </c>
      <c r="D13" s="145" t="s">
        <v>87</v>
      </c>
      <c r="E13" s="147" t="s">
        <v>59</v>
      </c>
      <c r="F13" s="147">
        <v>8</v>
      </c>
      <c r="G13" s="147"/>
      <c r="H13" s="147"/>
      <c r="I13" s="147"/>
      <c r="J13" s="147"/>
      <c r="K13" s="147"/>
      <c r="L13" s="147"/>
      <c r="M13" s="119"/>
    </row>
    <row r="14" spans="1:13" s="126" customFormat="1" ht="15.75" x14ac:dyDescent="0.25">
      <c r="A14" s="144"/>
      <c r="B14" s="145"/>
      <c r="C14" s="153" t="s">
        <v>88</v>
      </c>
      <c r="D14" s="145" t="s">
        <v>87</v>
      </c>
      <c r="E14" s="147" t="s">
        <v>59</v>
      </c>
      <c r="F14" s="147">
        <v>2</v>
      </c>
      <c r="G14" s="147"/>
      <c r="H14" s="147"/>
      <c r="I14" s="147"/>
      <c r="J14" s="147"/>
      <c r="K14" s="147"/>
      <c r="L14" s="147"/>
      <c r="M14" s="119"/>
    </row>
    <row r="15" spans="1:13" s="126" customFormat="1" ht="15.75" x14ac:dyDescent="0.25">
      <c r="A15" s="124"/>
      <c r="B15" s="118"/>
      <c r="C15" s="127" t="s">
        <v>58</v>
      </c>
      <c r="D15" s="125" t="s">
        <v>25</v>
      </c>
      <c r="E15" s="119" t="s">
        <v>59</v>
      </c>
      <c r="F15" s="119">
        <f>4*4*2</f>
        <v>32</v>
      </c>
      <c r="G15" s="119"/>
      <c r="H15" s="119"/>
      <c r="I15" s="119"/>
      <c r="J15" s="119"/>
      <c r="K15" s="119"/>
      <c r="L15" s="119"/>
      <c r="M15" s="119"/>
    </row>
    <row r="16" spans="1:13" s="126" customFormat="1" ht="15.75" x14ac:dyDescent="0.25">
      <c r="A16" s="124"/>
      <c r="B16" s="118"/>
      <c r="C16" s="127" t="s">
        <v>15</v>
      </c>
      <c r="D16" s="118" t="s">
        <v>16</v>
      </c>
      <c r="E16" s="119" t="s">
        <v>59</v>
      </c>
      <c r="F16" s="119">
        <f>SUM(J11:J15)/2.11*0.03</f>
        <v>0</v>
      </c>
      <c r="G16" s="119"/>
      <c r="H16" s="119"/>
      <c r="I16" s="119"/>
      <c r="J16" s="119"/>
      <c r="K16" s="119"/>
      <c r="L16" s="119"/>
      <c r="M16" s="119"/>
    </row>
    <row r="17" spans="1:13" s="92" customFormat="1" ht="15.75" x14ac:dyDescent="0.25">
      <c r="A17" s="124"/>
      <c r="B17" s="117"/>
      <c r="C17" s="116" t="s">
        <v>49</v>
      </c>
      <c r="D17" s="118" t="s">
        <v>52</v>
      </c>
      <c r="E17" s="119">
        <v>2.5999999999999999E-2</v>
      </c>
      <c r="F17" s="119">
        <f>F$8*E17</f>
        <v>2.4232</v>
      </c>
      <c r="G17" s="119"/>
      <c r="H17" s="119"/>
      <c r="I17" s="119"/>
      <c r="J17" s="119"/>
      <c r="K17" s="119"/>
      <c r="L17" s="119"/>
      <c r="M17" s="119"/>
    </row>
    <row r="18" spans="1:13" s="93" customFormat="1" ht="37.5" customHeight="1" x14ac:dyDescent="0.25">
      <c r="A18" s="136">
        <v>2</v>
      </c>
      <c r="B18" s="34" t="s">
        <v>61</v>
      </c>
      <c r="C18" s="127" t="s">
        <v>179</v>
      </c>
      <c r="D18" s="118" t="s">
        <v>8</v>
      </c>
      <c r="E18" s="119"/>
      <c r="F18" s="131">
        <f>0.35*7.85*12/1000</f>
        <v>3.2969999999999999E-2</v>
      </c>
      <c r="G18" s="119"/>
      <c r="H18" s="119"/>
      <c r="I18" s="119"/>
      <c r="J18" s="119"/>
      <c r="K18" s="119"/>
      <c r="L18" s="119"/>
      <c r="M18" s="119"/>
    </row>
    <row r="19" spans="1:13" s="94" customFormat="1" ht="15.75" x14ac:dyDescent="0.25">
      <c r="A19" s="134"/>
      <c r="B19" s="85"/>
      <c r="C19" s="129" t="s">
        <v>3</v>
      </c>
      <c r="D19" s="118" t="s">
        <v>65</v>
      </c>
      <c r="E19" s="119">
        <v>53.8</v>
      </c>
      <c r="F19" s="120">
        <f t="shared" ref="F19:F24" si="0">F$18*E19</f>
        <v>1.7737859999999999</v>
      </c>
      <c r="G19" s="119"/>
      <c r="H19" s="119"/>
      <c r="I19" s="119"/>
      <c r="J19" s="119"/>
      <c r="K19" s="119"/>
      <c r="L19" s="119"/>
      <c r="M19" s="119"/>
    </row>
    <row r="20" spans="1:13" s="94" customFormat="1" ht="15.75" customHeight="1" x14ac:dyDescent="0.25">
      <c r="A20" s="134"/>
      <c r="B20" s="85"/>
      <c r="C20" s="129" t="s">
        <v>9</v>
      </c>
      <c r="D20" s="118" t="s">
        <v>52</v>
      </c>
      <c r="E20" s="119">
        <v>18.399999999999999</v>
      </c>
      <c r="F20" s="120">
        <f t="shared" si="0"/>
        <v>0.60664799999999997</v>
      </c>
      <c r="G20" s="119"/>
      <c r="H20" s="119"/>
      <c r="I20" s="119"/>
      <c r="J20" s="119"/>
      <c r="K20" s="119"/>
      <c r="L20" s="119"/>
      <c r="M20" s="119"/>
    </row>
    <row r="21" spans="1:13" s="51" customFormat="1" ht="15.75" x14ac:dyDescent="0.3">
      <c r="A21" s="134"/>
      <c r="B21" s="85"/>
      <c r="C21" s="129" t="s">
        <v>63</v>
      </c>
      <c r="D21" s="118" t="s">
        <v>66</v>
      </c>
      <c r="E21" s="119">
        <v>0.35</v>
      </c>
      <c r="F21" s="120">
        <f t="shared" si="0"/>
        <v>1.1539499999999999E-2</v>
      </c>
      <c r="G21" s="119"/>
      <c r="H21" s="119"/>
      <c r="I21" s="119"/>
      <c r="J21" s="119"/>
      <c r="K21" s="119"/>
      <c r="L21" s="119"/>
      <c r="M21" s="119"/>
    </row>
    <row r="22" spans="1:13" s="92" customFormat="1" ht="31.5" x14ac:dyDescent="0.25">
      <c r="A22" s="134"/>
      <c r="B22" s="85"/>
      <c r="C22" s="129" t="s">
        <v>64</v>
      </c>
      <c r="D22" s="118" t="s">
        <v>67</v>
      </c>
      <c r="E22" s="119">
        <v>1</v>
      </c>
      <c r="F22" s="120">
        <f t="shared" si="0"/>
        <v>3.2969999999999999E-2</v>
      </c>
      <c r="G22" s="119"/>
      <c r="H22" s="119"/>
      <c r="I22" s="119"/>
      <c r="J22" s="119"/>
      <c r="K22" s="119"/>
      <c r="L22" s="119"/>
      <c r="M22" s="119"/>
    </row>
    <row r="23" spans="1:13" s="94" customFormat="1" ht="15.75" x14ac:dyDescent="0.25">
      <c r="A23" s="134"/>
      <c r="B23" s="85"/>
      <c r="C23" s="129" t="s">
        <v>15</v>
      </c>
      <c r="D23" s="125" t="s">
        <v>16</v>
      </c>
      <c r="E23" s="119">
        <v>24.4</v>
      </c>
      <c r="F23" s="120">
        <f t="shared" si="0"/>
        <v>0.80446799999999996</v>
      </c>
      <c r="G23" s="119"/>
      <c r="H23" s="119"/>
      <c r="I23" s="119"/>
      <c r="J23" s="119"/>
      <c r="K23" s="119"/>
      <c r="L23" s="119"/>
      <c r="M23" s="119"/>
    </row>
    <row r="24" spans="1:13" s="94" customFormat="1" ht="15.75" customHeight="1" x14ac:dyDescent="0.25">
      <c r="A24" s="134"/>
      <c r="B24" s="85"/>
      <c r="C24" s="129" t="s">
        <v>10</v>
      </c>
      <c r="D24" s="118" t="s">
        <v>0</v>
      </c>
      <c r="E24" s="119">
        <v>2.78</v>
      </c>
      <c r="F24" s="120">
        <f t="shared" si="0"/>
        <v>9.1656599999999991E-2</v>
      </c>
      <c r="G24" s="119"/>
      <c r="H24" s="119"/>
      <c r="I24" s="119"/>
      <c r="J24" s="119"/>
      <c r="K24" s="119"/>
      <c r="L24" s="119"/>
      <c r="M24" s="119"/>
    </row>
    <row r="25" spans="1:13" s="25" customFormat="1" ht="37.5" customHeight="1" x14ac:dyDescent="0.2">
      <c r="A25" s="135">
        <v>3</v>
      </c>
      <c r="B25" s="34" t="s">
        <v>23</v>
      </c>
      <c r="C25" s="132" t="s">
        <v>68</v>
      </c>
      <c r="D25" s="34" t="s">
        <v>13</v>
      </c>
      <c r="E25" s="36"/>
      <c r="F25" s="37">
        <f>1.5/0.25</f>
        <v>6</v>
      </c>
      <c r="G25" s="119"/>
      <c r="H25" s="119"/>
      <c r="I25" s="119"/>
      <c r="J25" s="119"/>
      <c r="K25" s="119"/>
      <c r="L25" s="119"/>
      <c r="M25" s="119"/>
    </row>
    <row r="26" spans="1:13" s="25" customFormat="1" ht="15.75" x14ac:dyDescent="0.3">
      <c r="A26" s="59"/>
      <c r="B26" s="59"/>
      <c r="C26" s="129" t="s">
        <v>11</v>
      </c>
      <c r="D26" s="18" t="s">
        <v>4</v>
      </c>
      <c r="E26" s="14">
        <v>0.68</v>
      </c>
      <c r="F26" s="24">
        <f>F$25*E26</f>
        <v>4.08</v>
      </c>
      <c r="G26" s="119"/>
      <c r="H26" s="119"/>
      <c r="I26" s="119"/>
      <c r="J26" s="119"/>
      <c r="K26" s="119"/>
      <c r="L26" s="119"/>
      <c r="M26" s="119"/>
    </row>
    <row r="27" spans="1:13" s="25" customFormat="1" ht="15.75" x14ac:dyDescent="0.3">
      <c r="A27" s="59"/>
      <c r="B27" s="59"/>
      <c r="C27" s="129" t="s">
        <v>9</v>
      </c>
      <c r="D27" s="18" t="s">
        <v>0</v>
      </c>
      <c r="E27" s="24">
        <f>0.03/100</f>
        <v>2.9999999999999997E-4</v>
      </c>
      <c r="F27" s="24">
        <f>F$25*E27</f>
        <v>1.8E-3</v>
      </c>
      <c r="G27" s="119"/>
      <c r="H27" s="119"/>
      <c r="I27" s="119"/>
      <c r="J27" s="119"/>
      <c r="K27" s="119"/>
      <c r="L27" s="120"/>
      <c r="M27" s="119"/>
    </row>
    <row r="28" spans="1:13" s="25" customFormat="1" ht="15.75" x14ac:dyDescent="0.3">
      <c r="A28" s="59"/>
      <c r="B28" s="59"/>
      <c r="C28" s="129" t="s">
        <v>24</v>
      </c>
      <c r="D28" s="18" t="s">
        <v>17</v>
      </c>
      <c r="E28" s="24">
        <f>(24.6+2.7)/100</f>
        <v>0.27300000000000002</v>
      </c>
      <c r="F28" s="24">
        <f>F$25*E28</f>
        <v>1.6380000000000001</v>
      </c>
      <c r="G28" s="119"/>
      <c r="H28" s="119"/>
      <c r="I28" s="119"/>
      <c r="J28" s="119"/>
      <c r="K28" s="119"/>
      <c r="L28" s="119"/>
      <c r="M28" s="119"/>
    </row>
    <row r="29" spans="1:13" s="1" customFormat="1" ht="16.5" x14ac:dyDescent="0.3">
      <c r="A29" s="59"/>
      <c r="B29" s="59"/>
      <c r="C29" s="129" t="s">
        <v>10</v>
      </c>
      <c r="D29" s="18" t="s">
        <v>0</v>
      </c>
      <c r="E29" s="24">
        <f>0.19/100</f>
        <v>1.9E-3</v>
      </c>
      <c r="F29" s="24">
        <f>F$25*E29</f>
        <v>1.14E-2</v>
      </c>
      <c r="G29" s="119"/>
      <c r="H29" s="119"/>
      <c r="I29" s="119"/>
      <c r="J29" s="119"/>
      <c r="K29" s="119"/>
      <c r="L29" s="120"/>
      <c r="M29" s="119"/>
    </row>
    <row r="30" spans="1:13" s="94" customFormat="1" ht="15.75" customHeight="1" x14ac:dyDescent="0.3">
      <c r="A30" s="52"/>
      <c r="B30" s="52"/>
      <c r="C30" s="52" t="s">
        <v>1</v>
      </c>
      <c r="D30" s="53"/>
      <c r="E30" s="120"/>
      <c r="F30" s="61"/>
      <c r="G30" s="121"/>
      <c r="H30" s="119"/>
      <c r="I30" s="119"/>
      <c r="J30" s="119"/>
      <c r="K30" s="122"/>
      <c r="L30" s="119"/>
      <c r="M30" s="119"/>
    </row>
    <row r="31" spans="1:13" s="94" customFormat="1" ht="15.75" customHeight="1" x14ac:dyDescent="0.3">
      <c r="A31" s="52"/>
      <c r="B31" s="52"/>
      <c r="C31" s="52" t="s">
        <v>34</v>
      </c>
      <c r="D31" s="113">
        <v>0.1</v>
      </c>
      <c r="E31" s="120"/>
      <c r="F31" s="61"/>
      <c r="G31" s="121"/>
      <c r="H31" s="123"/>
      <c r="I31" s="119"/>
      <c r="J31" s="105"/>
      <c r="K31" s="122"/>
      <c r="L31" s="106"/>
      <c r="M31" s="119"/>
    </row>
    <row r="32" spans="1:13" s="94" customFormat="1" ht="15.75" customHeight="1" x14ac:dyDescent="0.3">
      <c r="A32" s="52"/>
      <c r="B32" s="52"/>
      <c r="C32" s="52" t="s">
        <v>1</v>
      </c>
      <c r="D32" s="113"/>
      <c r="E32" s="120"/>
      <c r="F32" s="61"/>
      <c r="G32" s="121"/>
      <c r="H32" s="123"/>
      <c r="I32" s="119"/>
      <c r="J32" s="105"/>
      <c r="K32" s="122"/>
      <c r="L32" s="106"/>
      <c r="M32" s="119"/>
    </row>
    <row r="33" spans="1:13" s="94" customFormat="1" ht="15.75" customHeight="1" x14ac:dyDescent="0.3">
      <c r="A33" s="52"/>
      <c r="B33" s="52"/>
      <c r="C33" s="52" t="s">
        <v>35</v>
      </c>
      <c r="D33" s="113">
        <v>0.08</v>
      </c>
      <c r="E33" s="120"/>
      <c r="F33" s="61"/>
      <c r="G33" s="121"/>
      <c r="H33" s="123"/>
      <c r="I33" s="119"/>
      <c r="J33" s="105"/>
      <c r="K33" s="122"/>
      <c r="L33" s="106"/>
      <c r="M33" s="119"/>
    </row>
    <row r="34" spans="1:13" s="94" customFormat="1" ht="15.75" customHeight="1" x14ac:dyDescent="0.3">
      <c r="A34" s="52"/>
      <c r="B34" s="52"/>
      <c r="C34" s="52" t="s">
        <v>1</v>
      </c>
      <c r="D34" s="113"/>
      <c r="E34" s="120"/>
      <c r="F34" s="61"/>
      <c r="G34" s="121"/>
      <c r="H34" s="123"/>
      <c r="I34" s="119"/>
      <c r="J34" s="105"/>
      <c r="K34" s="122"/>
      <c r="L34" s="106"/>
      <c r="M34" s="119"/>
    </row>
    <row r="39" spans="1:13" s="173" customFormat="1" ht="14.25" x14ac:dyDescent="0.25">
      <c r="A39" s="172"/>
      <c r="D39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31496062992125984" right="0.23622047244094491" top="0.42" bottom="0.44" header="0.19685039370078741" footer="0.19685039370078741"/>
  <pageSetup paperSize="9" scale="9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ჭიშკრები!A2:M3</f>
        <v xml:space="preserve"> შპს "სპორტმშენსერვისის" კუთვნილ შენობა-ნაგებობებში ქალაქი თბილისი,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კრებსითი!B19</f>
        <v>პატარა აუზის მომსახურე დანადგარების სათავსოში ჩასასვლელი კიბისა და მოაჯირების მოწყობის სამუშაოები (ნახაზი#9)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32.25" customHeight="1" x14ac:dyDescent="0.3">
      <c r="A8" s="124">
        <v>1</v>
      </c>
      <c r="B8" s="118" t="s">
        <v>69</v>
      </c>
      <c r="C8" s="127" t="s">
        <v>89</v>
      </c>
      <c r="D8" s="118" t="s">
        <v>51</v>
      </c>
      <c r="E8" s="119"/>
      <c r="F8" s="119">
        <f>SUM(F11:F14)</f>
        <v>51.2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30">
        <v>0.47599999999999998</v>
      </c>
      <c r="C9" s="127" t="s">
        <v>3</v>
      </c>
      <c r="D9" s="118" t="s">
        <v>60</v>
      </c>
      <c r="E9" s="120">
        <v>1</v>
      </c>
      <c r="F9" s="119">
        <f>F$8*E9</f>
        <v>51.2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1.7254400000000001</v>
      </c>
      <c r="G10" s="119"/>
      <c r="H10" s="119"/>
      <c r="I10" s="119"/>
      <c r="J10" s="119"/>
      <c r="K10" s="119"/>
      <c r="L10" s="119"/>
      <c r="M10" s="119"/>
    </row>
    <row r="11" spans="1:13" s="90" customFormat="1" ht="15.75" x14ac:dyDescent="0.3">
      <c r="A11" s="124"/>
      <c r="B11" s="118"/>
      <c r="C11" s="129" t="s">
        <v>90</v>
      </c>
      <c r="D11" s="118" t="s">
        <v>53</v>
      </c>
      <c r="E11" s="119" t="s">
        <v>59</v>
      </c>
      <c r="F11" s="119">
        <v>4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9" t="s">
        <v>55</v>
      </c>
      <c r="D12" s="118" t="s">
        <v>53</v>
      </c>
      <c r="E12" s="119" t="s">
        <v>59</v>
      </c>
      <c r="F12" s="119">
        <v>22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24"/>
      <c r="B13" s="118"/>
      <c r="C13" s="129" t="s">
        <v>54</v>
      </c>
      <c r="D13" s="118" t="s">
        <v>53</v>
      </c>
      <c r="E13" s="119" t="s">
        <v>59</v>
      </c>
      <c r="F13" s="119">
        <v>14</v>
      </c>
      <c r="G13" s="119"/>
      <c r="H13" s="119"/>
      <c r="I13" s="119"/>
      <c r="J13" s="119"/>
      <c r="K13" s="119"/>
      <c r="L13" s="119"/>
      <c r="M13" s="119"/>
    </row>
    <row r="14" spans="1:13" s="126" customFormat="1" ht="15.75" x14ac:dyDescent="0.25">
      <c r="A14" s="124"/>
      <c r="B14" s="118"/>
      <c r="C14" s="129" t="s">
        <v>56</v>
      </c>
      <c r="D14" s="118" t="s">
        <v>53</v>
      </c>
      <c r="E14" s="119" t="s">
        <v>59</v>
      </c>
      <c r="F14" s="119">
        <v>11.2</v>
      </c>
      <c r="G14" s="119"/>
      <c r="H14" s="119"/>
      <c r="I14" s="119"/>
      <c r="J14" s="119"/>
      <c r="K14" s="119"/>
      <c r="L14" s="119"/>
      <c r="M14" s="119"/>
    </row>
    <row r="15" spans="1:13" s="126" customFormat="1" ht="15.75" x14ac:dyDescent="0.25">
      <c r="A15" s="124"/>
      <c r="B15" s="118"/>
      <c r="C15" s="127" t="s">
        <v>58</v>
      </c>
      <c r="D15" s="125" t="s">
        <v>25</v>
      </c>
      <c r="E15" s="119" t="s">
        <v>59</v>
      </c>
      <c r="F15" s="119">
        <v>8</v>
      </c>
      <c r="G15" s="119"/>
      <c r="H15" s="119"/>
      <c r="I15" s="119"/>
      <c r="J15" s="119"/>
      <c r="K15" s="119"/>
      <c r="L15" s="119"/>
      <c r="M15" s="119"/>
    </row>
    <row r="16" spans="1:13" s="126" customFormat="1" ht="15.75" x14ac:dyDescent="0.25">
      <c r="A16" s="124"/>
      <c r="B16" s="118"/>
      <c r="C16" s="127" t="s">
        <v>15</v>
      </c>
      <c r="D16" s="118" t="s">
        <v>16</v>
      </c>
      <c r="E16" s="119" t="s">
        <v>59</v>
      </c>
      <c r="F16" s="119">
        <f>SUM(J11:J15)/2.11*0.03</f>
        <v>0</v>
      </c>
      <c r="G16" s="119"/>
      <c r="H16" s="119"/>
      <c r="I16" s="119"/>
      <c r="J16" s="119"/>
      <c r="K16" s="119"/>
      <c r="L16" s="119"/>
      <c r="M16" s="119"/>
    </row>
    <row r="17" spans="1:13" s="92" customFormat="1" ht="15.75" x14ac:dyDescent="0.25">
      <c r="A17" s="124"/>
      <c r="B17" s="117"/>
      <c r="C17" s="116" t="s">
        <v>49</v>
      </c>
      <c r="D17" s="118" t="s">
        <v>52</v>
      </c>
      <c r="E17" s="119">
        <v>2.5999999999999999E-2</v>
      </c>
      <c r="F17" s="119">
        <f>F$8*E17</f>
        <v>1.3311999999999999</v>
      </c>
      <c r="G17" s="119"/>
      <c r="H17" s="119"/>
      <c r="I17" s="119"/>
      <c r="J17" s="119"/>
      <c r="K17" s="119"/>
      <c r="L17" s="119"/>
      <c r="M17" s="119"/>
    </row>
    <row r="18" spans="1:13" s="93" customFormat="1" ht="43.5" customHeight="1" x14ac:dyDescent="0.25">
      <c r="A18" s="136">
        <v>2</v>
      </c>
      <c r="B18" s="34" t="s">
        <v>61</v>
      </c>
      <c r="C18" s="127" t="s">
        <v>91</v>
      </c>
      <c r="D18" s="118" t="s">
        <v>8</v>
      </c>
      <c r="E18" s="119"/>
      <c r="F18" s="166">
        <f>2.5*7.85*4/1000</f>
        <v>7.85E-2</v>
      </c>
      <c r="G18" s="119"/>
      <c r="H18" s="119"/>
      <c r="I18" s="119"/>
      <c r="J18" s="119"/>
      <c r="K18" s="119"/>
      <c r="L18" s="119"/>
      <c r="M18" s="119"/>
    </row>
    <row r="19" spans="1:13" s="94" customFormat="1" ht="15.75" x14ac:dyDescent="0.25">
      <c r="A19" s="134"/>
      <c r="B19" s="85" t="s">
        <v>60</v>
      </c>
      <c r="C19" s="129" t="s">
        <v>3</v>
      </c>
      <c r="D19" s="118" t="s">
        <v>65</v>
      </c>
      <c r="E19" s="119">
        <v>1</v>
      </c>
      <c r="F19" s="120">
        <f t="shared" ref="F19:F24" si="0">F$18*E19</f>
        <v>7.85E-2</v>
      </c>
      <c r="G19" s="119"/>
      <c r="H19" s="119"/>
      <c r="I19" s="119"/>
      <c r="J19" s="119"/>
      <c r="K19" s="119"/>
      <c r="L19" s="119"/>
      <c r="M19" s="119"/>
    </row>
    <row r="20" spans="1:13" s="94" customFormat="1" ht="15.75" customHeight="1" x14ac:dyDescent="0.25">
      <c r="A20" s="134"/>
      <c r="B20" s="85"/>
      <c r="C20" s="129" t="s">
        <v>9</v>
      </c>
      <c r="D20" s="118" t="s">
        <v>52</v>
      </c>
      <c r="E20" s="119">
        <v>18.399999999999999</v>
      </c>
      <c r="F20" s="120">
        <f t="shared" si="0"/>
        <v>1.4443999999999999</v>
      </c>
      <c r="G20" s="119"/>
      <c r="H20" s="119"/>
      <c r="I20" s="119"/>
      <c r="J20" s="119"/>
      <c r="K20" s="119"/>
      <c r="L20" s="119"/>
      <c r="M20" s="119"/>
    </row>
    <row r="21" spans="1:13" s="51" customFormat="1" ht="15.75" x14ac:dyDescent="0.3">
      <c r="A21" s="134"/>
      <c r="B21" s="85"/>
      <c r="C21" s="129" t="s">
        <v>63</v>
      </c>
      <c r="D21" s="118" t="s">
        <v>66</v>
      </c>
      <c r="E21" s="119">
        <v>0.35</v>
      </c>
      <c r="F21" s="120">
        <f t="shared" si="0"/>
        <v>2.7474999999999999E-2</v>
      </c>
      <c r="G21" s="119"/>
      <c r="H21" s="119"/>
      <c r="I21" s="119"/>
      <c r="J21" s="119"/>
      <c r="K21" s="119"/>
      <c r="L21" s="119"/>
      <c r="M21" s="119"/>
    </row>
    <row r="22" spans="1:13" s="92" customFormat="1" ht="31.5" x14ac:dyDescent="0.25">
      <c r="A22" s="134"/>
      <c r="B22" s="85"/>
      <c r="C22" s="129" t="s">
        <v>64</v>
      </c>
      <c r="D22" s="118" t="s">
        <v>67</v>
      </c>
      <c r="E22" s="119">
        <v>1</v>
      </c>
      <c r="F22" s="120">
        <f t="shared" si="0"/>
        <v>7.85E-2</v>
      </c>
      <c r="G22" s="119"/>
      <c r="H22" s="119"/>
      <c r="I22" s="119"/>
      <c r="J22" s="119"/>
      <c r="K22" s="119"/>
      <c r="L22" s="119"/>
      <c r="M22" s="119"/>
    </row>
    <row r="23" spans="1:13" s="94" customFormat="1" ht="15.75" x14ac:dyDescent="0.25">
      <c r="A23" s="134"/>
      <c r="B23" s="85"/>
      <c r="C23" s="129" t="s">
        <v>15</v>
      </c>
      <c r="D23" s="125" t="s">
        <v>16</v>
      </c>
      <c r="E23" s="119">
        <v>24.4</v>
      </c>
      <c r="F23" s="120">
        <f t="shared" si="0"/>
        <v>1.9154</v>
      </c>
      <c r="G23" s="119"/>
      <c r="H23" s="119"/>
      <c r="I23" s="119"/>
      <c r="J23" s="119"/>
      <c r="K23" s="119"/>
      <c r="L23" s="119"/>
      <c r="M23" s="119"/>
    </row>
    <row r="24" spans="1:13" s="94" customFormat="1" ht="15.75" customHeight="1" x14ac:dyDescent="0.25">
      <c r="A24" s="134"/>
      <c r="B24" s="85"/>
      <c r="C24" s="129" t="s">
        <v>10</v>
      </c>
      <c r="D24" s="118" t="s">
        <v>0</v>
      </c>
      <c r="E24" s="119">
        <v>2.78</v>
      </c>
      <c r="F24" s="120">
        <f t="shared" si="0"/>
        <v>0.21822999999999998</v>
      </c>
      <c r="G24" s="119"/>
      <c r="H24" s="119"/>
      <c r="I24" s="119"/>
      <c r="J24" s="119"/>
      <c r="K24" s="119"/>
      <c r="L24" s="119"/>
      <c r="M24" s="119"/>
    </row>
    <row r="25" spans="1:13" s="25" customFormat="1" ht="39" customHeight="1" x14ac:dyDescent="0.2">
      <c r="A25" s="135">
        <v>3</v>
      </c>
      <c r="B25" s="34" t="s">
        <v>23</v>
      </c>
      <c r="C25" s="132" t="s">
        <v>68</v>
      </c>
      <c r="D25" s="34" t="s">
        <v>13</v>
      </c>
      <c r="E25" s="36"/>
      <c r="F25" s="37">
        <f>3/0.25</f>
        <v>12</v>
      </c>
      <c r="G25" s="119"/>
      <c r="H25" s="119"/>
      <c r="I25" s="119"/>
      <c r="J25" s="119"/>
      <c r="K25" s="119"/>
      <c r="L25" s="119"/>
      <c r="M25" s="119"/>
    </row>
    <row r="26" spans="1:13" s="25" customFormat="1" ht="15.75" x14ac:dyDescent="0.3">
      <c r="A26" s="59"/>
      <c r="B26" s="59"/>
      <c r="C26" s="129" t="s">
        <v>11</v>
      </c>
      <c r="D26" s="18" t="s">
        <v>4</v>
      </c>
      <c r="E26" s="14">
        <v>0.68</v>
      </c>
      <c r="F26" s="24">
        <f>F$25*E26</f>
        <v>8.16</v>
      </c>
      <c r="G26" s="119"/>
      <c r="H26" s="119"/>
      <c r="I26" s="119"/>
      <c r="J26" s="119"/>
      <c r="K26" s="119"/>
      <c r="L26" s="119"/>
      <c r="M26" s="119"/>
    </row>
    <row r="27" spans="1:13" s="25" customFormat="1" ht="15.75" x14ac:dyDescent="0.3">
      <c r="A27" s="59"/>
      <c r="B27" s="59"/>
      <c r="C27" s="129" t="s">
        <v>9</v>
      </c>
      <c r="D27" s="18" t="s">
        <v>0</v>
      </c>
      <c r="E27" s="24">
        <f>0.03/100</f>
        <v>2.9999999999999997E-4</v>
      </c>
      <c r="F27" s="24">
        <f>F$25*E27</f>
        <v>3.5999999999999999E-3</v>
      </c>
      <c r="G27" s="119"/>
      <c r="H27" s="119"/>
      <c r="I27" s="119"/>
      <c r="J27" s="119"/>
      <c r="K27" s="119"/>
      <c r="L27" s="120"/>
      <c r="M27" s="119"/>
    </row>
    <row r="28" spans="1:13" s="25" customFormat="1" ht="15.75" x14ac:dyDescent="0.3">
      <c r="A28" s="59"/>
      <c r="B28" s="59"/>
      <c r="C28" s="129" t="s">
        <v>24</v>
      </c>
      <c r="D28" s="18" t="s">
        <v>17</v>
      </c>
      <c r="E28" s="24">
        <f>(24.6+2.7)/100</f>
        <v>0.27300000000000002</v>
      </c>
      <c r="F28" s="24">
        <f>F$25*E28</f>
        <v>3.2760000000000002</v>
      </c>
      <c r="G28" s="119"/>
      <c r="H28" s="119"/>
      <c r="I28" s="119"/>
      <c r="J28" s="119"/>
      <c r="K28" s="119"/>
      <c r="L28" s="119"/>
      <c r="M28" s="119"/>
    </row>
    <row r="29" spans="1:13" s="1" customFormat="1" ht="16.5" x14ac:dyDescent="0.3">
      <c r="A29" s="59"/>
      <c r="B29" s="59"/>
      <c r="C29" s="129" t="s">
        <v>10</v>
      </c>
      <c r="D29" s="18" t="s">
        <v>0</v>
      </c>
      <c r="E29" s="24">
        <f>0.19/100</f>
        <v>1.9E-3</v>
      </c>
      <c r="F29" s="24">
        <f>F$25*E29</f>
        <v>2.2800000000000001E-2</v>
      </c>
      <c r="G29" s="119"/>
      <c r="H29" s="119"/>
      <c r="I29" s="119"/>
      <c r="J29" s="119"/>
      <c r="K29" s="119"/>
      <c r="L29" s="120"/>
      <c r="M29" s="119"/>
    </row>
    <row r="30" spans="1:13" s="94" customFormat="1" ht="15.75" customHeight="1" x14ac:dyDescent="0.3">
      <c r="A30" s="52"/>
      <c r="B30" s="52"/>
      <c r="C30" s="52" t="s">
        <v>1</v>
      </c>
      <c r="D30" s="53"/>
      <c r="E30" s="120"/>
      <c r="F30" s="61"/>
      <c r="G30" s="121"/>
      <c r="H30" s="119"/>
      <c r="I30" s="119"/>
      <c r="J30" s="119"/>
      <c r="K30" s="122"/>
      <c r="L30" s="119"/>
      <c r="M30" s="119"/>
    </row>
    <row r="31" spans="1:13" s="94" customFormat="1" ht="15.75" customHeight="1" x14ac:dyDescent="0.3">
      <c r="A31" s="52"/>
      <c r="B31" s="52"/>
      <c r="C31" s="52" t="s">
        <v>34</v>
      </c>
      <c r="D31" s="113">
        <v>0.1</v>
      </c>
      <c r="E31" s="120"/>
      <c r="F31" s="61"/>
      <c r="G31" s="121"/>
      <c r="H31" s="123"/>
      <c r="I31" s="119"/>
      <c r="J31" s="105"/>
      <c r="K31" s="122"/>
      <c r="L31" s="106"/>
      <c r="M31" s="119"/>
    </row>
    <row r="32" spans="1:13" s="94" customFormat="1" ht="15.75" customHeight="1" x14ac:dyDescent="0.3">
      <c r="A32" s="52"/>
      <c r="B32" s="52"/>
      <c r="C32" s="52" t="s">
        <v>1</v>
      </c>
      <c r="D32" s="113"/>
      <c r="E32" s="120"/>
      <c r="F32" s="61"/>
      <c r="G32" s="121"/>
      <c r="H32" s="123"/>
      <c r="I32" s="119"/>
      <c r="J32" s="105"/>
      <c r="K32" s="122"/>
      <c r="L32" s="106"/>
      <c r="M32" s="119"/>
    </row>
    <row r="33" spans="1:13" s="94" customFormat="1" ht="15.75" customHeight="1" x14ac:dyDescent="0.3">
      <c r="A33" s="52"/>
      <c r="B33" s="52"/>
      <c r="C33" s="52" t="s">
        <v>35</v>
      </c>
      <c r="D33" s="113">
        <v>0.08</v>
      </c>
      <c r="E33" s="120"/>
      <c r="F33" s="61"/>
      <c r="G33" s="121"/>
      <c r="H33" s="123"/>
      <c r="I33" s="119"/>
      <c r="J33" s="105"/>
      <c r="K33" s="122"/>
      <c r="L33" s="106"/>
      <c r="M33" s="119"/>
    </row>
    <row r="34" spans="1:13" s="94" customFormat="1" ht="15.75" customHeight="1" x14ac:dyDescent="0.3">
      <c r="A34" s="52"/>
      <c r="B34" s="52"/>
      <c r="C34" s="52" t="s">
        <v>1</v>
      </c>
      <c r="D34" s="113"/>
      <c r="E34" s="120"/>
      <c r="F34" s="61"/>
      <c r="G34" s="121"/>
      <c r="H34" s="123"/>
      <c r="I34" s="119"/>
      <c r="J34" s="105"/>
      <c r="K34" s="122"/>
      <c r="L34" s="106"/>
      <c r="M34" s="119"/>
    </row>
    <row r="40" spans="1:13" s="173" customFormat="1" ht="14.25" x14ac:dyDescent="0.25">
      <c r="A40" s="172"/>
      <c r="D40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31496062992125984" right="0.23622047244094491" top="0.43" bottom="0.37" header="0.23622047244094491" footer="0.19685039370078741"/>
  <pageSetup paperSize="9" scale="94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კიბე!A2</f>
        <v xml:space="preserve"> შპს "სპორტმშენსერვისის" კუთვნილ შენობა-ნაგებობებში ქალაქი თბილისი,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კრებსითი!B20</f>
        <v>დიდი აუზის მომსახურე დანადგარების სათავსოში მილების დამცავი ბაქნის  მოწყობის სამუშაოები (ნახაზი#10)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7.25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15.75" x14ac:dyDescent="0.3">
      <c r="A8" s="124">
        <v>1</v>
      </c>
      <c r="B8" s="118" t="s">
        <v>69</v>
      </c>
      <c r="C8" s="127" t="s">
        <v>93</v>
      </c>
      <c r="D8" s="118" t="s">
        <v>53</v>
      </c>
      <c r="E8" s="119"/>
      <c r="F8" s="119">
        <f>SUM(F11:F12)</f>
        <v>28.2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25" t="s">
        <v>60</v>
      </c>
      <c r="C9" s="127" t="s">
        <v>3</v>
      </c>
      <c r="D9" s="118" t="s">
        <v>60</v>
      </c>
      <c r="E9" s="120">
        <v>1</v>
      </c>
      <c r="F9" s="119">
        <f>F$8*E9</f>
        <v>28.2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0.95033999999999996</v>
      </c>
      <c r="G10" s="119"/>
      <c r="H10" s="119"/>
      <c r="I10" s="119"/>
      <c r="J10" s="119"/>
      <c r="K10" s="119"/>
      <c r="L10" s="119"/>
      <c r="M10" s="119"/>
    </row>
    <row r="11" spans="1:13" s="90" customFormat="1" ht="15.75" x14ac:dyDescent="0.3">
      <c r="A11" s="124"/>
      <c r="B11" s="118"/>
      <c r="C11" s="129" t="s">
        <v>94</v>
      </c>
      <c r="D11" s="118" t="s">
        <v>53</v>
      </c>
      <c r="E11" s="119" t="s">
        <v>59</v>
      </c>
      <c r="F11" s="119">
        <v>10.199999999999999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9" t="s">
        <v>54</v>
      </c>
      <c r="D12" s="118" t="s">
        <v>53</v>
      </c>
      <c r="E12" s="119" t="s">
        <v>59</v>
      </c>
      <c r="F12" s="119">
        <v>18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24"/>
      <c r="B13" s="118"/>
      <c r="C13" s="127" t="s">
        <v>15</v>
      </c>
      <c r="D13" s="118" t="s">
        <v>16</v>
      </c>
      <c r="E13" s="119" t="s">
        <v>59</v>
      </c>
      <c r="F13" s="119">
        <f>SUM(J11:J12)/2.11*0.03</f>
        <v>0</v>
      </c>
      <c r="G13" s="119"/>
      <c r="H13" s="119"/>
      <c r="I13" s="119"/>
      <c r="J13" s="119"/>
      <c r="K13" s="119"/>
      <c r="L13" s="119"/>
      <c r="M13" s="119"/>
    </row>
    <row r="14" spans="1:13" s="92" customFormat="1" ht="15.75" x14ac:dyDescent="0.25">
      <c r="A14" s="124"/>
      <c r="B14" s="117"/>
      <c r="C14" s="116" t="s">
        <v>49</v>
      </c>
      <c r="D14" s="118" t="s">
        <v>52</v>
      </c>
      <c r="E14" s="119">
        <v>2.5999999999999999E-2</v>
      </c>
      <c r="F14" s="119">
        <f>F$8*E14</f>
        <v>0.73319999999999996</v>
      </c>
      <c r="G14" s="119"/>
      <c r="H14" s="119"/>
      <c r="I14" s="119"/>
      <c r="J14" s="119"/>
      <c r="K14" s="119"/>
      <c r="L14" s="119"/>
      <c r="M14" s="119"/>
    </row>
    <row r="15" spans="1:13" s="79" customFormat="1" ht="31.5" x14ac:dyDescent="0.2">
      <c r="A15" s="156">
        <v>2</v>
      </c>
      <c r="B15" s="157" t="s">
        <v>95</v>
      </c>
      <c r="C15" s="129" t="s">
        <v>100</v>
      </c>
      <c r="D15" s="125" t="s">
        <v>13</v>
      </c>
      <c r="E15" s="158"/>
      <c r="F15" s="160">
        <v>4.8</v>
      </c>
      <c r="G15" s="119"/>
      <c r="H15" s="119"/>
      <c r="I15" s="119"/>
      <c r="J15" s="119"/>
      <c r="K15" s="119"/>
      <c r="L15" s="119"/>
      <c r="M15" s="119"/>
    </row>
    <row r="16" spans="1:13" s="82" customFormat="1" ht="31.5" x14ac:dyDescent="0.3">
      <c r="A16" s="159"/>
      <c r="B16" s="157" t="s">
        <v>60</v>
      </c>
      <c r="C16" s="127" t="s">
        <v>96</v>
      </c>
      <c r="D16" s="157" t="s">
        <v>65</v>
      </c>
      <c r="E16" s="161">
        <v>1</v>
      </c>
      <c r="F16" s="160">
        <f>F$15*E16</f>
        <v>4.8</v>
      </c>
      <c r="G16" s="119"/>
      <c r="H16" s="119"/>
      <c r="I16" s="119"/>
      <c r="J16" s="119"/>
      <c r="K16" s="119"/>
      <c r="L16" s="119"/>
      <c r="M16" s="119"/>
    </row>
    <row r="17" spans="1:13" s="82" customFormat="1" ht="15.75" x14ac:dyDescent="0.3">
      <c r="A17" s="159"/>
      <c r="B17" s="157"/>
      <c r="C17" s="127" t="s">
        <v>48</v>
      </c>
      <c r="D17" s="157" t="s">
        <v>52</v>
      </c>
      <c r="E17" s="161">
        <f>2.24/100</f>
        <v>2.2400000000000003E-2</v>
      </c>
      <c r="F17" s="160">
        <f>F$15*E17</f>
        <v>0.10752000000000002</v>
      </c>
      <c r="G17" s="119"/>
      <c r="H17" s="119"/>
      <c r="I17" s="119"/>
      <c r="J17" s="119"/>
      <c r="K17" s="119"/>
      <c r="L17" s="119"/>
      <c r="M17" s="119"/>
    </row>
    <row r="18" spans="1:13" s="51" customFormat="1" ht="15.75" x14ac:dyDescent="0.3">
      <c r="A18" s="159"/>
      <c r="B18" s="157"/>
      <c r="C18" s="128" t="s">
        <v>101</v>
      </c>
      <c r="D18" s="157" t="s">
        <v>97</v>
      </c>
      <c r="E18" s="161">
        <f>3.55/100</f>
        <v>3.5499999999999997E-2</v>
      </c>
      <c r="F18" s="160">
        <f>F$15*E18</f>
        <v>0.17039999999999997</v>
      </c>
      <c r="G18" s="119"/>
      <c r="H18" s="119"/>
      <c r="I18" s="119"/>
      <c r="J18" s="119"/>
      <c r="K18" s="119"/>
      <c r="L18" s="119"/>
      <c r="M18" s="119"/>
    </row>
    <row r="19" spans="1:13" s="82" customFormat="1" ht="15.75" x14ac:dyDescent="0.3">
      <c r="A19" s="159"/>
      <c r="B19" s="157"/>
      <c r="C19" s="162" t="s">
        <v>102</v>
      </c>
      <c r="D19" s="157" t="s">
        <v>98</v>
      </c>
      <c r="E19" s="161">
        <f>102.7/100</f>
        <v>1.0270000000000001</v>
      </c>
      <c r="F19" s="160">
        <f>F$15*E19</f>
        <v>4.9296000000000006</v>
      </c>
      <c r="G19" s="119"/>
      <c r="H19" s="119"/>
      <c r="I19" s="119"/>
      <c r="J19" s="119"/>
      <c r="K19" s="119"/>
      <c r="L19" s="119"/>
      <c r="M19" s="119"/>
    </row>
    <row r="20" spans="1:13" s="82" customFormat="1" ht="15.75" x14ac:dyDescent="0.3">
      <c r="A20" s="159"/>
      <c r="B20" s="157"/>
      <c r="C20" s="127" t="s">
        <v>99</v>
      </c>
      <c r="D20" s="157" t="s">
        <v>52</v>
      </c>
      <c r="E20" s="161">
        <f>10.7/100</f>
        <v>0.107</v>
      </c>
      <c r="F20" s="160">
        <f>F$15*E20</f>
        <v>0.51359999999999995</v>
      </c>
      <c r="G20" s="119"/>
      <c r="H20" s="119"/>
      <c r="I20" s="119"/>
      <c r="J20" s="119"/>
      <c r="K20" s="119"/>
      <c r="L20" s="119"/>
      <c r="M20" s="119"/>
    </row>
    <row r="21" spans="1:13" s="25" customFormat="1" ht="31.5" x14ac:dyDescent="0.2">
      <c r="A21" s="135">
        <v>3</v>
      </c>
      <c r="B21" s="34" t="s">
        <v>23</v>
      </c>
      <c r="C21" s="132" t="s">
        <v>68</v>
      </c>
      <c r="D21" s="34" t="s">
        <v>13</v>
      </c>
      <c r="E21" s="36"/>
      <c r="F21" s="37">
        <f>1.5/0.25</f>
        <v>6</v>
      </c>
      <c r="G21" s="119"/>
      <c r="H21" s="119"/>
      <c r="I21" s="119"/>
      <c r="J21" s="119"/>
      <c r="K21" s="119"/>
      <c r="L21" s="119"/>
      <c r="M21" s="119"/>
    </row>
    <row r="22" spans="1:13" s="25" customFormat="1" ht="15.75" x14ac:dyDescent="0.3">
      <c r="A22" s="59"/>
      <c r="B22" s="59"/>
      <c r="C22" s="129" t="s">
        <v>11</v>
      </c>
      <c r="D22" s="18" t="s">
        <v>4</v>
      </c>
      <c r="E22" s="14">
        <v>0.68</v>
      </c>
      <c r="F22" s="24">
        <f>F$21*E22</f>
        <v>4.08</v>
      </c>
      <c r="G22" s="119"/>
      <c r="H22" s="119"/>
      <c r="I22" s="119"/>
      <c r="J22" s="119"/>
      <c r="K22" s="119"/>
      <c r="L22" s="119"/>
      <c r="M22" s="119"/>
    </row>
    <row r="23" spans="1:13" s="25" customFormat="1" ht="15.75" x14ac:dyDescent="0.3">
      <c r="A23" s="59"/>
      <c r="B23" s="59"/>
      <c r="C23" s="129" t="s">
        <v>9</v>
      </c>
      <c r="D23" s="18" t="s">
        <v>0</v>
      </c>
      <c r="E23" s="24">
        <f>0.03/100</f>
        <v>2.9999999999999997E-4</v>
      </c>
      <c r="F23" s="24">
        <f>F$21*E23</f>
        <v>1.8E-3</v>
      </c>
      <c r="G23" s="119"/>
      <c r="H23" s="119"/>
      <c r="I23" s="119"/>
      <c r="J23" s="119"/>
      <c r="K23" s="119"/>
      <c r="L23" s="120"/>
      <c r="M23" s="119"/>
    </row>
    <row r="24" spans="1:13" s="25" customFormat="1" ht="15.75" x14ac:dyDescent="0.3">
      <c r="A24" s="59"/>
      <c r="B24" s="59"/>
      <c r="C24" s="129" t="s">
        <v>24</v>
      </c>
      <c r="D24" s="18" t="s">
        <v>17</v>
      </c>
      <c r="E24" s="24">
        <f>(24.6+2.7)/100</f>
        <v>0.27300000000000002</v>
      </c>
      <c r="F24" s="24">
        <f>F$21*E24</f>
        <v>1.6380000000000001</v>
      </c>
      <c r="G24" s="119"/>
      <c r="H24" s="119"/>
      <c r="I24" s="119"/>
      <c r="J24" s="119"/>
      <c r="K24" s="119"/>
      <c r="L24" s="119"/>
      <c r="M24" s="119"/>
    </row>
    <row r="25" spans="1:13" s="1" customFormat="1" ht="16.5" x14ac:dyDescent="0.3">
      <c r="A25" s="59"/>
      <c r="B25" s="59"/>
      <c r="C25" s="129" t="s">
        <v>10</v>
      </c>
      <c r="D25" s="18" t="s">
        <v>0</v>
      </c>
      <c r="E25" s="24">
        <f>0.19/100</f>
        <v>1.9E-3</v>
      </c>
      <c r="F25" s="24">
        <f>F$21*E25</f>
        <v>1.14E-2</v>
      </c>
      <c r="G25" s="119"/>
      <c r="H25" s="119"/>
      <c r="I25" s="119"/>
      <c r="J25" s="119"/>
      <c r="K25" s="119"/>
      <c r="L25" s="120"/>
      <c r="M25" s="119"/>
    </row>
    <row r="26" spans="1:13" s="94" customFormat="1" ht="15.75" customHeight="1" x14ac:dyDescent="0.3">
      <c r="A26" s="52"/>
      <c r="B26" s="52"/>
      <c r="C26" s="52" t="s">
        <v>1</v>
      </c>
      <c r="D26" s="53"/>
      <c r="E26" s="120"/>
      <c r="F26" s="61"/>
      <c r="G26" s="121"/>
      <c r="H26" s="119"/>
      <c r="I26" s="119"/>
      <c r="J26" s="119"/>
      <c r="K26" s="122"/>
      <c r="L26" s="119"/>
      <c r="M26" s="119"/>
    </row>
    <row r="27" spans="1:13" s="94" customFormat="1" ht="15.75" customHeight="1" x14ac:dyDescent="0.3">
      <c r="A27" s="52"/>
      <c r="B27" s="52"/>
      <c r="C27" s="52" t="s">
        <v>34</v>
      </c>
      <c r="D27" s="113">
        <v>0.1</v>
      </c>
      <c r="E27" s="120"/>
      <c r="F27" s="61"/>
      <c r="G27" s="121"/>
      <c r="H27" s="123"/>
      <c r="I27" s="119"/>
      <c r="J27" s="105"/>
      <c r="K27" s="122"/>
      <c r="L27" s="106"/>
      <c r="M27" s="119"/>
    </row>
    <row r="28" spans="1:13" s="94" customFormat="1" ht="15.75" customHeight="1" x14ac:dyDescent="0.3">
      <c r="A28" s="52"/>
      <c r="B28" s="52"/>
      <c r="C28" s="52" t="s">
        <v>1</v>
      </c>
      <c r="D28" s="113"/>
      <c r="E28" s="120"/>
      <c r="F28" s="61"/>
      <c r="G28" s="121"/>
      <c r="H28" s="123"/>
      <c r="I28" s="119"/>
      <c r="J28" s="105"/>
      <c r="K28" s="122"/>
      <c r="L28" s="106"/>
      <c r="M28" s="119"/>
    </row>
    <row r="29" spans="1:13" s="94" customFormat="1" ht="15.75" customHeight="1" x14ac:dyDescent="0.3">
      <c r="A29" s="52"/>
      <c r="B29" s="52"/>
      <c r="C29" s="52" t="s">
        <v>35</v>
      </c>
      <c r="D29" s="113">
        <v>0.08</v>
      </c>
      <c r="E29" s="120"/>
      <c r="F29" s="61"/>
      <c r="G29" s="121"/>
      <c r="H29" s="123"/>
      <c r="I29" s="119"/>
      <c r="J29" s="105"/>
      <c r="K29" s="122"/>
      <c r="L29" s="106"/>
      <c r="M29" s="119"/>
    </row>
    <row r="30" spans="1:13" s="94" customFormat="1" ht="15.75" customHeight="1" x14ac:dyDescent="0.3">
      <c r="A30" s="52"/>
      <c r="B30" s="52"/>
      <c r="C30" s="52" t="s">
        <v>1</v>
      </c>
      <c r="D30" s="113"/>
      <c r="E30" s="120"/>
      <c r="F30" s="61"/>
      <c r="G30" s="121"/>
      <c r="H30" s="123"/>
      <c r="I30" s="119"/>
      <c r="J30" s="105"/>
      <c r="K30" s="122"/>
      <c r="L30" s="106"/>
      <c r="M30" s="119"/>
    </row>
    <row r="34" spans="1:4" s="173" customFormat="1" ht="14.25" x14ac:dyDescent="0.25">
      <c r="A34" s="172"/>
      <c r="D34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23622047244094491" right="0.23622047244094491" top="0.19685039370078741" bottom="0.19685039370078741" header="0.19685039370078741" footer="0.19685039370078741"/>
  <pageSetup paperSize="9" scale="9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ბაქანი!A2</f>
        <v xml:space="preserve"> შპს "სპორტმშენსერვისის" კუთვნილ შენობა-ნაგებობებში ქალაქი თბილისი,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კრებსითი!B21</f>
        <v>დიდი აუზის მომსახურე დანადგარების სათავსოში სათვალთვალო ღიობებზე ასასვლელი 2 ცალი კიბის მოწყობის სამუშაოები (ნახაზი#11)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93" customFormat="1" ht="47.25" x14ac:dyDescent="0.25">
      <c r="A8" s="136">
        <v>2</v>
      </c>
      <c r="B8" s="34" t="s">
        <v>61</v>
      </c>
      <c r="C8" s="127" t="s">
        <v>103</v>
      </c>
      <c r="D8" s="118" t="s">
        <v>104</v>
      </c>
      <c r="E8" s="119"/>
      <c r="F8" s="120">
        <f>2*7</f>
        <v>14</v>
      </c>
      <c r="G8" s="119"/>
      <c r="H8" s="119"/>
      <c r="I8" s="119"/>
      <c r="J8" s="119"/>
      <c r="K8" s="119"/>
      <c r="L8" s="119"/>
      <c r="M8" s="119"/>
    </row>
    <row r="9" spans="1:13" s="94" customFormat="1" ht="31.5" x14ac:dyDescent="0.25">
      <c r="A9" s="134"/>
      <c r="B9" s="85" t="s">
        <v>60</v>
      </c>
      <c r="C9" s="129" t="s">
        <v>3</v>
      </c>
      <c r="D9" s="125" t="s">
        <v>104</v>
      </c>
      <c r="E9" s="119">
        <v>1</v>
      </c>
      <c r="F9" s="120">
        <f>F$8*E9</f>
        <v>14</v>
      </c>
      <c r="G9" s="119"/>
      <c r="H9" s="119"/>
      <c r="I9" s="119"/>
      <c r="J9" s="119"/>
      <c r="K9" s="119"/>
      <c r="L9" s="119"/>
      <c r="M9" s="119"/>
    </row>
    <row r="10" spans="1:13" s="94" customFormat="1" ht="15.75" customHeight="1" x14ac:dyDescent="0.25">
      <c r="A10" s="134"/>
      <c r="B10" s="85"/>
      <c r="C10" s="129" t="s">
        <v>9</v>
      </c>
      <c r="D10" s="118" t="s">
        <v>52</v>
      </c>
      <c r="E10" s="119">
        <v>18.399999999999999</v>
      </c>
      <c r="F10" s="120">
        <f>F$8*E10</f>
        <v>257.59999999999997</v>
      </c>
      <c r="G10" s="119"/>
      <c r="H10" s="119"/>
      <c r="I10" s="119"/>
      <c r="J10" s="119"/>
      <c r="K10" s="119"/>
      <c r="L10" s="119"/>
      <c r="M10" s="119"/>
    </row>
    <row r="11" spans="1:13" s="51" customFormat="1" ht="15.75" x14ac:dyDescent="0.3">
      <c r="A11" s="134"/>
      <c r="B11" s="85"/>
      <c r="C11" s="129" t="s">
        <v>63</v>
      </c>
      <c r="D11" s="118" t="s">
        <v>66</v>
      </c>
      <c r="E11" s="119">
        <v>0.35</v>
      </c>
      <c r="F11" s="120">
        <f>F$8*E11</f>
        <v>4.8999999999999995</v>
      </c>
      <c r="G11" s="119"/>
      <c r="H11" s="119"/>
      <c r="I11" s="119"/>
      <c r="J11" s="119"/>
      <c r="K11" s="119"/>
      <c r="L11" s="119"/>
      <c r="M11" s="119"/>
    </row>
    <row r="12" spans="1:13" s="92" customFormat="1" ht="15.75" x14ac:dyDescent="0.25">
      <c r="A12" s="134"/>
      <c r="B12" s="85"/>
      <c r="C12" s="129" t="s">
        <v>105</v>
      </c>
      <c r="D12" s="118" t="s">
        <v>67</v>
      </c>
      <c r="E12" s="119">
        <v>1</v>
      </c>
      <c r="F12" s="120">
        <f>1.1*7.85*4/1000*2</f>
        <v>6.9080000000000003E-2</v>
      </c>
      <c r="G12" s="119"/>
      <c r="H12" s="119"/>
      <c r="I12" s="119"/>
      <c r="J12" s="119"/>
      <c r="K12" s="119"/>
      <c r="L12" s="119"/>
      <c r="M12" s="119"/>
    </row>
    <row r="13" spans="1:13" s="94" customFormat="1" ht="15.75" x14ac:dyDescent="0.25">
      <c r="A13" s="134"/>
      <c r="B13" s="85"/>
      <c r="C13" s="129" t="s">
        <v>15</v>
      </c>
      <c r="D13" s="125" t="s">
        <v>16</v>
      </c>
      <c r="E13" s="119">
        <v>24.4</v>
      </c>
      <c r="F13" s="120">
        <f>F12*E13</f>
        <v>1.6855519999999999</v>
      </c>
      <c r="G13" s="119"/>
      <c r="H13" s="119"/>
      <c r="I13" s="119"/>
      <c r="J13" s="119"/>
      <c r="K13" s="119"/>
      <c r="L13" s="119"/>
      <c r="M13" s="119"/>
    </row>
    <row r="14" spans="1:13" s="94" customFormat="1" ht="15.75" customHeight="1" x14ac:dyDescent="0.25">
      <c r="A14" s="134"/>
      <c r="B14" s="85"/>
      <c r="C14" s="129" t="s">
        <v>10</v>
      </c>
      <c r="D14" s="118" t="s">
        <v>0</v>
      </c>
      <c r="E14" s="119">
        <v>2.78</v>
      </c>
      <c r="F14" s="120">
        <f>F$12*E14</f>
        <v>0.1920424</v>
      </c>
      <c r="G14" s="119"/>
      <c r="H14" s="119"/>
      <c r="I14" s="119"/>
      <c r="J14" s="119"/>
      <c r="K14" s="119"/>
      <c r="L14" s="119"/>
      <c r="M14" s="119"/>
    </row>
    <row r="15" spans="1:13" s="25" customFormat="1" ht="31.5" x14ac:dyDescent="0.2">
      <c r="A15" s="135">
        <v>3</v>
      </c>
      <c r="B15" s="34" t="s">
        <v>23</v>
      </c>
      <c r="C15" s="132" t="s">
        <v>68</v>
      </c>
      <c r="D15" s="34" t="s">
        <v>13</v>
      </c>
      <c r="E15" s="36"/>
      <c r="F15" s="37">
        <f>0.6/0.25*2</f>
        <v>4.8</v>
      </c>
      <c r="G15" s="119"/>
      <c r="H15" s="119"/>
      <c r="I15" s="119"/>
      <c r="J15" s="119"/>
      <c r="K15" s="119"/>
      <c r="L15" s="119"/>
      <c r="M15" s="119"/>
    </row>
    <row r="16" spans="1:13" s="25" customFormat="1" ht="15.75" x14ac:dyDescent="0.3">
      <c r="A16" s="59"/>
      <c r="B16" s="59"/>
      <c r="C16" s="129" t="s">
        <v>11</v>
      </c>
      <c r="D16" s="18" t="s">
        <v>4</v>
      </c>
      <c r="E16" s="14">
        <v>0.68</v>
      </c>
      <c r="F16" s="24">
        <f>F$15*E16</f>
        <v>3.2640000000000002</v>
      </c>
      <c r="G16" s="119"/>
      <c r="H16" s="119"/>
      <c r="I16" s="119"/>
      <c r="J16" s="119"/>
      <c r="K16" s="119"/>
      <c r="L16" s="119"/>
      <c r="M16" s="119"/>
    </row>
    <row r="17" spans="1:13" s="25" customFormat="1" ht="15.75" x14ac:dyDescent="0.3">
      <c r="A17" s="59"/>
      <c r="B17" s="59"/>
      <c r="C17" s="129" t="s">
        <v>9</v>
      </c>
      <c r="D17" s="18" t="s">
        <v>0</v>
      </c>
      <c r="E17" s="24">
        <f>0.03/100</f>
        <v>2.9999999999999997E-4</v>
      </c>
      <c r="F17" s="24">
        <f>F$15*E17</f>
        <v>1.4399999999999999E-3</v>
      </c>
      <c r="G17" s="119"/>
      <c r="H17" s="119"/>
      <c r="I17" s="119"/>
      <c r="J17" s="119"/>
      <c r="K17" s="119"/>
      <c r="L17" s="120"/>
      <c r="M17" s="120"/>
    </row>
    <row r="18" spans="1:13" s="25" customFormat="1" ht="15.75" x14ac:dyDescent="0.3">
      <c r="A18" s="59"/>
      <c r="B18" s="59"/>
      <c r="C18" s="129" t="s">
        <v>24</v>
      </c>
      <c r="D18" s="18" t="s">
        <v>17</v>
      </c>
      <c r="E18" s="24">
        <f>(24.6+2.7)/100</f>
        <v>0.27300000000000002</v>
      </c>
      <c r="F18" s="24">
        <f>F$15*E18</f>
        <v>1.3104</v>
      </c>
      <c r="G18" s="119"/>
      <c r="H18" s="119"/>
      <c r="I18" s="119"/>
      <c r="J18" s="119"/>
      <c r="K18" s="119"/>
      <c r="L18" s="119"/>
      <c r="M18" s="119"/>
    </row>
    <row r="19" spans="1:13" s="1" customFormat="1" ht="16.5" x14ac:dyDescent="0.3">
      <c r="A19" s="59"/>
      <c r="B19" s="59"/>
      <c r="C19" s="129" t="s">
        <v>10</v>
      </c>
      <c r="D19" s="18" t="s">
        <v>0</v>
      </c>
      <c r="E19" s="24">
        <f>0.19/100</f>
        <v>1.9E-3</v>
      </c>
      <c r="F19" s="24">
        <f>F$15*E19</f>
        <v>9.1199999999999996E-3</v>
      </c>
      <c r="G19" s="119"/>
      <c r="H19" s="119"/>
      <c r="I19" s="119"/>
      <c r="J19" s="119"/>
      <c r="K19" s="119"/>
      <c r="L19" s="120"/>
      <c r="M19" s="119"/>
    </row>
    <row r="20" spans="1:13" s="94" customFormat="1" ht="15.75" customHeight="1" x14ac:dyDescent="0.3">
      <c r="A20" s="52"/>
      <c r="B20" s="52"/>
      <c r="C20" s="52" t="s">
        <v>1</v>
      </c>
      <c r="D20" s="53"/>
      <c r="E20" s="120"/>
      <c r="F20" s="61"/>
      <c r="G20" s="121"/>
      <c r="H20" s="119"/>
      <c r="I20" s="119"/>
      <c r="J20" s="119"/>
      <c r="K20" s="122"/>
      <c r="L20" s="119"/>
      <c r="M20" s="119"/>
    </row>
    <row r="21" spans="1:13" s="94" customFormat="1" ht="15.75" customHeight="1" x14ac:dyDescent="0.3">
      <c r="A21" s="52"/>
      <c r="B21" s="52"/>
      <c r="C21" s="52" t="s">
        <v>34</v>
      </c>
      <c r="D21" s="113">
        <v>0.1</v>
      </c>
      <c r="E21" s="120"/>
      <c r="F21" s="61"/>
      <c r="G21" s="121"/>
      <c r="H21" s="123"/>
      <c r="I21" s="119"/>
      <c r="J21" s="105"/>
      <c r="K21" s="122"/>
      <c r="L21" s="106"/>
      <c r="M21" s="119"/>
    </row>
    <row r="22" spans="1:13" s="94" customFormat="1" ht="15.75" customHeight="1" x14ac:dyDescent="0.3">
      <c r="A22" s="52"/>
      <c r="B22" s="52"/>
      <c r="C22" s="52" t="s">
        <v>1</v>
      </c>
      <c r="D22" s="113"/>
      <c r="E22" s="120"/>
      <c r="F22" s="61"/>
      <c r="G22" s="121"/>
      <c r="H22" s="123"/>
      <c r="I22" s="119"/>
      <c r="J22" s="105"/>
      <c r="K22" s="122"/>
      <c r="L22" s="106"/>
      <c r="M22" s="119"/>
    </row>
    <row r="23" spans="1:13" s="94" customFormat="1" ht="15.75" customHeight="1" x14ac:dyDescent="0.3">
      <c r="A23" s="52"/>
      <c r="B23" s="52"/>
      <c r="C23" s="52" t="s">
        <v>35</v>
      </c>
      <c r="D23" s="113">
        <v>0.08</v>
      </c>
      <c r="E23" s="120"/>
      <c r="F23" s="61"/>
      <c r="G23" s="121"/>
      <c r="H23" s="123"/>
      <c r="I23" s="119"/>
      <c r="J23" s="105"/>
      <c r="K23" s="122"/>
      <c r="L23" s="106"/>
      <c r="M23" s="119"/>
    </row>
    <row r="24" spans="1:13" s="94" customFormat="1" ht="15.75" customHeight="1" x14ac:dyDescent="0.3">
      <c r="A24" s="52"/>
      <c r="B24" s="52"/>
      <c r="C24" s="52" t="s">
        <v>1</v>
      </c>
      <c r="D24" s="113"/>
      <c r="E24" s="120"/>
      <c r="F24" s="61"/>
      <c r="G24" s="121"/>
      <c r="H24" s="123"/>
      <c r="I24" s="119"/>
      <c r="J24" s="105"/>
      <c r="K24" s="122"/>
      <c r="L24" s="106"/>
      <c r="M24" s="119"/>
    </row>
    <row r="29" spans="1:13" s="173" customFormat="1" ht="14.25" x14ac:dyDescent="0.25">
      <c r="A29" s="172"/>
      <c r="D29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27559055118110237" right="0.19685039370078741" top="0.23622047244094491" bottom="0.23622047244094491" header="0.23622047244094491" footer="0.19685039370078741"/>
  <pageSetup paperSize="9" scale="9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კიბე2!A2</f>
        <v xml:space="preserve"> შპს "სპორტმშენსერვისის" კუთვნილ შენობა-ნაგებობებში ქალაქი თბილისი,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კრებსითი!B22</f>
        <v>დიდი აუზის მომსახურე დანადგარების სათავსოში სათვალთვალო ღიობებზე ასასვლელი 1 ცალი კიბის მოწყობის სამუშაოები (ნახაზი#12)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93" customFormat="1" ht="47.25" x14ac:dyDescent="0.25">
      <c r="A8" s="136">
        <v>2</v>
      </c>
      <c r="B8" s="34" t="s">
        <v>61</v>
      </c>
      <c r="C8" s="127" t="s">
        <v>103</v>
      </c>
      <c r="D8" s="118" t="s">
        <v>104</v>
      </c>
      <c r="E8" s="119"/>
      <c r="F8" s="120">
        <v>6</v>
      </c>
      <c r="G8" s="119"/>
      <c r="H8" s="119"/>
      <c r="I8" s="119"/>
      <c r="J8" s="119"/>
      <c r="K8" s="119"/>
      <c r="L8" s="119"/>
      <c r="M8" s="119"/>
    </row>
    <row r="9" spans="1:13" s="94" customFormat="1" ht="31.5" x14ac:dyDescent="0.25">
      <c r="A9" s="134"/>
      <c r="B9" s="85" t="s">
        <v>60</v>
      </c>
      <c r="C9" s="129" t="s">
        <v>3</v>
      </c>
      <c r="D9" s="125" t="s">
        <v>104</v>
      </c>
      <c r="E9" s="119">
        <v>1</v>
      </c>
      <c r="F9" s="120">
        <f>F$8*E9</f>
        <v>6</v>
      </c>
      <c r="G9" s="119"/>
      <c r="H9" s="119"/>
      <c r="I9" s="119"/>
      <c r="J9" s="119"/>
      <c r="K9" s="119"/>
      <c r="L9" s="119"/>
      <c r="M9" s="119"/>
    </row>
    <row r="10" spans="1:13" s="94" customFormat="1" ht="15.75" customHeight="1" x14ac:dyDescent="0.25">
      <c r="A10" s="134"/>
      <c r="B10" s="85"/>
      <c r="C10" s="129" t="s">
        <v>9</v>
      </c>
      <c r="D10" s="118" t="s">
        <v>52</v>
      </c>
      <c r="E10" s="119">
        <v>18.399999999999999</v>
      </c>
      <c r="F10" s="120">
        <f>F$8*E10</f>
        <v>110.39999999999999</v>
      </c>
      <c r="G10" s="119"/>
      <c r="H10" s="119"/>
      <c r="I10" s="119"/>
      <c r="J10" s="119"/>
      <c r="K10" s="119"/>
      <c r="L10" s="119"/>
      <c r="M10" s="119"/>
    </row>
    <row r="11" spans="1:13" s="51" customFormat="1" ht="15.75" x14ac:dyDescent="0.3">
      <c r="A11" s="134"/>
      <c r="B11" s="85"/>
      <c r="C11" s="129" t="s">
        <v>63</v>
      </c>
      <c r="D11" s="118" t="s">
        <v>66</v>
      </c>
      <c r="E11" s="119">
        <v>0.35</v>
      </c>
      <c r="F11" s="120">
        <f>F$8*E11</f>
        <v>2.0999999999999996</v>
      </c>
      <c r="G11" s="119"/>
      <c r="H11" s="119"/>
      <c r="I11" s="119"/>
      <c r="J11" s="119"/>
      <c r="K11" s="119"/>
      <c r="L11" s="119"/>
      <c r="M11" s="119"/>
    </row>
    <row r="12" spans="1:13" s="92" customFormat="1" ht="15.75" x14ac:dyDescent="0.25">
      <c r="A12" s="134"/>
      <c r="B12" s="85"/>
      <c r="C12" s="129" t="s">
        <v>105</v>
      </c>
      <c r="D12" s="118" t="s">
        <v>67</v>
      </c>
      <c r="E12" s="119">
        <v>1</v>
      </c>
      <c r="F12" s="120">
        <f>1.25*7.85*4/1000*1</f>
        <v>3.925E-2</v>
      </c>
      <c r="G12" s="119"/>
      <c r="H12" s="119"/>
      <c r="I12" s="119"/>
      <c r="J12" s="119"/>
      <c r="K12" s="119"/>
      <c r="L12" s="119"/>
      <c r="M12" s="119"/>
    </row>
    <row r="13" spans="1:13" s="94" customFormat="1" ht="15.75" x14ac:dyDescent="0.25">
      <c r="A13" s="134"/>
      <c r="B13" s="85"/>
      <c r="C13" s="129" t="s">
        <v>15</v>
      </c>
      <c r="D13" s="125" t="s">
        <v>16</v>
      </c>
      <c r="E13" s="119">
        <v>24.4</v>
      </c>
      <c r="F13" s="120">
        <f>F12*E13</f>
        <v>0.9577</v>
      </c>
      <c r="G13" s="119"/>
      <c r="H13" s="119"/>
      <c r="I13" s="119"/>
      <c r="J13" s="119"/>
      <c r="K13" s="119"/>
      <c r="L13" s="119"/>
      <c r="M13" s="119"/>
    </row>
    <row r="14" spans="1:13" s="94" customFormat="1" ht="15.75" customHeight="1" x14ac:dyDescent="0.25">
      <c r="A14" s="134"/>
      <c r="B14" s="85"/>
      <c r="C14" s="129" t="s">
        <v>10</v>
      </c>
      <c r="D14" s="118" t="s">
        <v>0</v>
      </c>
      <c r="E14" s="119">
        <v>2.78</v>
      </c>
      <c r="F14" s="120">
        <f>F$12*E14</f>
        <v>0.10911499999999999</v>
      </c>
      <c r="G14" s="119"/>
      <c r="H14" s="119"/>
      <c r="I14" s="119"/>
      <c r="J14" s="119"/>
      <c r="K14" s="119"/>
      <c r="L14" s="119"/>
      <c r="M14" s="119"/>
    </row>
    <row r="15" spans="1:13" s="25" customFormat="1" ht="31.5" x14ac:dyDescent="0.2">
      <c r="A15" s="135">
        <v>3</v>
      </c>
      <c r="B15" s="34" t="s">
        <v>23</v>
      </c>
      <c r="C15" s="132" t="s">
        <v>68</v>
      </c>
      <c r="D15" s="34" t="s">
        <v>13</v>
      </c>
      <c r="E15" s="36"/>
      <c r="F15" s="37">
        <f>0.65/0.25*1</f>
        <v>2.6</v>
      </c>
      <c r="G15" s="119"/>
      <c r="H15" s="119"/>
      <c r="I15" s="119"/>
      <c r="J15" s="119"/>
      <c r="K15" s="119"/>
      <c r="L15" s="119"/>
      <c r="M15" s="119"/>
    </row>
    <row r="16" spans="1:13" s="25" customFormat="1" ht="15.75" x14ac:dyDescent="0.3">
      <c r="A16" s="59"/>
      <c r="B16" s="59"/>
      <c r="C16" s="129" t="s">
        <v>11</v>
      </c>
      <c r="D16" s="18" t="s">
        <v>4</v>
      </c>
      <c r="E16" s="14">
        <v>0.68</v>
      </c>
      <c r="F16" s="24">
        <f>F$15*E16</f>
        <v>1.7680000000000002</v>
      </c>
      <c r="G16" s="119"/>
      <c r="H16" s="119"/>
      <c r="I16" s="119"/>
      <c r="J16" s="119"/>
      <c r="K16" s="119"/>
      <c r="L16" s="119"/>
      <c r="M16" s="119"/>
    </row>
    <row r="17" spans="1:13" s="25" customFormat="1" ht="15.75" x14ac:dyDescent="0.3">
      <c r="A17" s="59"/>
      <c r="B17" s="59"/>
      <c r="C17" s="129" t="s">
        <v>9</v>
      </c>
      <c r="D17" s="18" t="s">
        <v>0</v>
      </c>
      <c r="E17" s="24">
        <f>0.03/100</f>
        <v>2.9999999999999997E-4</v>
      </c>
      <c r="F17" s="24">
        <f>F$15*E17</f>
        <v>7.7999999999999999E-4</v>
      </c>
      <c r="G17" s="119"/>
      <c r="H17" s="119"/>
      <c r="I17" s="119"/>
      <c r="J17" s="119"/>
      <c r="K17" s="119"/>
      <c r="L17" s="120"/>
      <c r="M17" s="119"/>
    </row>
    <row r="18" spans="1:13" s="25" customFormat="1" ht="15.75" x14ac:dyDescent="0.3">
      <c r="A18" s="59"/>
      <c r="B18" s="59"/>
      <c r="C18" s="129" t="s">
        <v>24</v>
      </c>
      <c r="D18" s="18" t="s">
        <v>17</v>
      </c>
      <c r="E18" s="24">
        <f>(24.6+2.7)/100</f>
        <v>0.27300000000000002</v>
      </c>
      <c r="F18" s="24">
        <f>F$15*E18</f>
        <v>0.7098000000000001</v>
      </c>
      <c r="G18" s="119"/>
      <c r="H18" s="119"/>
      <c r="I18" s="119"/>
      <c r="J18" s="119"/>
      <c r="K18" s="119"/>
      <c r="L18" s="119"/>
      <c r="M18" s="119"/>
    </row>
    <row r="19" spans="1:13" s="1" customFormat="1" ht="16.5" x14ac:dyDescent="0.3">
      <c r="A19" s="59"/>
      <c r="B19" s="59"/>
      <c r="C19" s="129" t="s">
        <v>10</v>
      </c>
      <c r="D19" s="18" t="s">
        <v>0</v>
      </c>
      <c r="E19" s="24">
        <f>0.19/100</f>
        <v>1.9E-3</v>
      </c>
      <c r="F19" s="24">
        <f>F$15*E19</f>
        <v>4.9399999999999999E-3</v>
      </c>
      <c r="G19" s="119"/>
      <c r="H19" s="119"/>
      <c r="I19" s="119"/>
      <c r="J19" s="119"/>
      <c r="K19" s="119"/>
      <c r="L19" s="120"/>
      <c r="M19" s="119"/>
    </row>
    <row r="20" spans="1:13" s="94" customFormat="1" ht="15.75" customHeight="1" x14ac:dyDescent="0.3">
      <c r="A20" s="52"/>
      <c r="B20" s="52"/>
      <c r="C20" s="52" t="s">
        <v>1</v>
      </c>
      <c r="D20" s="53"/>
      <c r="E20" s="120"/>
      <c r="F20" s="61"/>
      <c r="G20" s="121"/>
      <c r="H20" s="119"/>
      <c r="I20" s="119"/>
      <c r="J20" s="119"/>
      <c r="K20" s="122"/>
      <c r="L20" s="119"/>
      <c r="M20" s="119"/>
    </row>
    <row r="21" spans="1:13" s="94" customFormat="1" ht="15.75" customHeight="1" x14ac:dyDescent="0.3">
      <c r="A21" s="52"/>
      <c r="B21" s="52"/>
      <c r="C21" s="52" t="s">
        <v>34</v>
      </c>
      <c r="D21" s="113">
        <v>0.1</v>
      </c>
      <c r="E21" s="120"/>
      <c r="F21" s="61"/>
      <c r="G21" s="121"/>
      <c r="H21" s="123"/>
      <c r="I21" s="119"/>
      <c r="J21" s="105"/>
      <c r="K21" s="122"/>
      <c r="L21" s="106"/>
      <c r="M21" s="119"/>
    </row>
    <row r="22" spans="1:13" s="94" customFormat="1" ht="15.75" customHeight="1" x14ac:dyDescent="0.3">
      <c r="A22" s="52"/>
      <c r="B22" s="52"/>
      <c r="C22" s="52" t="s">
        <v>1</v>
      </c>
      <c r="D22" s="113"/>
      <c r="E22" s="120"/>
      <c r="F22" s="61"/>
      <c r="G22" s="121"/>
      <c r="H22" s="123"/>
      <c r="I22" s="119"/>
      <c r="J22" s="105"/>
      <c r="K22" s="122"/>
      <c r="L22" s="106"/>
      <c r="M22" s="119"/>
    </row>
    <row r="23" spans="1:13" s="94" customFormat="1" ht="15.75" customHeight="1" x14ac:dyDescent="0.3">
      <c r="A23" s="52"/>
      <c r="B23" s="52"/>
      <c r="C23" s="52" t="s">
        <v>35</v>
      </c>
      <c r="D23" s="113">
        <v>0.08</v>
      </c>
      <c r="E23" s="120"/>
      <c r="F23" s="61"/>
      <c r="G23" s="121"/>
      <c r="H23" s="123"/>
      <c r="I23" s="119"/>
      <c r="J23" s="105"/>
      <c r="K23" s="122"/>
      <c r="L23" s="106"/>
      <c r="M23" s="119"/>
    </row>
    <row r="24" spans="1:13" s="94" customFormat="1" ht="15.75" customHeight="1" x14ac:dyDescent="0.3">
      <c r="A24" s="52"/>
      <c r="B24" s="52"/>
      <c r="C24" s="52" t="s">
        <v>1</v>
      </c>
      <c r="D24" s="113"/>
      <c r="E24" s="120"/>
      <c r="F24" s="61"/>
      <c r="G24" s="121"/>
      <c r="H24" s="123"/>
      <c r="I24" s="119"/>
      <c r="J24" s="105"/>
      <c r="K24" s="122"/>
      <c r="L24" s="106"/>
      <c r="M24" s="119"/>
    </row>
    <row r="29" spans="1:13" s="173" customFormat="1" ht="14.25" x14ac:dyDescent="0.25">
      <c r="A29" s="172"/>
      <c r="D29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31496062992125984" right="0.19685039370078741" top="0.23622047244094491" bottom="0.19685039370078741" header="0.19685039370078741" footer="0.19685039370078741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კარი!A2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კრებსითი!B24</f>
        <v>პატარა დარბაზის შიდა კედლების სამღებრო სამუშაოები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237" t="s">
        <v>39</v>
      </c>
      <c r="E6" s="237" t="s">
        <v>40</v>
      </c>
      <c r="F6" s="238" t="s">
        <v>38</v>
      </c>
      <c r="G6" s="238" t="s">
        <v>45</v>
      </c>
      <c r="H6" s="238" t="s">
        <v>46</v>
      </c>
      <c r="I6" s="238" t="s">
        <v>45</v>
      </c>
      <c r="J6" s="238" t="s">
        <v>46</v>
      </c>
      <c r="K6" s="238" t="s">
        <v>45</v>
      </c>
      <c r="L6" s="238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94" customFormat="1" ht="15.75" x14ac:dyDescent="0.3">
      <c r="A8" s="52"/>
      <c r="B8" s="187"/>
      <c r="C8" s="191" t="s">
        <v>224</v>
      </c>
      <c r="D8" s="53"/>
      <c r="E8" s="101"/>
      <c r="F8" s="61"/>
      <c r="G8" s="108"/>
      <c r="H8" s="100"/>
      <c r="I8" s="100"/>
      <c r="J8" s="100"/>
      <c r="K8" s="107"/>
      <c r="L8" s="100"/>
      <c r="M8" s="100"/>
    </row>
    <row r="9" spans="1:13" s="228" customFormat="1" ht="31.5" x14ac:dyDescent="0.25">
      <c r="A9" s="224">
        <v>21</v>
      </c>
      <c r="B9" s="224" t="s">
        <v>219</v>
      </c>
      <c r="C9" s="224" t="s">
        <v>220</v>
      </c>
      <c r="D9" s="224" t="s">
        <v>13</v>
      </c>
      <c r="E9" s="225"/>
      <c r="F9" s="226">
        <v>1200</v>
      </c>
      <c r="G9" s="227"/>
      <c r="H9" s="227"/>
      <c r="I9" s="227"/>
      <c r="J9" s="227"/>
      <c r="K9" s="226"/>
      <c r="L9" s="226"/>
      <c r="M9" s="226"/>
    </row>
    <row r="10" spans="1:13" s="228" customFormat="1" ht="16.5" customHeight="1" x14ac:dyDescent="0.2">
      <c r="A10" s="224"/>
      <c r="B10" s="224"/>
      <c r="C10" s="224" t="s">
        <v>11</v>
      </c>
      <c r="D10" s="224" t="s">
        <v>13</v>
      </c>
      <c r="E10" s="101">
        <v>1</v>
      </c>
      <c r="F10" s="226">
        <f>F9*E10</f>
        <v>1200</v>
      </c>
      <c r="G10" s="227"/>
      <c r="H10" s="227"/>
      <c r="I10" s="227"/>
      <c r="J10" s="227"/>
      <c r="K10" s="226"/>
      <c r="L10" s="226"/>
      <c r="M10" s="226"/>
    </row>
    <row r="11" spans="1:13" s="228" customFormat="1" ht="16.5" customHeight="1" x14ac:dyDescent="0.2">
      <c r="A11" s="224"/>
      <c r="B11" s="224"/>
      <c r="C11" s="224" t="s">
        <v>9</v>
      </c>
      <c r="D11" s="224" t="s">
        <v>0</v>
      </c>
      <c r="E11" s="101">
        <v>0.01</v>
      </c>
      <c r="F11" s="226">
        <f>F9*E11</f>
        <v>12</v>
      </c>
      <c r="G11" s="227"/>
      <c r="H11" s="227"/>
      <c r="I11" s="227"/>
      <c r="J11" s="227"/>
      <c r="K11" s="226"/>
      <c r="L11" s="226"/>
      <c r="M11" s="226"/>
    </row>
    <row r="12" spans="1:13" s="228" customFormat="1" ht="16.5" customHeight="1" x14ac:dyDescent="0.2">
      <c r="A12" s="224"/>
      <c r="B12" s="224"/>
      <c r="C12" s="224" t="s">
        <v>221</v>
      </c>
      <c r="D12" s="224" t="s">
        <v>16</v>
      </c>
      <c r="E12" s="101">
        <v>0.63</v>
      </c>
      <c r="F12" s="226">
        <f>F9*E12</f>
        <v>756</v>
      </c>
      <c r="G12" s="227"/>
      <c r="H12" s="227"/>
      <c r="I12" s="227"/>
      <c r="J12" s="227"/>
      <c r="K12" s="226"/>
      <c r="L12" s="226"/>
      <c r="M12" s="226"/>
    </row>
    <row r="13" spans="1:13" s="228" customFormat="1" ht="16.5" customHeight="1" x14ac:dyDescent="0.2">
      <c r="A13" s="224"/>
      <c r="B13" s="224"/>
      <c r="C13" s="224" t="s">
        <v>222</v>
      </c>
      <c r="D13" s="224" t="s">
        <v>16</v>
      </c>
      <c r="E13" s="101">
        <v>0.79</v>
      </c>
      <c r="F13" s="226">
        <f>F9*E13</f>
        <v>948</v>
      </c>
      <c r="G13" s="227"/>
      <c r="H13" s="227"/>
      <c r="I13" s="227"/>
      <c r="J13" s="227"/>
      <c r="K13" s="226"/>
      <c r="L13" s="226"/>
      <c r="M13" s="226"/>
    </row>
    <row r="14" spans="1:13" s="228" customFormat="1" ht="16.5" customHeight="1" x14ac:dyDescent="0.2">
      <c r="A14" s="224"/>
      <c r="B14" s="224"/>
      <c r="C14" s="224" t="s">
        <v>10</v>
      </c>
      <c r="D14" s="224" t="s">
        <v>0</v>
      </c>
      <c r="E14" s="101">
        <v>1.6E-2</v>
      </c>
      <c r="F14" s="226">
        <f>F9*E14</f>
        <v>19.2</v>
      </c>
      <c r="G14" s="227"/>
      <c r="H14" s="227"/>
      <c r="I14" s="227"/>
      <c r="J14" s="227"/>
      <c r="K14" s="226"/>
      <c r="L14" s="226"/>
      <c r="M14" s="226"/>
    </row>
    <row r="15" spans="1:13" s="94" customFormat="1" ht="15.75" customHeight="1" x14ac:dyDescent="0.3">
      <c r="A15" s="52"/>
      <c r="B15" s="52"/>
      <c r="C15" s="52" t="s">
        <v>1</v>
      </c>
      <c r="D15" s="53"/>
      <c r="E15" s="101"/>
      <c r="F15" s="61"/>
      <c r="G15" s="108"/>
      <c r="H15" s="100"/>
      <c r="I15" s="100"/>
      <c r="J15" s="100"/>
      <c r="K15" s="107"/>
      <c r="L15" s="100"/>
      <c r="M15" s="100"/>
    </row>
    <row r="16" spans="1:13" s="94" customFormat="1" ht="15.75" customHeight="1" x14ac:dyDescent="0.3">
      <c r="A16" s="52"/>
      <c r="B16" s="52"/>
      <c r="C16" s="52" t="s">
        <v>34</v>
      </c>
      <c r="D16" s="165">
        <v>0.1</v>
      </c>
      <c r="E16" s="101"/>
      <c r="F16" s="61"/>
      <c r="G16" s="108"/>
      <c r="H16" s="60"/>
      <c r="I16" s="100"/>
      <c r="J16" s="105"/>
      <c r="K16" s="107"/>
      <c r="L16" s="106"/>
      <c r="M16" s="100"/>
    </row>
    <row r="17" spans="1:13" s="94" customFormat="1" ht="15.75" customHeight="1" x14ac:dyDescent="0.3">
      <c r="A17" s="52"/>
      <c r="B17" s="52"/>
      <c r="C17" s="52" t="s">
        <v>1</v>
      </c>
      <c r="D17" s="165"/>
      <c r="E17" s="101"/>
      <c r="F17" s="61"/>
      <c r="G17" s="108"/>
      <c r="H17" s="60"/>
      <c r="I17" s="100"/>
      <c r="J17" s="105"/>
      <c r="K17" s="107"/>
      <c r="L17" s="106"/>
      <c r="M17" s="100"/>
    </row>
    <row r="18" spans="1:13" s="94" customFormat="1" ht="15.75" customHeight="1" x14ac:dyDescent="0.3">
      <c r="A18" s="52"/>
      <c r="B18" s="52"/>
      <c r="C18" s="52" t="s">
        <v>35</v>
      </c>
      <c r="D18" s="165">
        <v>0.08</v>
      </c>
      <c r="E18" s="101"/>
      <c r="F18" s="61"/>
      <c r="G18" s="108"/>
      <c r="H18" s="60"/>
      <c r="I18" s="100"/>
      <c r="J18" s="105"/>
      <c r="K18" s="107"/>
      <c r="L18" s="106"/>
      <c r="M18" s="100"/>
    </row>
    <row r="19" spans="1:13" s="94" customFormat="1" ht="15.75" customHeight="1" x14ac:dyDescent="0.3">
      <c r="A19" s="52"/>
      <c r="B19" s="52"/>
      <c r="C19" s="52" t="s">
        <v>1</v>
      </c>
      <c r="D19" s="113"/>
      <c r="E19" s="101"/>
      <c r="F19" s="61"/>
      <c r="G19" s="108"/>
      <c r="H19" s="60"/>
      <c r="I19" s="100"/>
      <c r="J19" s="105"/>
      <c r="K19" s="107"/>
      <c r="L19" s="106"/>
      <c r="M19" s="100"/>
    </row>
    <row r="21" spans="1:13" s="173" customFormat="1" ht="14.25" x14ac:dyDescent="0.25">
      <c r="A21" s="172"/>
      <c r="D21" s="172"/>
    </row>
    <row r="25" spans="1:13" s="173" customFormat="1" ht="14.25" x14ac:dyDescent="0.25">
      <c r="A25" s="172"/>
      <c r="D25" s="172"/>
    </row>
  </sheetData>
  <mergeCells count="11">
    <mergeCell ref="M5:M6"/>
    <mergeCell ref="L1:M1"/>
    <mergeCell ref="A2:M3"/>
    <mergeCell ref="A4:M4"/>
    <mergeCell ref="A5:A6"/>
    <mergeCell ref="B5:B6"/>
    <mergeCell ref="C5:C6"/>
    <mergeCell ref="D5:F5"/>
    <mergeCell ref="G5:H5"/>
    <mergeCell ref="I5:J5"/>
    <mergeCell ref="K5:L5"/>
  </mergeCells>
  <pageMargins left="0.2" right="0.2" top="0.22" bottom="0.2" header="0.2" footer="0.2"/>
  <pageSetup paperSize="9" scale="96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კიბე!A2</f>
        <v xml:space="preserve"> შპს "სპორტმშენსერვისის" კუთვნილ შენობა-ნაგებობებში ქალაქი თბილისი, დიღმის სასწ. საცდელი მეურნეობაში მდებარე ოლიმპიური საცურაო აუზის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კრებსითი!B23</f>
        <v>ტერასის პარაპეტის თუნუქით დაფარვის სამუშაოები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70" t="s">
        <v>39</v>
      </c>
      <c r="E6" s="170" t="s">
        <v>40</v>
      </c>
      <c r="F6" s="171" t="s">
        <v>38</v>
      </c>
      <c r="G6" s="171" t="s">
        <v>45</v>
      </c>
      <c r="H6" s="171" t="s">
        <v>46</v>
      </c>
      <c r="I6" s="171" t="s">
        <v>45</v>
      </c>
      <c r="J6" s="171" t="s">
        <v>46</v>
      </c>
      <c r="K6" s="171" t="s">
        <v>45</v>
      </c>
      <c r="L6" s="171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29.25" customHeight="1" x14ac:dyDescent="0.3">
      <c r="A8" s="124">
        <v>1</v>
      </c>
      <c r="B8" s="118" t="s">
        <v>69</v>
      </c>
      <c r="C8" s="127" t="s">
        <v>162</v>
      </c>
      <c r="D8" s="118" t="s">
        <v>53</v>
      </c>
      <c r="E8" s="119"/>
      <c r="F8" s="119">
        <f>SUM(F11:F11)</f>
        <v>48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25" t="s">
        <v>60</v>
      </c>
      <c r="C9" s="127" t="s">
        <v>3</v>
      </c>
      <c r="D9" s="118" t="s">
        <v>60</v>
      </c>
      <c r="E9" s="120">
        <v>1</v>
      </c>
      <c r="F9" s="119">
        <f>F$8*E9</f>
        <v>48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1.6175999999999999</v>
      </c>
      <c r="G10" s="119"/>
      <c r="H10" s="119"/>
      <c r="I10" s="119"/>
      <c r="J10" s="119"/>
      <c r="K10" s="119"/>
      <c r="L10" s="119"/>
      <c r="M10" s="119"/>
    </row>
    <row r="11" spans="1:13" s="126" customFormat="1" ht="15.75" x14ac:dyDescent="0.25">
      <c r="A11" s="124"/>
      <c r="B11" s="118"/>
      <c r="C11" s="129" t="s">
        <v>54</v>
      </c>
      <c r="D11" s="118" t="s">
        <v>53</v>
      </c>
      <c r="E11" s="119" t="s">
        <v>59</v>
      </c>
      <c r="F11" s="119">
        <v>48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7" t="s">
        <v>15</v>
      </c>
      <c r="D12" s="118" t="s">
        <v>16</v>
      </c>
      <c r="E12" s="119" t="s">
        <v>59</v>
      </c>
      <c r="F12" s="119">
        <v>3.64</v>
      </c>
      <c r="G12" s="119"/>
      <c r="H12" s="119"/>
      <c r="I12" s="119"/>
      <c r="J12" s="119"/>
      <c r="K12" s="119"/>
      <c r="L12" s="119"/>
      <c r="M12" s="119"/>
    </row>
    <row r="13" spans="1:13" s="92" customFormat="1" ht="15.75" x14ac:dyDescent="0.25">
      <c r="A13" s="124"/>
      <c r="B13" s="117"/>
      <c r="C13" s="116" t="s">
        <v>49</v>
      </c>
      <c r="D13" s="118" t="s">
        <v>52</v>
      </c>
      <c r="E13" s="119">
        <v>2.5999999999999999E-2</v>
      </c>
      <c r="F13" s="119">
        <f>F$8*E13</f>
        <v>1.248</v>
      </c>
      <c r="G13" s="119"/>
      <c r="H13" s="119"/>
      <c r="I13" s="119"/>
      <c r="J13" s="119"/>
      <c r="K13" s="119"/>
      <c r="L13" s="119"/>
      <c r="M13" s="119"/>
    </row>
    <row r="14" spans="1:13" s="79" customFormat="1" ht="31.5" x14ac:dyDescent="0.2">
      <c r="A14" s="156">
        <v>2</v>
      </c>
      <c r="B14" s="157" t="s">
        <v>95</v>
      </c>
      <c r="C14" s="129" t="s">
        <v>163</v>
      </c>
      <c r="D14" s="125" t="s">
        <v>13</v>
      </c>
      <c r="E14" s="158"/>
      <c r="F14" s="160">
        <f>11*0.36</f>
        <v>3.96</v>
      </c>
      <c r="G14" s="119"/>
      <c r="H14" s="119"/>
      <c r="I14" s="119"/>
      <c r="J14" s="119"/>
      <c r="K14" s="119"/>
      <c r="L14" s="119"/>
      <c r="M14" s="119"/>
    </row>
    <row r="15" spans="1:13" s="82" customFormat="1" ht="31.5" x14ac:dyDescent="0.3">
      <c r="A15" s="159"/>
      <c r="B15" s="157" t="s">
        <v>60</v>
      </c>
      <c r="C15" s="127" t="s">
        <v>96</v>
      </c>
      <c r="D15" s="157" t="s">
        <v>65</v>
      </c>
      <c r="E15" s="161">
        <v>1</v>
      </c>
      <c r="F15" s="160">
        <f>F$14*E15</f>
        <v>3.96</v>
      </c>
      <c r="G15" s="119">
        <v>7.5</v>
      </c>
      <c r="H15" s="119"/>
      <c r="I15" s="119"/>
      <c r="J15" s="119"/>
      <c r="K15" s="119"/>
      <c r="L15" s="119"/>
      <c r="M15" s="119"/>
    </row>
    <row r="16" spans="1:13" s="82" customFormat="1" ht="15.75" x14ac:dyDescent="0.3">
      <c r="A16" s="159"/>
      <c r="B16" s="157"/>
      <c r="C16" s="127" t="s">
        <v>48</v>
      </c>
      <c r="D16" s="157" t="s">
        <v>52</v>
      </c>
      <c r="E16" s="161">
        <f>2.24/100</f>
        <v>2.2400000000000003E-2</v>
      </c>
      <c r="F16" s="160">
        <f>F$14*E16</f>
        <v>8.8704000000000019E-2</v>
      </c>
      <c r="G16" s="119"/>
      <c r="H16" s="119"/>
      <c r="I16" s="119"/>
      <c r="J16" s="119"/>
      <c r="K16" s="119"/>
      <c r="L16" s="119"/>
      <c r="M16" s="119"/>
    </row>
    <row r="17" spans="1:13" s="51" customFormat="1" ht="15.75" x14ac:dyDescent="0.3">
      <c r="A17" s="159"/>
      <c r="B17" s="157"/>
      <c r="C17" s="128" t="s">
        <v>101</v>
      </c>
      <c r="D17" s="157" t="s">
        <v>97</v>
      </c>
      <c r="E17" s="161">
        <f>3.55/100</f>
        <v>3.5499999999999997E-2</v>
      </c>
      <c r="F17" s="160">
        <f>F$14*E17</f>
        <v>0.14057999999999998</v>
      </c>
      <c r="G17" s="119"/>
      <c r="H17" s="119"/>
      <c r="I17" s="119"/>
      <c r="J17" s="119"/>
      <c r="K17" s="119"/>
      <c r="L17" s="119"/>
      <c r="M17" s="119"/>
    </row>
    <row r="18" spans="1:13" s="82" customFormat="1" ht="15.75" x14ac:dyDescent="0.3">
      <c r="A18" s="159"/>
      <c r="B18" s="157"/>
      <c r="C18" s="162" t="s">
        <v>102</v>
      </c>
      <c r="D18" s="157" t="s">
        <v>98</v>
      </c>
      <c r="E18" s="161">
        <f>102.7/100</f>
        <v>1.0270000000000001</v>
      </c>
      <c r="F18" s="160">
        <f>F$14*E18</f>
        <v>4.0669200000000005</v>
      </c>
      <c r="G18" s="119"/>
      <c r="H18" s="119"/>
      <c r="I18" s="119"/>
      <c r="J18" s="119"/>
      <c r="K18" s="119"/>
      <c r="L18" s="119"/>
      <c r="M18" s="119"/>
    </row>
    <row r="19" spans="1:13" s="82" customFormat="1" ht="15.75" x14ac:dyDescent="0.3">
      <c r="A19" s="159"/>
      <c r="B19" s="157"/>
      <c r="C19" s="127" t="s">
        <v>99</v>
      </c>
      <c r="D19" s="157" t="s">
        <v>52</v>
      </c>
      <c r="E19" s="161">
        <f>10.7/100</f>
        <v>0.107</v>
      </c>
      <c r="F19" s="160">
        <f>F$14*E19</f>
        <v>0.42371999999999999</v>
      </c>
      <c r="G19" s="119"/>
      <c r="H19" s="119"/>
      <c r="I19" s="119"/>
      <c r="J19" s="119"/>
      <c r="K19" s="119"/>
      <c r="L19" s="119"/>
      <c r="M19" s="119"/>
    </row>
    <row r="20" spans="1:13" s="82" customFormat="1" ht="31.5" x14ac:dyDescent="0.3">
      <c r="A20" s="159">
        <v>3</v>
      </c>
      <c r="B20" s="157" t="s">
        <v>165</v>
      </c>
      <c r="C20" s="127" t="s">
        <v>173</v>
      </c>
      <c r="D20" s="157" t="s">
        <v>21</v>
      </c>
      <c r="E20" s="161"/>
      <c r="F20" s="160">
        <f>11.5*0.4</f>
        <v>4.6000000000000005</v>
      </c>
      <c r="G20" s="119"/>
      <c r="H20" s="119"/>
      <c r="I20" s="119"/>
      <c r="J20" s="119"/>
      <c r="K20" s="119"/>
      <c r="L20" s="119"/>
      <c r="M20" s="119"/>
    </row>
    <row r="21" spans="1:13" s="82" customFormat="1" ht="15.75" x14ac:dyDescent="0.3">
      <c r="A21" s="159"/>
      <c r="B21" s="157"/>
      <c r="C21" s="127" t="s">
        <v>3</v>
      </c>
      <c r="D21" s="157" t="s">
        <v>4</v>
      </c>
      <c r="E21" s="161">
        <v>1</v>
      </c>
      <c r="F21" s="160">
        <f>F20*E21</f>
        <v>4.6000000000000005</v>
      </c>
      <c r="G21" s="119">
        <f>12/E21</f>
        <v>12</v>
      </c>
      <c r="H21" s="119"/>
      <c r="I21" s="119"/>
      <c r="J21" s="119"/>
      <c r="K21" s="119"/>
      <c r="L21" s="119"/>
      <c r="M21" s="119"/>
    </row>
    <row r="22" spans="1:13" s="82" customFormat="1" ht="15.75" x14ac:dyDescent="0.3">
      <c r="A22" s="159"/>
      <c r="B22" s="157"/>
      <c r="C22" s="127" t="s">
        <v>9</v>
      </c>
      <c r="D22" s="157" t="s">
        <v>0</v>
      </c>
      <c r="E22" s="161">
        <v>4.1000000000000003E-3</v>
      </c>
      <c r="F22" s="160">
        <f>F20*E22</f>
        <v>1.8860000000000005E-2</v>
      </c>
      <c r="G22" s="119"/>
      <c r="H22" s="119"/>
      <c r="I22" s="119"/>
      <c r="J22" s="119"/>
      <c r="K22" s="119"/>
      <c r="L22" s="119"/>
      <c r="M22" s="119"/>
    </row>
    <row r="23" spans="1:13" s="82" customFormat="1" ht="15.75" x14ac:dyDescent="0.3">
      <c r="A23" s="159"/>
      <c r="B23" s="157"/>
      <c r="C23" s="127" t="s">
        <v>166</v>
      </c>
      <c r="D23" s="157" t="s">
        <v>13</v>
      </c>
      <c r="E23" s="161">
        <v>1.1499999999999999</v>
      </c>
      <c r="F23" s="160">
        <f>E23*F20</f>
        <v>5.29</v>
      </c>
      <c r="G23" s="119"/>
      <c r="H23" s="119"/>
      <c r="I23" s="119"/>
      <c r="J23" s="119"/>
      <c r="K23" s="119"/>
      <c r="L23" s="119"/>
      <c r="M23" s="119"/>
    </row>
    <row r="24" spans="1:13" s="82" customFormat="1" ht="15.75" x14ac:dyDescent="0.3">
      <c r="A24" s="159"/>
      <c r="B24" s="157"/>
      <c r="C24" s="127" t="s">
        <v>10</v>
      </c>
      <c r="D24" s="157" t="s">
        <v>0</v>
      </c>
      <c r="E24" s="161">
        <v>7.8E-2</v>
      </c>
      <c r="F24" s="160">
        <f>F20*E24</f>
        <v>0.35880000000000006</v>
      </c>
      <c r="G24" s="119"/>
      <c r="H24" s="119"/>
      <c r="I24" s="119"/>
      <c r="J24" s="119"/>
      <c r="K24" s="119"/>
      <c r="L24" s="119"/>
      <c r="M24" s="119"/>
    </row>
    <row r="25" spans="1:13" s="82" customFormat="1" ht="31.5" x14ac:dyDescent="0.3">
      <c r="A25" s="159">
        <v>4</v>
      </c>
      <c r="B25" s="157" t="s">
        <v>167</v>
      </c>
      <c r="C25" s="127" t="s">
        <v>174</v>
      </c>
      <c r="D25" s="157" t="s">
        <v>13</v>
      </c>
      <c r="E25" s="161"/>
      <c r="F25" s="160">
        <f>0.95*11.5</f>
        <v>10.924999999999999</v>
      </c>
      <c r="G25" s="119"/>
      <c r="H25" s="119"/>
      <c r="I25" s="119"/>
      <c r="J25" s="119"/>
      <c r="K25" s="119"/>
      <c r="L25" s="119"/>
      <c r="M25" s="119"/>
    </row>
    <row r="26" spans="1:13" s="82" customFormat="1" ht="15.75" x14ac:dyDescent="0.3">
      <c r="A26" s="159"/>
      <c r="B26" s="157"/>
      <c r="C26" s="127" t="s">
        <v>3</v>
      </c>
      <c r="D26" s="157" t="s">
        <v>4</v>
      </c>
      <c r="E26" s="161">
        <f>31.4/100</f>
        <v>0.314</v>
      </c>
      <c r="F26" s="160">
        <f>F25*E26</f>
        <v>3.4304499999999996</v>
      </c>
      <c r="G26" s="119">
        <v>6</v>
      </c>
      <c r="H26" s="119"/>
      <c r="I26" s="119"/>
      <c r="J26" s="119"/>
      <c r="K26" s="119"/>
      <c r="L26" s="119"/>
      <c r="M26" s="119"/>
    </row>
    <row r="27" spans="1:13" s="82" customFormat="1" ht="15.75" x14ac:dyDescent="0.3">
      <c r="A27" s="159"/>
      <c r="B27" s="157"/>
      <c r="C27" s="127" t="s">
        <v>9</v>
      </c>
      <c r="D27" s="157" t="s">
        <v>0</v>
      </c>
      <c r="E27" s="161">
        <f>0.34/100</f>
        <v>3.4000000000000002E-3</v>
      </c>
      <c r="F27" s="160">
        <f>F25*E27</f>
        <v>3.7144999999999997E-2</v>
      </c>
      <c r="G27" s="119"/>
      <c r="H27" s="119"/>
      <c r="I27" s="119"/>
      <c r="J27" s="119"/>
      <c r="K27" s="119"/>
      <c r="L27" s="119"/>
      <c r="M27" s="119"/>
    </row>
    <row r="28" spans="1:13" s="82" customFormat="1" ht="15.75" x14ac:dyDescent="0.3">
      <c r="A28" s="159"/>
      <c r="B28" s="157"/>
      <c r="C28" s="127" t="s">
        <v>168</v>
      </c>
      <c r="D28" s="157" t="s">
        <v>169</v>
      </c>
      <c r="E28" s="161">
        <v>1.52E-2</v>
      </c>
      <c r="F28" s="160">
        <f>F25*E28</f>
        <v>0.16605999999999999</v>
      </c>
      <c r="G28" s="119"/>
      <c r="H28" s="119"/>
      <c r="I28" s="119"/>
      <c r="J28" s="119"/>
      <c r="K28" s="119"/>
      <c r="L28" s="119"/>
      <c r="M28" s="119"/>
    </row>
    <row r="29" spans="1:13" s="82" customFormat="1" ht="15.75" x14ac:dyDescent="0.3">
      <c r="A29" s="159"/>
      <c r="B29" s="157"/>
      <c r="C29" s="127" t="s">
        <v>172</v>
      </c>
      <c r="D29" s="157" t="s">
        <v>13</v>
      </c>
      <c r="E29" s="161">
        <v>1.2</v>
      </c>
      <c r="F29" s="160">
        <f>F25*E29</f>
        <v>13.109999999999998</v>
      </c>
      <c r="G29" s="119"/>
      <c r="H29" s="119"/>
      <c r="I29" s="119"/>
      <c r="J29" s="119"/>
      <c r="K29" s="119"/>
      <c r="L29" s="119"/>
      <c r="M29" s="119"/>
    </row>
    <row r="30" spans="1:13" s="82" customFormat="1" ht="15.75" x14ac:dyDescent="0.3">
      <c r="A30" s="159"/>
      <c r="B30" s="157"/>
      <c r="C30" s="127" t="s">
        <v>170</v>
      </c>
      <c r="D30" s="157" t="s">
        <v>16</v>
      </c>
      <c r="E30" s="161">
        <v>0.05</v>
      </c>
      <c r="F30" s="160">
        <f>F25*E30</f>
        <v>0.54625000000000001</v>
      </c>
      <c r="G30" s="119"/>
      <c r="H30" s="119"/>
      <c r="I30" s="119"/>
      <c r="J30" s="119"/>
      <c r="K30" s="119"/>
      <c r="L30" s="119"/>
      <c r="M30" s="119"/>
    </row>
    <row r="31" spans="1:13" s="82" customFormat="1" ht="31.5" x14ac:dyDescent="0.3">
      <c r="A31" s="159"/>
      <c r="B31" s="157"/>
      <c r="C31" s="127" t="s">
        <v>171</v>
      </c>
      <c r="D31" s="157" t="s">
        <v>16</v>
      </c>
      <c r="E31" s="161">
        <v>0.02</v>
      </c>
      <c r="F31" s="160">
        <f>F25*E31</f>
        <v>0.21849999999999997</v>
      </c>
      <c r="G31" s="119"/>
      <c r="H31" s="119"/>
      <c r="I31" s="119"/>
      <c r="J31" s="119"/>
      <c r="K31" s="119"/>
      <c r="L31" s="119"/>
      <c r="M31" s="119"/>
    </row>
    <row r="32" spans="1:13" s="82" customFormat="1" ht="15.75" x14ac:dyDescent="0.3">
      <c r="A32" s="159"/>
      <c r="B32" s="157"/>
      <c r="C32" s="127" t="s">
        <v>15</v>
      </c>
      <c r="D32" s="157" t="s">
        <v>16</v>
      </c>
      <c r="E32" s="161">
        <v>3.4000000000000002E-2</v>
      </c>
      <c r="F32" s="160">
        <f>F25*E32</f>
        <v>0.37145</v>
      </c>
      <c r="G32" s="119"/>
      <c r="H32" s="119"/>
      <c r="I32" s="119"/>
      <c r="J32" s="119"/>
      <c r="K32" s="119"/>
      <c r="L32" s="119"/>
      <c r="M32" s="119"/>
    </row>
    <row r="33" spans="1:13" s="82" customFormat="1" ht="15.75" x14ac:dyDescent="0.3">
      <c r="A33" s="159"/>
      <c r="B33" s="157"/>
      <c r="C33" s="127" t="s">
        <v>10</v>
      </c>
      <c r="D33" s="157" t="s">
        <v>0</v>
      </c>
      <c r="E33" s="161">
        <f>3.86/100</f>
        <v>3.8599999999999995E-2</v>
      </c>
      <c r="F33" s="160">
        <f>F25*E33</f>
        <v>0.42170499999999989</v>
      </c>
      <c r="G33" s="119"/>
      <c r="H33" s="119"/>
      <c r="I33" s="119"/>
      <c r="J33" s="119"/>
      <c r="K33" s="119"/>
      <c r="L33" s="119"/>
      <c r="M33" s="119"/>
    </row>
    <row r="34" spans="1:13" s="94" customFormat="1" ht="15.75" customHeight="1" x14ac:dyDescent="0.3">
      <c r="A34" s="52"/>
      <c r="B34" s="52"/>
      <c r="C34" s="52" t="s">
        <v>1</v>
      </c>
      <c r="D34" s="53"/>
      <c r="E34" s="120"/>
      <c r="F34" s="61"/>
      <c r="G34" s="121"/>
      <c r="H34" s="119"/>
      <c r="I34" s="119"/>
      <c r="J34" s="119"/>
      <c r="K34" s="122"/>
      <c r="L34" s="119"/>
      <c r="M34" s="119"/>
    </row>
    <row r="35" spans="1:13" s="94" customFormat="1" ht="15.75" customHeight="1" x14ac:dyDescent="0.3">
      <c r="A35" s="52"/>
      <c r="B35" s="52"/>
      <c r="C35" s="52" t="s">
        <v>34</v>
      </c>
      <c r="D35" s="113">
        <v>0.1</v>
      </c>
      <c r="E35" s="120"/>
      <c r="F35" s="61"/>
      <c r="G35" s="121"/>
      <c r="H35" s="123"/>
      <c r="I35" s="119"/>
      <c r="J35" s="105"/>
      <c r="K35" s="122"/>
      <c r="L35" s="106"/>
      <c r="M35" s="119"/>
    </row>
    <row r="36" spans="1:13" s="94" customFormat="1" ht="15.75" customHeight="1" x14ac:dyDescent="0.3">
      <c r="A36" s="52"/>
      <c r="B36" s="52"/>
      <c r="C36" s="52" t="s">
        <v>1</v>
      </c>
      <c r="D36" s="113"/>
      <c r="E36" s="120"/>
      <c r="F36" s="61"/>
      <c r="G36" s="121"/>
      <c r="H36" s="123"/>
      <c r="I36" s="119"/>
      <c r="J36" s="105"/>
      <c r="K36" s="122"/>
      <c r="L36" s="106"/>
      <c r="M36" s="119"/>
    </row>
    <row r="37" spans="1:13" s="94" customFormat="1" ht="15.75" customHeight="1" x14ac:dyDescent="0.3">
      <c r="A37" s="52"/>
      <c r="B37" s="52"/>
      <c r="C37" s="52" t="s">
        <v>35</v>
      </c>
      <c r="D37" s="113">
        <v>0.08</v>
      </c>
      <c r="E37" s="120"/>
      <c r="F37" s="61"/>
      <c r="G37" s="121"/>
      <c r="H37" s="123"/>
      <c r="I37" s="119"/>
      <c r="J37" s="105"/>
      <c r="K37" s="122"/>
      <c r="L37" s="106"/>
      <c r="M37" s="119"/>
    </row>
    <row r="38" spans="1:13" s="94" customFormat="1" ht="15.75" customHeight="1" x14ac:dyDescent="0.3">
      <c r="A38" s="52"/>
      <c r="B38" s="52"/>
      <c r="C38" s="52" t="s">
        <v>1</v>
      </c>
      <c r="D38" s="113"/>
      <c r="E38" s="120"/>
      <c r="F38" s="61"/>
      <c r="G38" s="121"/>
      <c r="H38" s="123"/>
      <c r="I38" s="119"/>
      <c r="J38" s="105"/>
      <c r="K38" s="122"/>
      <c r="L38" s="106"/>
      <c r="M38" s="119"/>
    </row>
    <row r="42" spans="1:13" s="173" customFormat="1" ht="14.25" x14ac:dyDescent="0.25">
      <c r="A42" s="172"/>
      <c r="B42" s="173" t="s">
        <v>176</v>
      </c>
      <c r="D42" s="172"/>
    </row>
  </sheetData>
  <mergeCells count="11">
    <mergeCell ref="M5:M6"/>
    <mergeCell ref="L1:M1"/>
    <mergeCell ref="A2:M3"/>
    <mergeCell ref="A4:M4"/>
    <mergeCell ref="A5:A6"/>
    <mergeCell ref="B5:B6"/>
    <mergeCell ref="C5:C6"/>
    <mergeCell ref="D5:F5"/>
    <mergeCell ref="G5:H5"/>
    <mergeCell ref="I5:J5"/>
    <mergeCell ref="K5:L5"/>
  </mergeCells>
  <pageMargins left="0.27559055118110237" right="0.19685039370078741" top="0.19685039370078741" bottom="0.19685039370078741" header="0.19685039370078741" footer="0.19685039370078741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Zeros="0" view="pageBreakPreview" zoomScaleNormal="100" zoomScaleSheetLayoutView="100" workbookViewId="0">
      <selection activeCell="B49" sqref="B49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ht="28.5" customHeight="1" x14ac:dyDescent="0.25">
      <c r="A2" s="253" t="s">
        <v>110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x14ac:dyDescent="0.25">
      <c r="A3" s="248" t="str">
        <f>კრებსითი!B6</f>
        <v>ლითონის  კარებების მოწყობის სამუშაოები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x14ac:dyDescent="0.25">
      <c r="A4" s="249" t="s">
        <v>2</v>
      </c>
      <c r="B4" s="249" t="s">
        <v>37</v>
      </c>
      <c r="C4" s="249" t="s">
        <v>36</v>
      </c>
      <c r="D4" s="249" t="s">
        <v>41</v>
      </c>
      <c r="E4" s="249"/>
      <c r="F4" s="249"/>
      <c r="G4" s="243" t="s">
        <v>42</v>
      </c>
      <c r="H4" s="243"/>
      <c r="I4" s="243" t="s">
        <v>43</v>
      </c>
      <c r="J4" s="243"/>
      <c r="K4" s="243" t="s">
        <v>44</v>
      </c>
      <c r="L4" s="243"/>
      <c r="M4" s="243" t="s">
        <v>47</v>
      </c>
    </row>
    <row r="5" spans="1:13" ht="30" x14ac:dyDescent="0.25">
      <c r="A5" s="249"/>
      <c r="B5" s="249"/>
      <c r="C5" s="249"/>
      <c r="D5" s="114" t="s">
        <v>39</v>
      </c>
      <c r="E5" s="114" t="s">
        <v>40</v>
      </c>
      <c r="F5" s="115" t="s">
        <v>38</v>
      </c>
      <c r="G5" s="115" t="s">
        <v>45</v>
      </c>
      <c r="H5" s="115" t="s">
        <v>46</v>
      </c>
      <c r="I5" s="115" t="s">
        <v>45</v>
      </c>
      <c r="J5" s="115" t="s">
        <v>46</v>
      </c>
      <c r="K5" s="115" t="s">
        <v>45</v>
      </c>
      <c r="L5" s="115" t="s">
        <v>46</v>
      </c>
      <c r="M5" s="243"/>
    </row>
    <row r="6" spans="1:13" s="90" customFormat="1" ht="15.75" x14ac:dyDescent="0.3">
      <c r="A6" s="88">
        <v>1</v>
      </c>
      <c r="B6" s="89">
        <v>2</v>
      </c>
      <c r="C6" s="88">
        <v>3</v>
      </c>
      <c r="D6" s="89">
        <v>4</v>
      </c>
      <c r="E6" s="88">
        <v>5</v>
      </c>
      <c r="F6" s="89">
        <v>6</v>
      </c>
      <c r="G6" s="88"/>
      <c r="H6" s="89"/>
      <c r="I6" s="88"/>
      <c r="J6" s="89"/>
      <c r="K6" s="88"/>
      <c r="L6" s="89"/>
      <c r="M6" s="88"/>
    </row>
    <row r="7" spans="1:13" s="90" customFormat="1" ht="15.75" x14ac:dyDescent="0.3">
      <c r="A7" s="88">
        <v>1</v>
      </c>
      <c r="B7" s="89" t="s">
        <v>177</v>
      </c>
      <c r="C7" s="89" t="s">
        <v>33</v>
      </c>
      <c r="D7" s="5" t="s">
        <v>21</v>
      </c>
      <c r="E7" s="109"/>
      <c r="F7" s="110">
        <f>2.1*0.9*10+2.1*1.6</f>
        <v>22.26</v>
      </c>
      <c r="G7" s="102"/>
      <c r="H7" s="102"/>
      <c r="I7" s="102"/>
      <c r="J7" s="102"/>
      <c r="K7" s="102"/>
      <c r="L7" s="102"/>
      <c r="M7" s="102"/>
    </row>
    <row r="8" spans="1:13" s="90" customFormat="1" ht="15.75" x14ac:dyDescent="0.3">
      <c r="A8" s="86"/>
      <c r="B8" s="89"/>
      <c r="C8" s="89" t="s">
        <v>32</v>
      </c>
      <c r="D8" s="89" t="s">
        <v>4</v>
      </c>
      <c r="E8" s="111">
        <v>0.88700000000000001</v>
      </c>
      <c r="F8" s="112">
        <f>E8*F7</f>
        <v>19.744620000000001</v>
      </c>
      <c r="G8" s="95"/>
      <c r="H8" s="95"/>
      <c r="I8" s="96"/>
      <c r="J8" s="95"/>
      <c r="K8" s="95"/>
      <c r="L8" s="95"/>
      <c r="M8" s="95"/>
    </row>
    <row r="9" spans="1:13" s="90" customFormat="1" ht="15.75" x14ac:dyDescent="0.3">
      <c r="A9" s="86"/>
      <c r="B9" s="89"/>
      <c r="C9" s="89" t="s">
        <v>9</v>
      </c>
      <c r="D9" s="5" t="s">
        <v>0</v>
      </c>
      <c r="E9" s="111">
        <v>9.8400000000000001E-2</v>
      </c>
      <c r="F9" s="112">
        <f>E9*F7</f>
        <v>2.1903840000000003</v>
      </c>
      <c r="G9" s="95"/>
      <c r="H9" s="95"/>
      <c r="I9" s="95"/>
      <c r="J9" s="95"/>
      <c r="K9" s="95"/>
      <c r="L9" s="95"/>
      <c r="M9" s="95"/>
    </row>
    <row r="10" spans="1:13" s="51" customFormat="1" ht="39.75" customHeight="1" x14ac:dyDescent="0.3">
      <c r="A10" s="49">
        <v>2</v>
      </c>
      <c r="B10" s="91" t="s">
        <v>20</v>
      </c>
      <c r="C10" s="49" t="s">
        <v>138</v>
      </c>
      <c r="D10" s="50" t="s">
        <v>13</v>
      </c>
      <c r="E10" s="97"/>
      <c r="F10" s="97">
        <f>2.15*0.9*10</f>
        <v>19.350000000000001</v>
      </c>
      <c r="G10" s="103"/>
      <c r="H10" s="60"/>
      <c r="I10" s="104"/>
      <c r="J10" s="105"/>
      <c r="K10" s="98"/>
      <c r="L10" s="106"/>
      <c r="M10" s="95"/>
    </row>
    <row r="11" spans="1:13" s="92" customFormat="1" ht="17.25" customHeight="1" x14ac:dyDescent="0.3">
      <c r="A11" s="52"/>
      <c r="B11" s="49"/>
      <c r="C11" s="52" t="s">
        <v>3</v>
      </c>
      <c r="D11" s="23" t="s">
        <v>4</v>
      </c>
      <c r="E11" s="61">
        <v>0.91400000000000003</v>
      </c>
      <c r="F11" s="61">
        <f>F$10*E11</f>
        <v>17.685900000000004</v>
      </c>
      <c r="G11" s="99"/>
      <c r="H11" s="60"/>
      <c r="I11" s="107"/>
      <c r="J11" s="105"/>
      <c r="K11" s="107"/>
      <c r="L11" s="106"/>
      <c r="M11" s="95"/>
    </row>
    <row r="12" spans="1:13" s="93" customFormat="1" ht="15.75" customHeight="1" x14ac:dyDescent="0.3">
      <c r="A12" s="52"/>
      <c r="B12" s="52"/>
      <c r="C12" s="52" t="s">
        <v>9</v>
      </c>
      <c r="D12" s="53" t="s">
        <v>0</v>
      </c>
      <c r="E12" s="101">
        <v>0.35299999999999998</v>
      </c>
      <c r="F12" s="61">
        <f>F$10*E12</f>
        <v>6.8305500000000006</v>
      </c>
      <c r="G12" s="108"/>
      <c r="H12" s="60"/>
      <c r="I12" s="107"/>
      <c r="J12" s="105"/>
      <c r="K12" s="100"/>
      <c r="L12" s="106"/>
      <c r="M12" s="95"/>
    </row>
    <row r="13" spans="1:13" s="94" customFormat="1" ht="15.75" x14ac:dyDescent="0.2">
      <c r="A13" s="49"/>
      <c r="B13" s="49"/>
      <c r="C13" s="49" t="s">
        <v>157</v>
      </c>
      <c r="D13" s="50" t="s">
        <v>13</v>
      </c>
      <c r="E13" s="97">
        <v>1</v>
      </c>
      <c r="F13" s="61">
        <f>F$10*E13</f>
        <v>19.350000000000001</v>
      </c>
      <c r="G13" s="103"/>
      <c r="H13" s="60"/>
      <c r="I13" s="98"/>
      <c r="J13" s="105"/>
      <c r="K13" s="104"/>
      <c r="L13" s="106"/>
      <c r="M13" s="95"/>
    </row>
    <row r="14" spans="1:13" s="94" customFormat="1" ht="15.75" x14ac:dyDescent="0.2">
      <c r="A14" s="49"/>
      <c r="B14" s="49"/>
      <c r="C14" s="49" t="s">
        <v>139</v>
      </c>
      <c r="D14" s="50" t="str">
        <f>D13</f>
        <v>kv.m.</v>
      </c>
      <c r="E14" s="97">
        <f>4.2*0.2/0.9/2.1</f>
        <v>0.44444444444444442</v>
      </c>
      <c r="F14" s="61">
        <f>E14*F10</f>
        <v>8.6</v>
      </c>
      <c r="G14" s="103"/>
      <c r="H14" s="60"/>
      <c r="I14" s="98"/>
      <c r="J14" s="105"/>
      <c r="K14" s="104"/>
      <c r="L14" s="106"/>
      <c r="M14" s="95"/>
    </row>
    <row r="15" spans="1:13" s="94" customFormat="1" ht="15.75" x14ac:dyDescent="0.2">
      <c r="A15" s="49"/>
      <c r="B15" s="49"/>
      <c r="C15" s="49" t="s">
        <v>140</v>
      </c>
      <c r="D15" s="50" t="s">
        <v>119</v>
      </c>
      <c r="E15" s="97">
        <v>5.4</v>
      </c>
      <c r="F15" s="61">
        <f>E15*F10</f>
        <v>104.49000000000001</v>
      </c>
      <c r="G15" s="103"/>
      <c r="H15" s="60"/>
      <c r="I15" s="98"/>
      <c r="J15" s="105"/>
      <c r="K15" s="104"/>
      <c r="L15" s="106"/>
      <c r="M15" s="95"/>
    </row>
    <row r="16" spans="1:13" s="94" customFormat="1" ht="15.75" customHeight="1" x14ac:dyDescent="0.3">
      <c r="A16" s="52"/>
      <c r="B16" s="52"/>
      <c r="C16" s="52" t="s">
        <v>10</v>
      </c>
      <c r="D16" s="53" t="s">
        <v>0</v>
      </c>
      <c r="E16" s="101">
        <v>0.27600000000000002</v>
      </c>
      <c r="F16" s="61">
        <f>F$10*E16</f>
        <v>5.3406000000000011</v>
      </c>
      <c r="G16" s="108"/>
      <c r="H16" s="60"/>
      <c r="I16" s="100"/>
      <c r="J16" s="105"/>
      <c r="K16" s="107"/>
      <c r="L16" s="106"/>
      <c r="M16" s="95"/>
    </row>
    <row r="17" spans="1:13" s="51" customFormat="1" ht="31.5" customHeight="1" x14ac:dyDescent="0.3">
      <c r="A17" s="49">
        <v>3</v>
      </c>
      <c r="B17" s="91" t="s">
        <v>20</v>
      </c>
      <c r="C17" s="49" t="s">
        <v>141</v>
      </c>
      <c r="D17" s="50" t="s">
        <v>13</v>
      </c>
      <c r="E17" s="97"/>
      <c r="F17" s="97">
        <f>2.1*1.6</f>
        <v>3.3600000000000003</v>
      </c>
      <c r="G17" s="103"/>
      <c r="H17" s="60"/>
      <c r="I17" s="104"/>
      <c r="J17" s="105"/>
      <c r="K17" s="98"/>
      <c r="L17" s="106"/>
      <c r="M17" s="95"/>
    </row>
    <row r="18" spans="1:13" s="92" customFormat="1" ht="19.5" customHeight="1" x14ac:dyDescent="0.3">
      <c r="A18" s="52"/>
      <c r="B18" s="49"/>
      <c r="C18" s="52" t="s">
        <v>3</v>
      </c>
      <c r="D18" s="23" t="s">
        <v>4</v>
      </c>
      <c r="E18" s="61">
        <v>0.91400000000000003</v>
      </c>
      <c r="F18" s="61">
        <f>F$17*E18</f>
        <v>3.0710400000000004</v>
      </c>
      <c r="G18" s="99"/>
      <c r="H18" s="60"/>
      <c r="I18" s="107"/>
      <c r="J18" s="105"/>
      <c r="K18" s="107"/>
      <c r="L18" s="106"/>
      <c r="M18" s="95"/>
    </row>
    <row r="19" spans="1:13" s="93" customFormat="1" ht="15.75" customHeight="1" x14ac:dyDescent="0.3">
      <c r="A19" s="52"/>
      <c r="B19" s="52"/>
      <c r="C19" s="52" t="s">
        <v>9</v>
      </c>
      <c r="D19" s="53" t="s">
        <v>0</v>
      </c>
      <c r="E19" s="101">
        <v>0.35299999999999998</v>
      </c>
      <c r="F19" s="61">
        <f>F$17*E19</f>
        <v>1.18608</v>
      </c>
      <c r="G19" s="108"/>
      <c r="H19" s="60"/>
      <c r="I19" s="107"/>
      <c r="J19" s="105"/>
      <c r="K19" s="100"/>
      <c r="L19" s="106"/>
      <c r="M19" s="95"/>
    </row>
    <row r="20" spans="1:13" s="94" customFormat="1" ht="15.75" x14ac:dyDescent="0.2">
      <c r="A20" s="49"/>
      <c r="B20" s="49"/>
      <c r="C20" s="49" t="s">
        <v>158</v>
      </c>
      <c r="D20" s="50" t="s">
        <v>13</v>
      </c>
      <c r="E20" s="97">
        <v>1</v>
      </c>
      <c r="F20" s="61">
        <f>F$17*E20</f>
        <v>3.3600000000000003</v>
      </c>
      <c r="G20" s="103"/>
      <c r="H20" s="60"/>
      <c r="I20" s="98"/>
      <c r="J20" s="105"/>
      <c r="K20" s="104"/>
      <c r="L20" s="106"/>
      <c r="M20" s="95"/>
    </row>
    <row r="21" spans="1:13" s="94" customFormat="1" ht="15.75" x14ac:dyDescent="0.2">
      <c r="A21" s="49"/>
      <c r="B21" s="49"/>
      <c r="C21" s="49" t="s">
        <v>139</v>
      </c>
      <c r="D21" s="50" t="str">
        <f>D20</f>
        <v>kv.m.</v>
      </c>
      <c r="E21" s="97">
        <f>4.2*0.2/0.9/2.1</f>
        <v>0.44444444444444442</v>
      </c>
      <c r="F21" s="61">
        <f>E21*F17</f>
        <v>1.4933333333333334</v>
      </c>
      <c r="G21" s="103"/>
      <c r="H21" s="60"/>
      <c r="I21" s="98"/>
      <c r="J21" s="105"/>
      <c r="K21" s="104"/>
      <c r="L21" s="106"/>
      <c r="M21" s="95"/>
    </row>
    <row r="22" spans="1:13" s="94" customFormat="1" ht="15.75" x14ac:dyDescent="0.2">
      <c r="A22" s="49"/>
      <c r="B22" s="49"/>
      <c r="C22" s="49" t="s">
        <v>140</v>
      </c>
      <c r="D22" s="50" t="s">
        <v>119</v>
      </c>
      <c r="E22" s="97">
        <f>E15</f>
        <v>5.4</v>
      </c>
      <c r="F22" s="61">
        <f>E22*F17</f>
        <v>18.144000000000002</v>
      </c>
      <c r="G22" s="103"/>
      <c r="H22" s="60"/>
      <c r="I22" s="98"/>
      <c r="J22" s="105"/>
      <c r="K22" s="104"/>
      <c r="L22" s="106"/>
      <c r="M22" s="95"/>
    </row>
    <row r="23" spans="1:13" s="94" customFormat="1" ht="15.75" customHeight="1" x14ac:dyDescent="0.3">
      <c r="A23" s="52"/>
      <c r="B23" s="52"/>
      <c r="C23" s="52" t="s">
        <v>10</v>
      </c>
      <c r="D23" s="53" t="s">
        <v>0</v>
      </c>
      <c r="E23" s="101">
        <v>0.27600000000000002</v>
      </c>
      <c r="F23" s="61">
        <f>F$17*E23</f>
        <v>0.92736000000000018</v>
      </c>
      <c r="G23" s="108"/>
      <c r="H23" s="60"/>
      <c r="I23" s="100"/>
      <c r="J23" s="105"/>
      <c r="K23" s="107"/>
      <c r="L23" s="106"/>
      <c r="M23" s="95"/>
    </row>
    <row r="24" spans="1:13" s="94" customFormat="1" ht="15.75" customHeight="1" x14ac:dyDescent="0.3">
      <c r="A24" s="52"/>
      <c r="B24" s="52"/>
      <c r="C24" s="52" t="s">
        <v>1</v>
      </c>
      <c r="D24" s="53"/>
      <c r="E24" s="101"/>
      <c r="F24" s="61"/>
      <c r="G24" s="108"/>
      <c r="H24" s="100"/>
      <c r="I24" s="100"/>
      <c r="J24" s="100"/>
      <c r="K24" s="107"/>
      <c r="L24" s="100"/>
      <c r="M24" s="100"/>
    </row>
    <row r="25" spans="1:13" s="94" customFormat="1" ht="15.75" customHeight="1" x14ac:dyDescent="0.3">
      <c r="A25" s="52"/>
      <c r="B25" s="52"/>
      <c r="C25" s="52" t="s">
        <v>34</v>
      </c>
      <c r="D25" s="165">
        <v>0.1</v>
      </c>
      <c r="E25" s="101"/>
      <c r="F25" s="61"/>
      <c r="G25" s="108"/>
      <c r="H25" s="60"/>
      <c r="I25" s="100"/>
      <c r="J25" s="105"/>
      <c r="K25" s="107"/>
      <c r="L25" s="106"/>
      <c r="M25" s="100"/>
    </row>
    <row r="26" spans="1:13" s="94" customFormat="1" ht="15.75" customHeight="1" x14ac:dyDescent="0.3">
      <c r="A26" s="52"/>
      <c r="B26" s="52"/>
      <c r="C26" s="52" t="s">
        <v>1</v>
      </c>
      <c r="D26" s="165"/>
      <c r="E26" s="101"/>
      <c r="F26" s="61"/>
      <c r="G26" s="108"/>
      <c r="H26" s="60"/>
      <c r="I26" s="100"/>
      <c r="J26" s="105"/>
      <c r="K26" s="107"/>
      <c r="L26" s="106"/>
      <c r="M26" s="100"/>
    </row>
    <row r="27" spans="1:13" s="94" customFormat="1" ht="15.75" customHeight="1" x14ac:dyDescent="0.3">
      <c r="A27" s="52"/>
      <c r="B27" s="52"/>
      <c r="C27" s="52" t="s">
        <v>35</v>
      </c>
      <c r="D27" s="165">
        <v>0.08</v>
      </c>
      <c r="E27" s="101"/>
      <c r="F27" s="61"/>
      <c r="G27" s="108"/>
      <c r="H27" s="60"/>
      <c r="I27" s="100"/>
      <c r="J27" s="105"/>
      <c r="K27" s="107"/>
      <c r="L27" s="106"/>
      <c r="M27" s="100"/>
    </row>
    <row r="28" spans="1:13" s="94" customFormat="1" ht="15.75" customHeight="1" x14ac:dyDescent="0.3">
      <c r="A28" s="52"/>
      <c r="B28" s="52"/>
      <c r="C28" s="52" t="s">
        <v>1</v>
      </c>
      <c r="D28" s="113"/>
      <c r="E28" s="101"/>
      <c r="F28" s="61"/>
      <c r="G28" s="108"/>
      <c r="H28" s="60"/>
      <c r="I28" s="100"/>
      <c r="J28" s="105"/>
      <c r="K28" s="107"/>
      <c r="L28" s="106"/>
      <c r="M28" s="100"/>
    </row>
    <row r="31" spans="1:13" s="173" customFormat="1" ht="14.25" x14ac:dyDescent="0.25">
      <c r="A31" s="172"/>
      <c r="B31" s="173" t="s">
        <v>176</v>
      </c>
      <c r="D31" s="172"/>
    </row>
    <row r="33" spans="3:5" x14ac:dyDescent="0.25">
      <c r="C33" s="249" t="s">
        <v>142</v>
      </c>
      <c r="D33" s="249"/>
      <c r="E33" s="249"/>
    </row>
    <row r="34" spans="3:5" x14ac:dyDescent="0.25">
      <c r="C34" s="250"/>
      <c r="D34" s="251"/>
      <c r="E34" s="252"/>
    </row>
    <row r="35" spans="3:5" s="169" customFormat="1" x14ac:dyDescent="0.25">
      <c r="C35" s="167" t="s">
        <v>159</v>
      </c>
      <c r="D35" s="167" t="s">
        <v>161</v>
      </c>
      <c r="E35" s="167">
        <f>2.1*1*2-0.3*0.4*2</f>
        <v>3.96</v>
      </c>
    </row>
    <row r="36" spans="3:5" x14ac:dyDescent="0.25">
      <c r="C36" s="167" t="s">
        <v>155</v>
      </c>
      <c r="D36" s="167" t="s">
        <v>144</v>
      </c>
      <c r="E36" s="167">
        <v>6</v>
      </c>
    </row>
    <row r="37" spans="3:5" x14ac:dyDescent="0.25">
      <c r="C37" s="167" t="s">
        <v>145</v>
      </c>
      <c r="D37" s="167" t="s">
        <v>144</v>
      </c>
      <c r="E37" s="167">
        <v>6</v>
      </c>
    </row>
    <row r="38" spans="3:5" x14ac:dyDescent="0.25">
      <c r="C38" s="167" t="s">
        <v>146</v>
      </c>
      <c r="D38" s="167" t="s">
        <v>144</v>
      </c>
      <c r="E38" s="167">
        <v>7.2</v>
      </c>
    </row>
    <row r="39" spans="3:5" x14ac:dyDescent="0.25">
      <c r="C39" s="168" t="s">
        <v>160</v>
      </c>
      <c r="D39" s="168" t="s">
        <v>144</v>
      </c>
      <c r="E39" s="168">
        <v>6</v>
      </c>
    </row>
    <row r="40" spans="3:5" x14ac:dyDescent="0.25">
      <c r="C40" s="167" t="s">
        <v>147</v>
      </c>
      <c r="D40" s="167" t="s">
        <v>143</v>
      </c>
      <c r="E40" s="167">
        <v>2</v>
      </c>
    </row>
    <row r="41" spans="3:5" x14ac:dyDescent="0.25">
      <c r="C41" s="167" t="s">
        <v>148</v>
      </c>
      <c r="D41" s="167" t="s">
        <v>143</v>
      </c>
      <c r="E41" s="167">
        <v>1</v>
      </c>
    </row>
    <row r="42" spans="3:5" x14ac:dyDescent="0.25">
      <c r="C42" s="167" t="s">
        <v>149</v>
      </c>
      <c r="D42" s="167" t="s">
        <v>143</v>
      </c>
      <c r="E42" s="167">
        <v>70</v>
      </c>
    </row>
    <row r="43" spans="3:5" x14ac:dyDescent="0.25">
      <c r="C43" s="167" t="s">
        <v>150</v>
      </c>
      <c r="D43" s="167" t="s">
        <v>151</v>
      </c>
      <c r="E43" s="167">
        <v>1</v>
      </c>
    </row>
    <row r="44" spans="3:5" x14ac:dyDescent="0.25">
      <c r="C44" s="167" t="s">
        <v>152</v>
      </c>
      <c r="D44" s="167" t="s">
        <v>153</v>
      </c>
      <c r="E44" s="167">
        <v>0.15</v>
      </c>
    </row>
    <row r="45" spans="3:5" x14ac:dyDescent="0.25">
      <c r="C45" s="167" t="s">
        <v>154</v>
      </c>
      <c r="D45" s="167" t="s">
        <v>151</v>
      </c>
      <c r="E45" s="167">
        <v>0.32</v>
      </c>
    </row>
    <row r="46" spans="3:5" x14ac:dyDescent="0.25">
      <c r="C46" s="167" t="s">
        <v>156</v>
      </c>
      <c r="D46" s="167" t="s">
        <v>143</v>
      </c>
      <c r="E46" s="167">
        <v>2.21</v>
      </c>
    </row>
    <row r="47" spans="3:5" x14ac:dyDescent="0.25">
      <c r="C47" s="169"/>
      <c r="D47" s="169"/>
      <c r="E47" s="169"/>
    </row>
    <row r="49" spans="1:4" s="173" customFormat="1" ht="14.25" x14ac:dyDescent="0.25">
      <c r="A49" s="172"/>
      <c r="D49" s="172"/>
    </row>
  </sheetData>
  <mergeCells count="13">
    <mergeCell ref="L1:M1"/>
    <mergeCell ref="C33:E33"/>
    <mergeCell ref="C34:E34"/>
    <mergeCell ref="A2:M2"/>
    <mergeCell ref="A3:M3"/>
    <mergeCell ref="B4:B5"/>
    <mergeCell ref="A4:A5"/>
    <mergeCell ref="M4:M5"/>
    <mergeCell ref="K4:L4"/>
    <mergeCell ref="I4:J4"/>
    <mergeCell ref="G4:H4"/>
    <mergeCell ref="D4:F4"/>
    <mergeCell ref="C4:C5"/>
  </mergeCells>
  <pageMargins left="0.2" right="0.2" top="0.21" bottom="0.2" header="0.2" footer="0.2"/>
  <pageSetup paperSize="9" scale="96" orientation="landscape" horizontalDpi="300" verticalDpi="300" r:id="rId1"/>
  <rowBreaks count="1" manualBreakCount="1">
    <brk id="3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კარი!A2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კრებსითი!B7</f>
        <v>ალუმინის ყრუ ვიტრაჟში გადმოსახსნელი ფანჯრის ბლოკის მოწყობის სამუშაოები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40" customFormat="1" ht="42" customHeight="1" x14ac:dyDescent="0.2">
      <c r="A8" s="34">
        <v>1</v>
      </c>
      <c r="B8" s="34" t="s">
        <v>18</v>
      </c>
      <c r="C8" s="35" t="s">
        <v>85</v>
      </c>
      <c r="D8" s="34" t="s">
        <v>13</v>
      </c>
      <c r="E8" s="36"/>
      <c r="F8" s="36">
        <f>1.58*0.87*2</f>
        <v>2.7492000000000001</v>
      </c>
      <c r="G8" s="30"/>
      <c r="H8" s="13"/>
      <c r="I8" s="37"/>
      <c r="J8" s="38"/>
      <c r="K8" s="30"/>
      <c r="L8" s="22"/>
      <c r="M8" s="39"/>
    </row>
    <row r="9" spans="1:13" s="42" customFormat="1" ht="15.75" x14ac:dyDescent="0.3">
      <c r="A9" s="31"/>
      <c r="B9" s="41"/>
      <c r="C9" s="31" t="s">
        <v>3</v>
      </c>
      <c r="D9" s="31" t="s">
        <v>4</v>
      </c>
      <c r="E9" s="32">
        <v>7.65</v>
      </c>
      <c r="F9" s="32">
        <f>F8*E9</f>
        <v>21.031380000000002</v>
      </c>
      <c r="G9" s="3"/>
      <c r="H9" s="13"/>
      <c r="I9" s="28"/>
      <c r="J9" s="28"/>
      <c r="K9" s="28"/>
      <c r="L9" s="22"/>
      <c r="M9" s="33"/>
    </row>
    <row r="10" spans="1:13" s="42" customFormat="1" ht="15.75" x14ac:dyDescent="0.3">
      <c r="A10" s="31"/>
      <c r="B10" s="31"/>
      <c r="C10" s="31" t="s">
        <v>9</v>
      </c>
      <c r="D10" s="31" t="s">
        <v>0</v>
      </c>
      <c r="E10" s="32">
        <v>0.34799999999999998</v>
      </c>
      <c r="F10" s="32">
        <f>F8*E10</f>
        <v>0.95672159999999995</v>
      </c>
      <c r="G10" s="28"/>
      <c r="H10" s="13"/>
      <c r="I10" s="28"/>
      <c r="J10" s="28"/>
      <c r="K10" s="33"/>
      <c r="L10" s="22"/>
      <c r="M10" s="33"/>
    </row>
    <row r="11" spans="1:13" s="46" customFormat="1" ht="31.5" x14ac:dyDescent="0.2">
      <c r="A11" s="35"/>
      <c r="B11" s="35"/>
      <c r="C11" s="35" t="s">
        <v>19</v>
      </c>
      <c r="D11" s="35" t="s">
        <v>13</v>
      </c>
      <c r="E11" s="43">
        <v>1</v>
      </c>
      <c r="F11" s="43">
        <f>F8*E11</f>
        <v>2.7492000000000001</v>
      </c>
      <c r="G11" s="27"/>
      <c r="H11" s="13"/>
      <c r="I11" s="44"/>
      <c r="J11" s="45"/>
      <c r="K11" s="27"/>
      <c r="L11" s="22"/>
      <c r="M11" s="33"/>
    </row>
    <row r="12" spans="1:13" s="48" customFormat="1" ht="15.75" x14ac:dyDescent="0.3">
      <c r="A12" s="31"/>
      <c r="B12" s="31"/>
      <c r="C12" s="31" t="s">
        <v>10</v>
      </c>
      <c r="D12" s="31" t="s">
        <v>0</v>
      </c>
      <c r="E12" s="47">
        <v>0.65600000000000003</v>
      </c>
      <c r="F12" s="47">
        <f>F8*E12</f>
        <v>1.8034752000000001</v>
      </c>
      <c r="G12" s="28"/>
      <c r="H12" s="13"/>
      <c r="I12" s="33"/>
      <c r="J12" s="45"/>
      <c r="K12" s="28"/>
      <c r="L12" s="22"/>
      <c r="M12" s="33"/>
    </row>
    <row r="13" spans="1:13" s="94" customFormat="1" ht="15.75" customHeight="1" x14ac:dyDescent="0.3">
      <c r="A13" s="52"/>
      <c r="B13" s="52"/>
      <c r="C13" s="52" t="s">
        <v>1</v>
      </c>
      <c r="D13" s="53"/>
      <c r="E13" s="101"/>
      <c r="F13" s="61"/>
      <c r="G13" s="108"/>
      <c r="H13" s="100"/>
      <c r="I13" s="100"/>
      <c r="J13" s="100"/>
      <c r="K13" s="107"/>
      <c r="L13" s="100"/>
      <c r="M13" s="100"/>
    </row>
    <row r="14" spans="1:13" s="94" customFormat="1" ht="15.75" customHeight="1" x14ac:dyDescent="0.3">
      <c r="A14" s="52"/>
      <c r="B14" s="52"/>
      <c r="C14" s="52" t="s">
        <v>34</v>
      </c>
      <c r="D14" s="165">
        <v>0.1</v>
      </c>
      <c r="E14" s="101"/>
      <c r="F14" s="61"/>
      <c r="G14" s="108"/>
      <c r="H14" s="60"/>
      <c r="I14" s="100"/>
      <c r="J14" s="105"/>
      <c r="K14" s="107"/>
      <c r="L14" s="106"/>
      <c r="M14" s="100"/>
    </row>
    <row r="15" spans="1:13" s="94" customFormat="1" ht="15.75" customHeight="1" x14ac:dyDescent="0.3">
      <c r="A15" s="52"/>
      <c r="B15" s="52"/>
      <c r="C15" s="52" t="s">
        <v>1</v>
      </c>
      <c r="D15" s="165"/>
      <c r="E15" s="101"/>
      <c r="F15" s="61"/>
      <c r="G15" s="108"/>
      <c r="H15" s="60"/>
      <c r="I15" s="100"/>
      <c r="J15" s="105"/>
      <c r="K15" s="107"/>
      <c r="L15" s="106"/>
      <c r="M15" s="100"/>
    </row>
    <row r="16" spans="1:13" s="94" customFormat="1" ht="15.75" customHeight="1" x14ac:dyDescent="0.3">
      <c r="A16" s="52"/>
      <c r="B16" s="52"/>
      <c r="C16" s="52" t="s">
        <v>35</v>
      </c>
      <c r="D16" s="165">
        <v>0.08</v>
      </c>
      <c r="E16" s="101"/>
      <c r="F16" s="61"/>
      <c r="G16" s="108"/>
      <c r="H16" s="60"/>
      <c r="I16" s="100"/>
      <c r="J16" s="105"/>
      <c r="K16" s="107"/>
      <c r="L16" s="106"/>
      <c r="M16" s="100"/>
    </row>
    <row r="17" spans="1:13" s="94" customFormat="1" ht="15.75" customHeight="1" x14ac:dyDescent="0.3">
      <c r="A17" s="52"/>
      <c r="B17" s="52"/>
      <c r="C17" s="52" t="s">
        <v>1</v>
      </c>
      <c r="D17" s="113"/>
      <c r="E17" s="101"/>
      <c r="F17" s="61"/>
      <c r="G17" s="108"/>
      <c r="H17" s="60"/>
      <c r="I17" s="100"/>
      <c r="J17" s="105"/>
      <c r="K17" s="107"/>
      <c r="L17" s="106"/>
      <c r="M17" s="100"/>
    </row>
    <row r="19" spans="1:13" s="173" customFormat="1" ht="14.25" x14ac:dyDescent="0.25">
      <c r="A19" s="172"/>
      <c r="D19" s="172"/>
    </row>
    <row r="23" spans="1:13" s="173" customFormat="1" ht="14.25" x14ac:dyDescent="0.25">
      <c r="A23" s="172"/>
      <c r="D23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27559055118110237" right="0.19685039370078741" top="0.27559055118110237" bottom="0.35433070866141736" header="0.23622047244094491" footer="0.31496062992125984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Zeros="0"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ფანჯარა!A2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 customHeight="1" x14ac:dyDescent="0.25">
      <c r="A4" s="254" t="str">
        <f>კრებსითი!B8</f>
        <v>ჭერში დამონტაჟებული მომსახურების ბილიკზე ასასვლელი კიბის მოწყობის სამუშაოები (ნახაზი#1)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32.25" customHeight="1" x14ac:dyDescent="0.3">
      <c r="A8" s="124">
        <v>1</v>
      </c>
      <c r="B8" s="118" t="s">
        <v>69</v>
      </c>
      <c r="C8" s="127" t="s">
        <v>50</v>
      </c>
      <c r="D8" s="118" t="s">
        <v>51</v>
      </c>
      <c r="E8" s="119"/>
      <c r="F8" s="119">
        <f>SUM(F11:F14)</f>
        <v>58.2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30">
        <v>0.47599999999999998</v>
      </c>
      <c r="C9" s="127" t="s">
        <v>3</v>
      </c>
      <c r="D9" s="118" t="s">
        <v>60</v>
      </c>
      <c r="E9" s="120">
        <v>1</v>
      </c>
      <c r="F9" s="119">
        <f>F$8*E9</f>
        <v>58.2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1.9613400000000001</v>
      </c>
      <c r="G10" s="119"/>
      <c r="H10" s="119"/>
      <c r="I10" s="119"/>
      <c r="J10" s="119"/>
      <c r="K10" s="119"/>
      <c r="L10" s="119"/>
      <c r="M10" s="119"/>
    </row>
    <row r="11" spans="1:13" s="126" customFormat="1" ht="15.75" x14ac:dyDescent="0.25">
      <c r="A11" s="124"/>
      <c r="B11" s="118"/>
      <c r="C11" s="129" t="s">
        <v>55</v>
      </c>
      <c r="D11" s="118" t="s">
        <v>53</v>
      </c>
      <c r="E11" s="119" t="s">
        <v>59</v>
      </c>
      <c r="F11" s="119">
        <v>16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9" t="s">
        <v>54</v>
      </c>
      <c r="D12" s="118" t="s">
        <v>53</v>
      </c>
      <c r="E12" s="119" t="s">
        <v>59</v>
      </c>
      <c r="F12" s="119">
        <v>15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24"/>
      <c r="B13" s="118"/>
      <c r="C13" s="129" t="s">
        <v>56</v>
      </c>
      <c r="D13" s="118" t="s">
        <v>53</v>
      </c>
      <c r="E13" s="119" t="s">
        <v>59</v>
      </c>
      <c r="F13" s="119">
        <v>11.2</v>
      </c>
      <c r="G13" s="119"/>
      <c r="H13" s="119"/>
      <c r="I13" s="119"/>
      <c r="J13" s="119"/>
      <c r="K13" s="119"/>
      <c r="L13" s="119"/>
      <c r="M13" s="119"/>
    </row>
    <row r="14" spans="1:13" s="126" customFormat="1" ht="15.75" x14ac:dyDescent="0.25">
      <c r="A14" s="124"/>
      <c r="B14" s="118"/>
      <c r="C14" s="129" t="s">
        <v>57</v>
      </c>
      <c r="D14" s="118" t="s">
        <v>53</v>
      </c>
      <c r="E14" s="119" t="s">
        <v>59</v>
      </c>
      <c r="F14" s="119">
        <v>16</v>
      </c>
      <c r="G14" s="119"/>
      <c r="H14" s="119"/>
      <c r="I14" s="119"/>
      <c r="J14" s="119"/>
      <c r="K14" s="119"/>
      <c r="L14" s="119"/>
      <c r="M14" s="119"/>
    </row>
    <row r="15" spans="1:13" s="126" customFormat="1" ht="15.75" x14ac:dyDescent="0.25">
      <c r="A15" s="124"/>
      <c r="B15" s="118"/>
      <c r="C15" s="127" t="s">
        <v>58</v>
      </c>
      <c r="D15" s="125" t="s">
        <v>25</v>
      </c>
      <c r="E15" s="119" t="s">
        <v>59</v>
      </c>
      <c r="F15" s="119">
        <v>10</v>
      </c>
      <c r="G15" s="119"/>
      <c r="H15" s="119"/>
      <c r="I15" s="119"/>
      <c r="J15" s="119"/>
      <c r="K15" s="119"/>
      <c r="L15" s="119"/>
      <c r="M15" s="119"/>
    </row>
    <row r="16" spans="1:13" s="126" customFormat="1" ht="15.75" x14ac:dyDescent="0.25">
      <c r="A16" s="124"/>
      <c r="B16" s="118"/>
      <c r="C16" s="127" t="s">
        <v>15</v>
      </c>
      <c r="D16" s="118" t="s">
        <v>16</v>
      </c>
      <c r="E16" s="119" t="s">
        <v>59</v>
      </c>
      <c r="F16" s="119">
        <f>SUM(J11:J15)/2.11*0.03</f>
        <v>0</v>
      </c>
      <c r="G16" s="119"/>
      <c r="H16" s="119"/>
      <c r="I16" s="119"/>
      <c r="J16" s="119"/>
      <c r="K16" s="119"/>
      <c r="L16" s="119"/>
      <c r="M16" s="119"/>
    </row>
    <row r="17" spans="1:13" s="92" customFormat="1" ht="15.75" x14ac:dyDescent="0.25">
      <c r="A17" s="124"/>
      <c r="B17" s="117"/>
      <c r="C17" s="116" t="s">
        <v>49</v>
      </c>
      <c r="D17" s="118" t="s">
        <v>52</v>
      </c>
      <c r="E17" s="119">
        <v>2.5999999999999999E-2</v>
      </c>
      <c r="F17" s="119">
        <f>F$8*E17</f>
        <v>1.5132000000000001</v>
      </c>
      <c r="G17" s="119"/>
      <c r="H17" s="119"/>
      <c r="I17" s="119"/>
      <c r="J17" s="119"/>
      <c r="K17" s="119"/>
      <c r="L17" s="119"/>
      <c r="M17" s="119"/>
    </row>
    <row r="18" spans="1:13" s="93" customFormat="1" ht="31.5" x14ac:dyDescent="0.25">
      <c r="A18" s="136">
        <v>2</v>
      </c>
      <c r="B18" s="34" t="s">
        <v>61</v>
      </c>
      <c r="C18" s="127" t="s">
        <v>62</v>
      </c>
      <c r="D18" s="118" t="s">
        <v>8</v>
      </c>
      <c r="E18" s="119"/>
      <c r="F18" s="131">
        <f>0.785*0.004*7850/1000</f>
        <v>2.4649000000000001E-2</v>
      </c>
      <c r="G18" s="119"/>
      <c r="H18" s="119"/>
      <c r="I18" s="119"/>
      <c r="J18" s="119"/>
      <c r="K18" s="119"/>
      <c r="L18" s="119"/>
      <c r="M18" s="119"/>
    </row>
    <row r="19" spans="1:13" s="94" customFormat="1" ht="15.75" x14ac:dyDescent="0.25">
      <c r="A19" s="134"/>
      <c r="B19" s="85"/>
      <c r="C19" s="129" t="s">
        <v>3</v>
      </c>
      <c r="D19" s="125" t="s">
        <v>8</v>
      </c>
      <c r="E19" s="119">
        <v>1</v>
      </c>
      <c r="F19" s="120">
        <f t="shared" ref="F19:F24" si="0">F$18*E19</f>
        <v>2.4649000000000001E-2</v>
      </c>
      <c r="G19" s="119"/>
      <c r="H19" s="119"/>
      <c r="I19" s="119"/>
      <c r="J19" s="119"/>
      <c r="K19" s="119"/>
      <c r="L19" s="119"/>
      <c r="M19" s="119"/>
    </row>
    <row r="20" spans="1:13" s="94" customFormat="1" ht="15.75" customHeight="1" x14ac:dyDescent="0.25">
      <c r="A20" s="134"/>
      <c r="B20" s="85"/>
      <c r="C20" s="129" t="s">
        <v>9</v>
      </c>
      <c r="D20" s="118" t="s">
        <v>52</v>
      </c>
      <c r="E20" s="119">
        <v>18.399999999999999</v>
      </c>
      <c r="F20" s="120">
        <f t="shared" si="0"/>
        <v>0.45354159999999999</v>
      </c>
      <c r="G20" s="119"/>
      <c r="H20" s="119"/>
      <c r="I20" s="119"/>
      <c r="J20" s="119"/>
      <c r="K20" s="119"/>
      <c r="L20" s="119"/>
      <c r="M20" s="119"/>
    </row>
    <row r="21" spans="1:13" s="51" customFormat="1" ht="15.75" x14ac:dyDescent="0.3">
      <c r="A21" s="134"/>
      <c r="B21" s="85"/>
      <c r="C21" s="129" t="s">
        <v>63</v>
      </c>
      <c r="D21" s="118" t="s">
        <v>66</v>
      </c>
      <c r="E21" s="119">
        <v>0.35</v>
      </c>
      <c r="F21" s="120">
        <f t="shared" si="0"/>
        <v>8.6271500000000001E-3</v>
      </c>
      <c r="G21" s="119"/>
      <c r="H21" s="119"/>
      <c r="I21" s="119"/>
      <c r="J21" s="119"/>
      <c r="K21" s="119"/>
      <c r="L21" s="119"/>
      <c r="M21" s="119"/>
    </row>
    <row r="22" spans="1:13" s="92" customFormat="1" ht="31.5" x14ac:dyDescent="0.25">
      <c r="A22" s="134"/>
      <c r="B22" s="85"/>
      <c r="C22" s="129" t="s">
        <v>64</v>
      </c>
      <c r="D22" s="118" t="s">
        <v>67</v>
      </c>
      <c r="E22" s="119">
        <v>1</v>
      </c>
      <c r="F22" s="120">
        <f t="shared" si="0"/>
        <v>2.4649000000000001E-2</v>
      </c>
      <c r="G22" s="119"/>
      <c r="H22" s="119"/>
      <c r="I22" s="119"/>
      <c r="J22" s="119"/>
      <c r="K22" s="119"/>
      <c r="L22" s="119"/>
      <c r="M22" s="119"/>
    </row>
    <row r="23" spans="1:13" s="94" customFormat="1" ht="15.75" x14ac:dyDescent="0.25">
      <c r="A23" s="134"/>
      <c r="B23" s="85"/>
      <c r="C23" s="129" t="s">
        <v>15</v>
      </c>
      <c r="D23" s="125" t="s">
        <v>16</v>
      </c>
      <c r="E23" s="119">
        <v>24.4</v>
      </c>
      <c r="F23" s="120">
        <f t="shared" si="0"/>
        <v>0.60143559999999996</v>
      </c>
      <c r="G23" s="119"/>
      <c r="H23" s="119"/>
      <c r="I23" s="119"/>
      <c r="J23" s="119"/>
      <c r="K23" s="119"/>
      <c r="L23" s="119"/>
      <c r="M23" s="119"/>
    </row>
    <row r="24" spans="1:13" s="94" customFormat="1" ht="15.75" customHeight="1" x14ac:dyDescent="0.25">
      <c r="A24" s="134"/>
      <c r="B24" s="85"/>
      <c r="C24" s="129" t="s">
        <v>10</v>
      </c>
      <c r="D24" s="118" t="s">
        <v>0</v>
      </c>
      <c r="E24" s="119">
        <v>2.78</v>
      </c>
      <c r="F24" s="120">
        <f t="shared" si="0"/>
        <v>6.8524219999999997E-2</v>
      </c>
      <c r="G24" s="119"/>
      <c r="H24" s="119"/>
      <c r="I24" s="119"/>
      <c r="J24" s="119"/>
      <c r="K24" s="119"/>
      <c r="L24" s="119"/>
      <c r="M24" s="119"/>
    </row>
    <row r="25" spans="1:13" s="25" customFormat="1" ht="31.5" x14ac:dyDescent="0.2">
      <c r="A25" s="135">
        <v>3</v>
      </c>
      <c r="B25" s="34" t="s">
        <v>23</v>
      </c>
      <c r="C25" s="132" t="s">
        <v>68</v>
      </c>
      <c r="D25" s="34" t="s">
        <v>13</v>
      </c>
      <c r="E25" s="36"/>
      <c r="F25" s="37">
        <f>2.5/0.25</f>
        <v>10</v>
      </c>
      <c r="G25" s="119"/>
      <c r="H25" s="119"/>
      <c r="I25" s="119"/>
      <c r="J25" s="119"/>
      <c r="K25" s="119"/>
      <c r="L25" s="119"/>
      <c r="M25" s="119"/>
    </row>
    <row r="26" spans="1:13" s="25" customFormat="1" ht="15.75" x14ac:dyDescent="0.3">
      <c r="A26" s="59"/>
      <c r="B26" s="59"/>
      <c r="C26" s="129" t="s">
        <v>11</v>
      </c>
      <c r="D26" s="18" t="s">
        <v>4</v>
      </c>
      <c r="E26" s="14">
        <v>0.68</v>
      </c>
      <c r="F26" s="24">
        <f>F$25*E26</f>
        <v>6.8000000000000007</v>
      </c>
      <c r="G26" s="119"/>
      <c r="H26" s="119"/>
      <c r="I26" s="119"/>
      <c r="J26" s="119"/>
      <c r="K26" s="119"/>
      <c r="L26" s="119"/>
      <c r="M26" s="119"/>
    </row>
    <row r="27" spans="1:13" s="25" customFormat="1" ht="15.75" x14ac:dyDescent="0.3">
      <c r="A27" s="59"/>
      <c r="B27" s="59"/>
      <c r="C27" s="129" t="s">
        <v>9</v>
      </c>
      <c r="D27" s="18" t="s">
        <v>0</v>
      </c>
      <c r="E27" s="24">
        <f>0.03/100</f>
        <v>2.9999999999999997E-4</v>
      </c>
      <c r="F27" s="24">
        <f>F$25*E27</f>
        <v>2.9999999999999996E-3</v>
      </c>
      <c r="G27" s="119"/>
      <c r="H27" s="119"/>
      <c r="I27" s="119"/>
      <c r="J27" s="119"/>
      <c r="K27" s="119"/>
      <c r="L27" s="120"/>
      <c r="M27" s="119"/>
    </row>
    <row r="28" spans="1:13" s="25" customFormat="1" ht="15.75" x14ac:dyDescent="0.3">
      <c r="A28" s="59"/>
      <c r="B28" s="59"/>
      <c r="C28" s="129" t="s">
        <v>24</v>
      </c>
      <c r="D28" s="18" t="s">
        <v>17</v>
      </c>
      <c r="E28" s="24">
        <f>(24.6+2.7)/100</f>
        <v>0.27300000000000002</v>
      </c>
      <c r="F28" s="24">
        <f>F$25*E28</f>
        <v>2.7300000000000004</v>
      </c>
      <c r="G28" s="119"/>
      <c r="H28" s="119"/>
      <c r="I28" s="119"/>
      <c r="J28" s="119"/>
      <c r="K28" s="119"/>
      <c r="L28" s="119"/>
      <c r="M28" s="119"/>
    </row>
    <row r="29" spans="1:13" s="1" customFormat="1" ht="16.5" x14ac:dyDescent="0.3">
      <c r="A29" s="59"/>
      <c r="B29" s="59"/>
      <c r="C29" s="129" t="s">
        <v>10</v>
      </c>
      <c r="D29" s="18" t="s">
        <v>0</v>
      </c>
      <c r="E29" s="24">
        <f>0.19/100</f>
        <v>1.9E-3</v>
      </c>
      <c r="F29" s="24">
        <f>F$25*E29</f>
        <v>1.9E-2</v>
      </c>
      <c r="G29" s="119"/>
      <c r="H29" s="119"/>
      <c r="I29" s="119"/>
      <c r="J29" s="119"/>
      <c r="K29" s="119"/>
      <c r="L29" s="120"/>
      <c r="M29" s="119"/>
    </row>
    <row r="30" spans="1:13" s="94" customFormat="1" ht="15.75" customHeight="1" x14ac:dyDescent="0.3">
      <c r="A30" s="52"/>
      <c r="B30" s="52"/>
      <c r="C30" s="52" t="s">
        <v>1</v>
      </c>
      <c r="D30" s="53"/>
      <c r="E30" s="120"/>
      <c r="F30" s="61"/>
      <c r="G30" s="121"/>
      <c r="H30" s="119"/>
      <c r="I30" s="119"/>
      <c r="J30" s="119"/>
      <c r="K30" s="122"/>
      <c r="L30" s="119"/>
      <c r="M30" s="119"/>
    </row>
    <row r="31" spans="1:13" s="94" customFormat="1" ht="15.75" customHeight="1" x14ac:dyDescent="0.3">
      <c r="A31" s="52"/>
      <c r="B31" s="52"/>
      <c r="C31" s="52" t="s">
        <v>34</v>
      </c>
      <c r="D31" s="165">
        <v>0.1</v>
      </c>
      <c r="E31" s="120"/>
      <c r="F31" s="61"/>
      <c r="G31" s="121"/>
      <c r="H31" s="123"/>
      <c r="I31" s="119"/>
      <c r="J31" s="105"/>
      <c r="K31" s="122"/>
      <c r="L31" s="106"/>
      <c r="M31" s="119"/>
    </row>
    <row r="32" spans="1:13" s="94" customFormat="1" ht="15.75" customHeight="1" x14ac:dyDescent="0.3">
      <c r="A32" s="52"/>
      <c r="B32" s="52"/>
      <c r="C32" s="52" t="s">
        <v>1</v>
      </c>
      <c r="D32" s="165"/>
      <c r="E32" s="120"/>
      <c r="F32" s="61"/>
      <c r="G32" s="121"/>
      <c r="H32" s="123"/>
      <c r="I32" s="119"/>
      <c r="J32" s="105"/>
      <c r="K32" s="122"/>
      <c r="L32" s="106"/>
      <c r="M32" s="119"/>
    </row>
    <row r="33" spans="1:13" s="94" customFormat="1" ht="15.75" customHeight="1" x14ac:dyDescent="0.3">
      <c r="A33" s="52"/>
      <c r="B33" s="52"/>
      <c r="C33" s="52" t="s">
        <v>35</v>
      </c>
      <c r="D33" s="165">
        <v>0.08</v>
      </c>
      <c r="E33" s="120"/>
      <c r="F33" s="61"/>
      <c r="G33" s="121"/>
      <c r="H33" s="123"/>
      <c r="I33" s="119"/>
      <c r="J33" s="105"/>
      <c r="K33" s="122"/>
      <c r="L33" s="106"/>
      <c r="M33" s="119"/>
    </row>
    <row r="34" spans="1:13" s="94" customFormat="1" ht="15.75" customHeight="1" x14ac:dyDescent="0.3">
      <c r="A34" s="52"/>
      <c r="B34" s="52"/>
      <c r="C34" s="52" t="s">
        <v>1</v>
      </c>
      <c r="D34" s="113"/>
      <c r="E34" s="120"/>
      <c r="F34" s="61"/>
      <c r="G34" s="121"/>
      <c r="H34" s="123"/>
      <c r="I34" s="119"/>
      <c r="J34" s="105"/>
      <c r="K34" s="122"/>
      <c r="L34" s="106"/>
      <c r="M34" s="119"/>
    </row>
    <row r="38" spans="1:13" s="173" customFormat="1" ht="14.25" x14ac:dyDescent="0.25">
      <c r="A38" s="172"/>
      <c r="D38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19685039370078741" right="0.19685039370078741" top="0.46" bottom="0.37" header="0.19685039370078741" footer="0.19685039370078741"/>
  <pageSetup paperSize="9" scale="96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4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ფანჯარა!A2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კრებსითი!B9</f>
        <v>ჭერში დამონტაჟებული მომსახურების ბილიკის მოაჯირებზე უსაფრთხოების მიზნით ბაგირების მოწყობის სამუშაოები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63" t="s">
        <v>39</v>
      </c>
      <c r="E6" s="163" t="s">
        <v>40</v>
      </c>
      <c r="F6" s="164" t="s">
        <v>38</v>
      </c>
      <c r="G6" s="164" t="s">
        <v>45</v>
      </c>
      <c r="H6" s="164" t="s">
        <v>46</v>
      </c>
      <c r="I6" s="164" t="s">
        <v>45</v>
      </c>
      <c r="J6" s="164" t="s">
        <v>46</v>
      </c>
      <c r="K6" s="164" t="s">
        <v>45</v>
      </c>
      <c r="L6" s="164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47.25" x14ac:dyDescent="0.3">
      <c r="A8" s="124">
        <v>1</v>
      </c>
      <c r="B8" s="118"/>
      <c r="C8" s="127" t="s">
        <v>115</v>
      </c>
      <c r="D8" s="118" t="s">
        <v>116</v>
      </c>
      <c r="E8" s="119"/>
      <c r="F8" s="119">
        <v>440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25" t="s">
        <v>117</v>
      </c>
      <c r="C9" s="127" t="s">
        <v>3</v>
      </c>
      <c r="D9" s="118" t="s">
        <v>60</v>
      </c>
      <c r="E9" s="120">
        <v>1</v>
      </c>
      <c r="F9" s="119">
        <f>F$8*E9</f>
        <v>440</v>
      </c>
      <c r="G9" s="120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66">
        <v>2.24E-2</v>
      </c>
      <c r="F10" s="119">
        <f>F$8*E10</f>
        <v>9.8559999999999999</v>
      </c>
      <c r="G10" s="119"/>
      <c r="H10" s="119"/>
      <c r="I10" s="119"/>
      <c r="J10" s="119"/>
      <c r="K10" s="119"/>
      <c r="L10" s="119"/>
      <c r="M10" s="119"/>
    </row>
    <row r="11" spans="1:13" s="92" customFormat="1" ht="15.75" x14ac:dyDescent="0.25">
      <c r="A11" s="124"/>
      <c r="B11" s="117"/>
      <c r="C11" s="116" t="s">
        <v>49</v>
      </c>
      <c r="D11" s="118" t="s">
        <v>52</v>
      </c>
      <c r="E11" s="166">
        <v>1.66E-2</v>
      </c>
      <c r="F11" s="119">
        <f>F$8*E11</f>
        <v>7.3040000000000003</v>
      </c>
      <c r="G11" s="119"/>
      <c r="H11" s="119"/>
      <c r="I11" s="119"/>
      <c r="J11" s="119"/>
      <c r="K11" s="119"/>
      <c r="L11" s="119"/>
      <c r="M11" s="119"/>
    </row>
    <row r="12" spans="1:13" s="93" customFormat="1" ht="31.5" x14ac:dyDescent="0.25">
      <c r="A12" s="136">
        <v>2</v>
      </c>
      <c r="B12" s="34"/>
      <c r="C12" s="127" t="s">
        <v>118</v>
      </c>
      <c r="D12" s="118" t="s">
        <v>119</v>
      </c>
      <c r="E12" s="119"/>
      <c r="F12" s="119">
        <v>440</v>
      </c>
      <c r="G12" s="119"/>
      <c r="H12" s="119"/>
      <c r="I12" s="119"/>
      <c r="J12" s="119"/>
      <c r="K12" s="119"/>
      <c r="L12" s="119"/>
      <c r="M12" s="119"/>
    </row>
    <row r="13" spans="1:13" s="94" customFormat="1" ht="31.5" x14ac:dyDescent="0.25">
      <c r="A13" s="134"/>
      <c r="B13" s="125" t="s">
        <v>117</v>
      </c>
      <c r="C13" s="129" t="s">
        <v>3</v>
      </c>
      <c r="D13" s="125" t="s">
        <v>8</v>
      </c>
      <c r="E13" s="119">
        <v>1</v>
      </c>
      <c r="F13" s="120">
        <f>F$12*E13</f>
        <v>440</v>
      </c>
      <c r="G13" s="120"/>
      <c r="H13" s="119"/>
      <c r="I13" s="119"/>
      <c r="J13" s="119"/>
      <c r="K13" s="119"/>
      <c r="L13" s="119"/>
      <c r="M13" s="119"/>
    </row>
    <row r="14" spans="1:13" s="92" customFormat="1" ht="15.75" x14ac:dyDescent="0.25">
      <c r="A14" s="134"/>
      <c r="B14" s="85"/>
      <c r="C14" s="129" t="s">
        <v>120</v>
      </c>
      <c r="D14" s="118" t="s">
        <v>67</v>
      </c>
      <c r="E14" s="119">
        <v>1.03</v>
      </c>
      <c r="F14" s="120">
        <f>F$12*E14</f>
        <v>453.2</v>
      </c>
      <c r="G14" s="119"/>
      <c r="H14" s="119"/>
      <c r="I14" s="119"/>
      <c r="J14" s="119"/>
      <c r="K14" s="119"/>
      <c r="L14" s="119"/>
      <c r="M14" s="119"/>
    </row>
    <row r="15" spans="1:13" s="94" customFormat="1" ht="15.75" x14ac:dyDescent="0.25">
      <c r="A15" s="134"/>
      <c r="B15" s="85"/>
      <c r="C15" s="129" t="s">
        <v>121</v>
      </c>
      <c r="D15" s="125" t="s">
        <v>16</v>
      </c>
      <c r="E15" s="119" t="s">
        <v>59</v>
      </c>
      <c r="F15" s="120">
        <v>48</v>
      </c>
      <c r="G15" s="119"/>
      <c r="H15" s="119"/>
      <c r="I15" s="119"/>
      <c r="J15" s="119"/>
      <c r="K15" s="119"/>
      <c r="L15" s="119"/>
      <c r="M15" s="119"/>
    </row>
    <row r="16" spans="1:13" s="94" customFormat="1" ht="15.75" x14ac:dyDescent="0.25">
      <c r="A16" s="134"/>
      <c r="B16" s="85"/>
      <c r="C16" s="129" t="s">
        <v>10</v>
      </c>
      <c r="D16" s="118" t="s">
        <v>0</v>
      </c>
      <c r="E16" s="119">
        <v>1.3599999999999999E-2</v>
      </c>
      <c r="F16" s="120">
        <f>F$12*E16</f>
        <v>5.984</v>
      </c>
      <c r="G16" s="119"/>
      <c r="H16" s="119"/>
      <c r="I16" s="119"/>
      <c r="J16" s="119"/>
      <c r="K16" s="119"/>
      <c r="L16" s="119"/>
      <c r="M16" s="119"/>
    </row>
    <row r="17" spans="1:13" s="94" customFormat="1" ht="15.75" customHeight="1" x14ac:dyDescent="0.3">
      <c r="A17" s="52"/>
      <c r="B17" s="52"/>
      <c r="C17" s="52" t="s">
        <v>1</v>
      </c>
      <c r="D17" s="53"/>
      <c r="E17" s="120"/>
      <c r="F17" s="61"/>
      <c r="G17" s="121"/>
      <c r="H17" s="119"/>
      <c r="I17" s="119"/>
      <c r="J17" s="119"/>
      <c r="K17" s="122"/>
      <c r="L17" s="119"/>
      <c r="M17" s="119"/>
    </row>
    <row r="18" spans="1:13" s="94" customFormat="1" ht="15.75" customHeight="1" x14ac:dyDescent="0.3">
      <c r="A18" s="52"/>
      <c r="B18" s="52"/>
      <c r="C18" s="52" t="s">
        <v>34</v>
      </c>
      <c r="D18" s="165">
        <v>0.1</v>
      </c>
      <c r="E18" s="120"/>
      <c r="F18" s="61"/>
      <c r="G18" s="121"/>
      <c r="H18" s="123"/>
      <c r="I18" s="119"/>
      <c r="J18" s="105"/>
      <c r="K18" s="122"/>
      <c r="L18" s="106"/>
      <c r="M18" s="119"/>
    </row>
    <row r="19" spans="1:13" s="94" customFormat="1" ht="15.75" customHeight="1" x14ac:dyDescent="0.3">
      <c r="A19" s="52"/>
      <c r="B19" s="52"/>
      <c r="C19" s="52" t="s">
        <v>1</v>
      </c>
      <c r="D19" s="165"/>
      <c r="E19" s="120"/>
      <c r="F19" s="61"/>
      <c r="G19" s="121"/>
      <c r="H19" s="123"/>
      <c r="I19" s="119"/>
      <c r="J19" s="105"/>
      <c r="K19" s="122"/>
      <c r="L19" s="106"/>
      <c r="M19" s="119"/>
    </row>
    <row r="20" spans="1:13" s="94" customFormat="1" ht="15.75" customHeight="1" x14ac:dyDescent="0.3">
      <c r="A20" s="52"/>
      <c r="B20" s="52"/>
      <c r="C20" s="52" t="s">
        <v>35</v>
      </c>
      <c r="D20" s="165">
        <v>0.08</v>
      </c>
      <c r="E20" s="120"/>
      <c r="F20" s="61"/>
      <c r="G20" s="121"/>
      <c r="H20" s="123"/>
      <c r="I20" s="119"/>
      <c r="J20" s="105"/>
      <c r="K20" s="122"/>
      <c r="L20" s="106"/>
      <c r="M20" s="119"/>
    </row>
    <row r="21" spans="1:13" s="94" customFormat="1" ht="15.75" customHeight="1" x14ac:dyDescent="0.3">
      <c r="A21" s="52"/>
      <c r="B21" s="52"/>
      <c r="C21" s="52" t="s">
        <v>1</v>
      </c>
      <c r="D21" s="113"/>
      <c r="E21" s="120"/>
      <c r="F21" s="61"/>
      <c r="G21" s="121"/>
      <c r="H21" s="123"/>
      <c r="I21" s="119"/>
      <c r="J21" s="105"/>
      <c r="K21" s="122"/>
      <c r="L21" s="106"/>
      <c r="M21" s="119"/>
    </row>
    <row r="24" spans="1:13" s="173" customFormat="1" ht="14.25" x14ac:dyDescent="0.25">
      <c r="A24" s="172"/>
      <c r="D24" s="172"/>
    </row>
  </sheetData>
  <mergeCells count="11">
    <mergeCell ref="L1:M1"/>
    <mergeCell ref="A2:M3"/>
    <mergeCell ref="A4:M4"/>
    <mergeCell ref="A5:A6"/>
    <mergeCell ref="B5:B6"/>
    <mergeCell ref="C5:C6"/>
    <mergeCell ref="D5:F5"/>
    <mergeCell ref="G5:H5"/>
    <mergeCell ref="I5:J5"/>
    <mergeCell ref="K5:L5"/>
    <mergeCell ref="M5:M6"/>
  </mergeCells>
  <pageMargins left="0.19685039370078741" right="0.19685039370078741" top="0.23622047244094491" bottom="0.19685039370078741" header="0.19685039370078741" footer="0.19685039370078741"/>
  <pageSetup paperSize="9" scale="9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view="pageBreakPreview" zoomScale="115" zoomScaleNormal="100" zoomScaleSheetLayoutView="115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'კიბე 8მ'!A2:M3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კრებსითი!B10</f>
        <v>10 ცალი გადასატანი ბარიერის ზომით 1.5 მX1.2 მ დამზადების სამუშაოები (ნახაზი#2)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32.25" customHeight="1" x14ac:dyDescent="0.3">
      <c r="A8" s="124">
        <v>1</v>
      </c>
      <c r="B8" s="118" t="s">
        <v>69</v>
      </c>
      <c r="C8" s="127" t="s">
        <v>73</v>
      </c>
      <c r="D8" s="118" t="s">
        <v>51</v>
      </c>
      <c r="E8" s="119"/>
      <c r="F8" s="119">
        <f>SUM(F11:F12)</f>
        <v>129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30">
        <v>0.47599999999999998</v>
      </c>
      <c r="C9" s="127" t="s">
        <v>3</v>
      </c>
      <c r="D9" s="118" t="s">
        <v>60</v>
      </c>
      <c r="E9" s="120">
        <v>1</v>
      </c>
      <c r="F9" s="119">
        <f>F$8*E9</f>
        <v>129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4.3472999999999997</v>
      </c>
      <c r="G10" s="119"/>
      <c r="H10" s="119"/>
      <c r="I10" s="119"/>
      <c r="J10" s="119"/>
      <c r="K10" s="119"/>
      <c r="L10" s="119"/>
      <c r="M10" s="119"/>
    </row>
    <row r="11" spans="1:13" s="126" customFormat="1" ht="15.75" x14ac:dyDescent="0.25">
      <c r="A11" s="124"/>
      <c r="B11" s="118"/>
      <c r="C11" s="129" t="s">
        <v>54</v>
      </c>
      <c r="D11" s="118" t="s">
        <v>53</v>
      </c>
      <c r="E11" s="119" t="s">
        <v>59</v>
      </c>
      <c r="F11" s="119">
        <f>1.5*10</f>
        <v>15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9" t="s">
        <v>56</v>
      </c>
      <c r="D12" s="118" t="s">
        <v>53</v>
      </c>
      <c r="E12" s="119" t="s">
        <v>59</v>
      </c>
      <c r="F12" s="119">
        <f>11.4*10</f>
        <v>114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24"/>
      <c r="B13" s="118"/>
      <c r="C13" s="127" t="s">
        <v>15</v>
      </c>
      <c r="D13" s="118" t="s">
        <v>16</v>
      </c>
      <c r="E13" s="119" t="s">
        <v>59</v>
      </c>
      <c r="F13" s="119">
        <f>SUM(J11:J12)/2.11*0.03</f>
        <v>0</v>
      </c>
      <c r="G13" s="119"/>
      <c r="H13" s="119"/>
      <c r="I13" s="119"/>
      <c r="J13" s="119"/>
      <c r="K13" s="119"/>
      <c r="L13" s="119"/>
      <c r="M13" s="119"/>
    </row>
    <row r="14" spans="1:13" s="126" customFormat="1" ht="15.75" x14ac:dyDescent="0.25">
      <c r="A14" s="124"/>
      <c r="B14" s="118"/>
      <c r="C14" s="127" t="s">
        <v>70</v>
      </c>
      <c r="D14" s="118" t="s">
        <v>72</v>
      </c>
      <c r="E14" s="119"/>
      <c r="F14" s="119">
        <v>40</v>
      </c>
      <c r="G14" s="119"/>
      <c r="H14" s="119"/>
      <c r="I14" s="119"/>
      <c r="J14" s="119"/>
      <c r="K14" s="119"/>
      <c r="L14" s="119"/>
      <c r="M14" s="119"/>
    </row>
    <row r="15" spans="1:13" s="126" customFormat="1" ht="15.75" x14ac:dyDescent="0.25">
      <c r="A15" s="124"/>
      <c r="B15" s="118"/>
      <c r="C15" s="127" t="s">
        <v>71</v>
      </c>
      <c r="D15" s="118" t="s">
        <v>72</v>
      </c>
      <c r="E15" s="119"/>
      <c r="F15" s="119">
        <v>40</v>
      </c>
      <c r="G15" s="119"/>
      <c r="H15" s="119"/>
      <c r="I15" s="119"/>
      <c r="J15" s="119"/>
      <c r="K15" s="119"/>
      <c r="L15" s="119"/>
      <c r="M15" s="119"/>
    </row>
    <row r="16" spans="1:13" s="92" customFormat="1" ht="15.75" x14ac:dyDescent="0.25">
      <c r="A16" s="124"/>
      <c r="B16" s="117"/>
      <c r="C16" s="116" t="s">
        <v>49</v>
      </c>
      <c r="D16" s="118" t="s">
        <v>52</v>
      </c>
      <c r="E16" s="119">
        <v>2.5999999999999999E-2</v>
      </c>
      <c r="F16" s="119">
        <f>F$8*E16</f>
        <v>3.3539999999999996</v>
      </c>
      <c r="G16" s="119"/>
      <c r="H16" s="119"/>
      <c r="I16" s="119"/>
      <c r="J16" s="119"/>
      <c r="K16" s="119"/>
      <c r="L16" s="119"/>
      <c r="M16" s="119"/>
    </row>
    <row r="17" spans="1:13" s="25" customFormat="1" ht="31.5" x14ac:dyDescent="0.2">
      <c r="A17" s="135">
        <v>2</v>
      </c>
      <c r="B17" s="34" t="s">
        <v>23</v>
      </c>
      <c r="C17" s="132" t="s">
        <v>68</v>
      </c>
      <c r="D17" s="34" t="s">
        <v>13</v>
      </c>
      <c r="E17" s="36"/>
      <c r="F17" s="37">
        <f>0.3/0.25*10</f>
        <v>12</v>
      </c>
      <c r="G17" s="119"/>
      <c r="H17" s="119"/>
      <c r="I17" s="119"/>
      <c r="J17" s="119"/>
      <c r="K17" s="119"/>
      <c r="L17" s="119"/>
      <c r="M17" s="119"/>
    </row>
    <row r="18" spans="1:13" s="25" customFormat="1" ht="15.75" x14ac:dyDescent="0.3">
      <c r="A18" s="59"/>
      <c r="B18" s="59"/>
      <c r="C18" s="129" t="s">
        <v>11</v>
      </c>
      <c r="D18" s="18" t="s">
        <v>4</v>
      </c>
      <c r="E18" s="14">
        <v>0.68</v>
      </c>
      <c r="F18" s="24">
        <f>F$17*E18</f>
        <v>8.16</v>
      </c>
      <c r="G18" s="119"/>
      <c r="H18" s="119"/>
      <c r="I18" s="119"/>
      <c r="J18" s="119"/>
      <c r="K18" s="119"/>
      <c r="L18" s="119"/>
      <c r="M18" s="119"/>
    </row>
    <row r="19" spans="1:13" s="25" customFormat="1" ht="15.75" x14ac:dyDescent="0.3">
      <c r="A19" s="59"/>
      <c r="B19" s="59"/>
      <c r="C19" s="129" t="s">
        <v>9</v>
      </c>
      <c r="D19" s="18" t="s">
        <v>0</v>
      </c>
      <c r="E19" s="24">
        <f>0.03/100</f>
        <v>2.9999999999999997E-4</v>
      </c>
      <c r="F19" s="24">
        <f>F$17*E19</f>
        <v>3.5999999999999999E-3</v>
      </c>
      <c r="G19" s="119"/>
      <c r="H19" s="119"/>
      <c r="I19" s="119"/>
      <c r="J19" s="119"/>
      <c r="K19" s="119"/>
      <c r="L19" s="120"/>
      <c r="M19" s="119"/>
    </row>
    <row r="20" spans="1:13" s="25" customFormat="1" ht="15.75" x14ac:dyDescent="0.3">
      <c r="A20" s="59"/>
      <c r="B20" s="59"/>
      <c r="C20" s="129" t="s">
        <v>24</v>
      </c>
      <c r="D20" s="18" t="s">
        <v>17</v>
      </c>
      <c r="E20" s="24">
        <f>(24.6+2.7)/100</f>
        <v>0.27300000000000002</v>
      </c>
      <c r="F20" s="24">
        <f>F$17*E20</f>
        <v>3.2760000000000002</v>
      </c>
      <c r="G20" s="119"/>
      <c r="H20" s="119"/>
      <c r="I20" s="119"/>
      <c r="J20" s="119"/>
      <c r="K20" s="119"/>
      <c r="L20" s="119"/>
      <c r="M20" s="119"/>
    </row>
    <row r="21" spans="1:13" s="1" customFormat="1" ht="16.5" x14ac:dyDescent="0.3">
      <c r="A21" s="59"/>
      <c r="B21" s="59"/>
      <c r="C21" s="129" t="s">
        <v>10</v>
      </c>
      <c r="D21" s="18" t="s">
        <v>0</v>
      </c>
      <c r="E21" s="24">
        <f>0.19/100</f>
        <v>1.9E-3</v>
      </c>
      <c r="F21" s="24">
        <f>F$17*E21</f>
        <v>2.2800000000000001E-2</v>
      </c>
      <c r="G21" s="119"/>
      <c r="H21" s="119"/>
      <c r="I21" s="119"/>
      <c r="J21" s="119"/>
      <c r="K21" s="119"/>
      <c r="L21" s="120"/>
      <c r="M21" s="119"/>
    </row>
    <row r="22" spans="1:13" s="94" customFormat="1" ht="15.75" customHeight="1" x14ac:dyDescent="0.3">
      <c r="A22" s="52"/>
      <c r="B22" s="52"/>
      <c r="C22" s="52" t="s">
        <v>1</v>
      </c>
      <c r="D22" s="53"/>
      <c r="E22" s="120"/>
      <c r="F22" s="61"/>
      <c r="G22" s="121"/>
      <c r="H22" s="119"/>
      <c r="I22" s="119"/>
      <c r="J22" s="119"/>
      <c r="K22" s="122"/>
      <c r="L22" s="119"/>
      <c r="M22" s="119"/>
    </row>
    <row r="23" spans="1:13" s="94" customFormat="1" ht="15.75" customHeight="1" x14ac:dyDescent="0.3">
      <c r="A23" s="52"/>
      <c r="B23" s="52"/>
      <c r="C23" s="52" t="s">
        <v>34</v>
      </c>
      <c r="D23" s="165">
        <v>0.1</v>
      </c>
      <c r="E23" s="120"/>
      <c r="F23" s="61"/>
      <c r="G23" s="121"/>
      <c r="H23" s="123"/>
      <c r="I23" s="119"/>
      <c r="J23" s="105"/>
      <c r="K23" s="122"/>
      <c r="L23" s="106"/>
      <c r="M23" s="119"/>
    </row>
    <row r="24" spans="1:13" s="94" customFormat="1" ht="15.75" customHeight="1" x14ac:dyDescent="0.3">
      <c r="A24" s="52"/>
      <c r="B24" s="52"/>
      <c r="C24" s="52" t="s">
        <v>1</v>
      </c>
      <c r="D24" s="165"/>
      <c r="E24" s="120"/>
      <c r="F24" s="61"/>
      <c r="G24" s="121"/>
      <c r="H24" s="123"/>
      <c r="I24" s="119"/>
      <c r="J24" s="105"/>
      <c r="K24" s="122"/>
      <c r="L24" s="106"/>
      <c r="M24" s="119"/>
    </row>
    <row r="25" spans="1:13" s="94" customFormat="1" ht="15.75" customHeight="1" x14ac:dyDescent="0.3">
      <c r="A25" s="52"/>
      <c r="B25" s="52"/>
      <c r="C25" s="52" t="s">
        <v>35</v>
      </c>
      <c r="D25" s="165">
        <v>0.08</v>
      </c>
      <c r="E25" s="120"/>
      <c r="F25" s="61"/>
      <c r="G25" s="121"/>
      <c r="H25" s="123"/>
      <c r="I25" s="119"/>
      <c r="J25" s="105"/>
      <c r="K25" s="122"/>
      <c r="L25" s="106"/>
      <c r="M25" s="119"/>
    </row>
    <row r="26" spans="1:13" s="94" customFormat="1" ht="15.75" customHeight="1" x14ac:dyDescent="0.3">
      <c r="A26" s="52"/>
      <c r="B26" s="52"/>
      <c r="C26" s="52" t="s">
        <v>1</v>
      </c>
      <c r="D26" s="113"/>
      <c r="E26" s="120"/>
      <c r="F26" s="61"/>
      <c r="G26" s="121"/>
      <c r="H26" s="123"/>
      <c r="I26" s="119"/>
      <c r="J26" s="105"/>
      <c r="K26" s="122"/>
      <c r="L26" s="106"/>
      <c r="M26" s="119"/>
    </row>
    <row r="29" spans="1:13" s="173" customFormat="1" ht="14.25" x14ac:dyDescent="0.25">
      <c r="A29" s="172"/>
      <c r="D29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31" right="0.19685039370078741" top="0.3" bottom="0.19685039370078741" header="0.21" footer="0.19685039370078741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'ბარიერი1, 10 ცალი'!A2:M3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" customHeight="1" x14ac:dyDescent="0.25">
      <c r="A4" s="248" t="str">
        <f>კრებსითი!B11</f>
        <v>გადასატანი ბარიერის ლენტის დასამაგრებელი 6 ცალი დგარის სიმაღლით 1.2 მ დამზადების სამუშაოები (ნახაზი#3)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51" customFormat="1" ht="32.25" customHeight="1" x14ac:dyDescent="0.3">
      <c r="A8" s="124">
        <v>1</v>
      </c>
      <c r="B8" s="118" t="s">
        <v>69</v>
      </c>
      <c r="C8" s="127" t="s">
        <v>73</v>
      </c>
      <c r="D8" s="118" t="s">
        <v>51</v>
      </c>
      <c r="E8" s="119"/>
      <c r="F8" s="119">
        <f>SUM(F11:F11)</f>
        <v>16.200000000000003</v>
      </c>
      <c r="G8" s="119"/>
      <c r="H8" s="119"/>
      <c r="I8" s="119"/>
      <c r="J8" s="119"/>
      <c r="K8" s="119"/>
      <c r="L8" s="119"/>
      <c r="M8" s="119"/>
    </row>
    <row r="9" spans="1:13" s="90" customFormat="1" ht="31.5" x14ac:dyDescent="0.3">
      <c r="A9" s="133"/>
      <c r="B9" s="130">
        <v>0.47599999999999998</v>
      </c>
      <c r="C9" s="127" t="s">
        <v>3</v>
      </c>
      <c r="D9" s="118" t="s">
        <v>60</v>
      </c>
      <c r="E9" s="120">
        <v>1</v>
      </c>
      <c r="F9" s="119">
        <f>F$8*E9</f>
        <v>16.200000000000003</v>
      </c>
      <c r="G9" s="119"/>
      <c r="H9" s="119"/>
      <c r="I9" s="119"/>
      <c r="J9" s="119"/>
      <c r="K9" s="119"/>
      <c r="L9" s="119"/>
      <c r="M9" s="119"/>
    </row>
    <row r="10" spans="1:13" s="90" customFormat="1" ht="15.75" x14ac:dyDescent="0.3">
      <c r="A10" s="124"/>
      <c r="B10" s="118"/>
      <c r="C10" s="127" t="s">
        <v>48</v>
      </c>
      <c r="D10" s="118" t="s">
        <v>52</v>
      </c>
      <c r="E10" s="119">
        <v>3.3700000000000001E-2</v>
      </c>
      <c r="F10" s="119">
        <f>F$8*E10</f>
        <v>0.54594000000000009</v>
      </c>
      <c r="G10" s="119"/>
      <c r="H10" s="119"/>
      <c r="I10" s="119"/>
      <c r="J10" s="119"/>
      <c r="K10" s="119"/>
      <c r="L10" s="119"/>
      <c r="M10" s="119"/>
    </row>
    <row r="11" spans="1:13" s="126" customFormat="1" ht="15.75" x14ac:dyDescent="0.25">
      <c r="A11" s="124"/>
      <c r="B11" s="118"/>
      <c r="C11" s="129" t="s">
        <v>54</v>
      </c>
      <c r="D11" s="118" t="s">
        <v>53</v>
      </c>
      <c r="E11" s="119" t="s">
        <v>59</v>
      </c>
      <c r="F11" s="119">
        <f>2.7*6</f>
        <v>16.200000000000003</v>
      </c>
      <c r="G11" s="119"/>
      <c r="H11" s="119"/>
      <c r="I11" s="119"/>
      <c r="J11" s="119"/>
      <c r="K11" s="119"/>
      <c r="L11" s="119"/>
      <c r="M11" s="119"/>
    </row>
    <row r="12" spans="1:13" s="126" customFormat="1" ht="15.75" x14ac:dyDescent="0.25">
      <c r="A12" s="124"/>
      <c r="B12" s="118"/>
      <c r="C12" s="127" t="s">
        <v>15</v>
      </c>
      <c r="D12" s="118" t="s">
        <v>16</v>
      </c>
      <c r="E12" s="119" t="s">
        <v>59</v>
      </c>
      <c r="F12" s="119">
        <f>SUM(J11:J11)/2.11*0.03</f>
        <v>0</v>
      </c>
      <c r="G12" s="119"/>
      <c r="H12" s="119"/>
      <c r="I12" s="119"/>
      <c r="J12" s="119"/>
      <c r="K12" s="119"/>
      <c r="L12" s="119"/>
      <c r="M12" s="119"/>
    </row>
    <row r="13" spans="1:13" s="126" customFormat="1" ht="15.75" x14ac:dyDescent="0.25">
      <c r="A13" s="124"/>
      <c r="B13" s="118"/>
      <c r="C13" s="127" t="s">
        <v>70</v>
      </c>
      <c r="D13" s="118" t="s">
        <v>72</v>
      </c>
      <c r="E13" s="119"/>
      <c r="F13" s="119">
        <v>30</v>
      </c>
      <c r="G13" s="119"/>
      <c r="H13" s="119"/>
      <c r="I13" s="119"/>
      <c r="J13" s="119"/>
      <c r="K13" s="119"/>
      <c r="L13" s="119"/>
      <c r="M13" s="119"/>
    </row>
    <row r="14" spans="1:13" s="126" customFormat="1" ht="15.75" x14ac:dyDescent="0.25">
      <c r="A14" s="124"/>
      <c r="B14" s="118"/>
      <c r="C14" s="127" t="s">
        <v>71</v>
      </c>
      <c r="D14" s="118" t="s">
        <v>72</v>
      </c>
      <c r="E14" s="119"/>
      <c r="F14" s="119">
        <f>4*6</f>
        <v>24</v>
      </c>
      <c r="G14" s="119"/>
      <c r="H14" s="119"/>
      <c r="I14" s="119"/>
      <c r="J14" s="119"/>
      <c r="K14" s="119"/>
      <c r="L14" s="119"/>
      <c r="M14" s="119"/>
    </row>
    <row r="15" spans="1:13" s="92" customFormat="1" ht="15.75" x14ac:dyDescent="0.25">
      <c r="A15" s="124"/>
      <c r="B15" s="117"/>
      <c r="C15" s="116" t="s">
        <v>49</v>
      </c>
      <c r="D15" s="118" t="s">
        <v>52</v>
      </c>
      <c r="E15" s="119">
        <v>2.5999999999999999E-2</v>
      </c>
      <c r="F15" s="119">
        <f>F$8*E15</f>
        <v>0.42120000000000007</v>
      </c>
      <c r="G15" s="119"/>
      <c r="H15" s="119"/>
      <c r="I15" s="119"/>
      <c r="J15" s="119"/>
      <c r="K15" s="119"/>
      <c r="L15" s="119"/>
      <c r="M15" s="119"/>
    </row>
    <row r="16" spans="1:13" s="25" customFormat="1" ht="31.5" x14ac:dyDescent="0.2">
      <c r="A16" s="135">
        <v>2</v>
      </c>
      <c r="B16" s="34" t="s">
        <v>23</v>
      </c>
      <c r="C16" s="132" t="s">
        <v>68</v>
      </c>
      <c r="D16" s="34" t="s">
        <v>13</v>
      </c>
      <c r="E16" s="36"/>
      <c r="F16" s="37">
        <f>0.15/0.25</f>
        <v>0.6</v>
      </c>
      <c r="G16" s="119"/>
      <c r="H16" s="119"/>
      <c r="I16" s="119"/>
      <c r="J16" s="119"/>
      <c r="K16" s="119"/>
      <c r="L16" s="119"/>
      <c r="M16" s="119"/>
    </row>
    <row r="17" spans="1:13" s="25" customFormat="1" ht="15.75" x14ac:dyDescent="0.3">
      <c r="A17" s="59"/>
      <c r="B17" s="59"/>
      <c r="C17" s="129" t="s">
        <v>11</v>
      </c>
      <c r="D17" s="18" t="s">
        <v>4</v>
      </c>
      <c r="E17" s="14">
        <v>0.68</v>
      </c>
      <c r="F17" s="24">
        <f>F$16*E17</f>
        <v>0.40800000000000003</v>
      </c>
      <c r="G17" s="119"/>
      <c r="H17" s="119"/>
      <c r="I17" s="119"/>
      <c r="J17" s="119"/>
      <c r="K17" s="119"/>
      <c r="L17" s="119"/>
      <c r="M17" s="119"/>
    </row>
    <row r="18" spans="1:13" s="25" customFormat="1" ht="15.75" x14ac:dyDescent="0.3">
      <c r="A18" s="59"/>
      <c r="B18" s="59"/>
      <c r="C18" s="129" t="s">
        <v>9</v>
      </c>
      <c r="D18" s="18" t="s">
        <v>0</v>
      </c>
      <c r="E18" s="24">
        <f>0.03/100</f>
        <v>2.9999999999999997E-4</v>
      </c>
      <c r="F18" s="24">
        <f>F$16*E18</f>
        <v>1.7999999999999998E-4</v>
      </c>
      <c r="G18" s="119"/>
      <c r="H18" s="119"/>
      <c r="I18" s="119"/>
      <c r="J18" s="119"/>
      <c r="K18" s="119"/>
      <c r="L18" s="120"/>
      <c r="M18" s="119"/>
    </row>
    <row r="19" spans="1:13" s="25" customFormat="1" ht="15.75" x14ac:dyDescent="0.3">
      <c r="A19" s="59"/>
      <c r="B19" s="59"/>
      <c r="C19" s="129" t="s">
        <v>24</v>
      </c>
      <c r="D19" s="18" t="s">
        <v>17</v>
      </c>
      <c r="E19" s="24">
        <f>(24.6+2.7)/100</f>
        <v>0.27300000000000002</v>
      </c>
      <c r="F19" s="24">
        <f>F$16*E19</f>
        <v>0.1638</v>
      </c>
      <c r="G19" s="119"/>
      <c r="H19" s="119"/>
      <c r="I19" s="119"/>
      <c r="J19" s="119"/>
      <c r="K19" s="119"/>
      <c r="L19" s="119"/>
      <c r="M19" s="119"/>
    </row>
    <row r="20" spans="1:13" s="1" customFormat="1" ht="16.5" x14ac:dyDescent="0.3">
      <c r="A20" s="59"/>
      <c r="B20" s="59"/>
      <c r="C20" s="129" t="s">
        <v>10</v>
      </c>
      <c r="D20" s="18" t="s">
        <v>0</v>
      </c>
      <c r="E20" s="24">
        <f>0.19/100</f>
        <v>1.9E-3</v>
      </c>
      <c r="F20" s="24">
        <f>F$16*E20</f>
        <v>1.14E-3</v>
      </c>
      <c r="G20" s="119"/>
      <c r="H20" s="119"/>
      <c r="I20" s="119"/>
      <c r="J20" s="120"/>
      <c r="K20" s="120"/>
      <c r="L20" s="120"/>
      <c r="M20" s="120"/>
    </row>
    <row r="21" spans="1:13" s="94" customFormat="1" ht="15.75" customHeight="1" x14ac:dyDescent="0.3">
      <c r="A21" s="52"/>
      <c r="B21" s="52"/>
      <c r="C21" s="52" t="s">
        <v>1</v>
      </c>
      <c r="D21" s="53"/>
      <c r="E21" s="120"/>
      <c r="F21" s="61"/>
      <c r="G21" s="121"/>
      <c r="H21" s="119"/>
      <c r="I21" s="119"/>
      <c r="J21" s="119"/>
      <c r="K21" s="122"/>
      <c r="L21" s="119"/>
      <c r="M21" s="119"/>
    </row>
    <row r="22" spans="1:13" s="94" customFormat="1" ht="15.75" customHeight="1" x14ac:dyDescent="0.3">
      <c r="A22" s="52"/>
      <c r="B22" s="52"/>
      <c r="C22" s="52" t="s">
        <v>34</v>
      </c>
      <c r="D22" s="113">
        <v>0.1</v>
      </c>
      <c r="E22" s="120"/>
      <c r="F22" s="61"/>
      <c r="G22" s="121"/>
      <c r="H22" s="123"/>
      <c r="I22" s="119"/>
      <c r="J22" s="105"/>
      <c r="K22" s="122"/>
      <c r="L22" s="106"/>
      <c r="M22" s="119"/>
    </row>
    <row r="23" spans="1:13" s="94" customFormat="1" ht="15.75" customHeight="1" x14ac:dyDescent="0.3">
      <c r="A23" s="52"/>
      <c r="B23" s="52"/>
      <c r="C23" s="52" t="s">
        <v>1</v>
      </c>
      <c r="D23" s="113"/>
      <c r="E23" s="120"/>
      <c r="F23" s="61"/>
      <c r="G23" s="121"/>
      <c r="H23" s="123"/>
      <c r="I23" s="119"/>
      <c r="J23" s="105"/>
      <c r="K23" s="122"/>
      <c r="L23" s="106"/>
      <c r="M23" s="119"/>
    </row>
    <row r="24" spans="1:13" s="94" customFormat="1" ht="15.75" customHeight="1" x14ac:dyDescent="0.3">
      <c r="A24" s="52"/>
      <c r="B24" s="52"/>
      <c r="C24" s="52" t="s">
        <v>35</v>
      </c>
      <c r="D24" s="113">
        <v>0.08</v>
      </c>
      <c r="E24" s="120"/>
      <c r="F24" s="61"/>
      <c r="G24" s="121"/>
      <c r="H24" s="123"/>
      <c r="I24" s="119"/>
      <c r="J24" s="105"/>
      <c r="K24" s="122"/>
      <c r="L24" s="106"/>
      <c r="M24" s="119"/>
    </row>
    <row r="25" spans="1:13" s="94" customFormat="1" ht="15.75" customHeight="1" x14ac:dyDescent="0.3">
      <c r="A25" s="52"/>
      <c r="B25" s="52"/>
      <c r="C25" s="52" t="s">
        <v>1</v>
      </c>
      <c r="D25" s="113"/>
      <c r="E25" s="120"/>
      <c r="F25" s="61"/>
      <c r="G25" s="121"/>
      <c r="H25" s="123"/>
      <c r="I25" s="119"/>
      <c r="J25" s="105"/>
      <c r="K25" s="122"/>
      <c r="L25" s="106"/>
      <c r="M25" s="119"/>
    </row>
    <row r="29" spans="1:13" s="173" customFormat="1" ht="14.25" x14ac:dyDescent="0.25">
      <c r="A29" s="172"/>
      <c r="D29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23622047244094491" right="0.23622047244094491" top="0.23622047244094491" bottom="0.23622047244094491" header="0.19685039370078741" footer="0.19685039370078741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view="pageBreakPreview" zoomScaleNormal="100" zoomScaleSheetLayoutView="100" workbookViewId="0">
      <selection activeCell="L1" sqref="L1:M1"/>
    </sheetView>
  </sheetViews>
  <sheetFormatPr defaultColWidth="9" defaultRowHeight="15" x14ac:dyDescent="0.25"/>
  <cols>
    <col min="1" max="1" width="3.42578125" style="87" customWidth="1"/>
    <col min="2" max="2" width="9.42578125" style="87" customWidth="1"/>
    <col min="3" max="3" width="43.7109375" style="87" customWidth="1"/>
    <col min="4" max="13" width="9.5703125" style="87" customWidth="1"/>
    <col min="14" max="16384" width="9" style="87"/>
  </cols>
  <sheetData>
    <row r="1" spans="1:13" x14ac:dyDescent="0.25">
      <c r="L1" s="244"/>
      <c r="M1" s="245"/>
    </row>
    <row r="2" spans="1:13" x14ac:dyDescent="0.25">
      <c r="A2" s="246" t="str">
        <f>'ბარიერი2, 6 ცალი'!A2:M3</f>
        <v>შპს "სპორტმშენსერვისის" კუთვნილ შენობა-ნაგებობებში თბილისი , უნივერსიტეტის ქუჩა N15ა მდებარე სპოტკომპლექსის  ტერიტორიაზე სარემონტო სამუშაოების ხარჯთაღრიცხვა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x14ac:dyDescent="0.25">
      <c r="A4" s="248" t="str">
        <f>კრებსითი!B12</f>
        <v>ავტობუსების პარკინგზე შესასვლელის მოწყობის სამუშაოები (ნახაზი#4)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4" customHeight="1" x14ac:dyDescent="0.25">
      <c r="A5" s="249" t="s">
        <v>2</v>
      </c>
      <c r="B5" s="249" t="s">
        <v>37</v>
      </c>
      <c r="C5" s="249" t="s">
        <v>36</v>
      </c>
      <c r="D5" s="249" t="s">
        <v>41</v>
      </c>
      <c r="E5" s="249"/>
      <c r="F5" s="249"/>
      <c r="G5" s="243" t="s">
        <v>42</v>
      </c>
      <c r="H5" s="243"/>
      <c r="I5" s="243" t="s">
        <v>43</v>
      </c>
      <c r="J5" s="243"/>
      <c r="K5" s="243" t="s">
        <v>44</v>
      </c>
      <c r="L5" s="243"/>
      <c r="M5" s="243" t="s">
        <v>47</v>
      </c>
    </row>
    <row r="6" spans="1:13" ht="30" x14ac:dyDescent="0.25">
      <c r="A6" s="249"/>
      <c r="B6" s="249"/>
      <c r="C6" s="249"/>
      <c r="D6" s="114" t="s">
        <v>39</v>
      </c>
      <c r="E6" s="114" t="s">
        <v>40</v>
      </c>
      <c r="F6" s="115" t="s">
        <v>38</v>
      </c>
      <c r="G6" s="115" t="s">
        <v>45</v>
      </c>
      <c r="H6" s="115" t="s">
        <v>46</v>
      </c>
      <c r="I6" s="115" t="s">
        <v>45</v>
      </c>
      <c r="J6" s="115" t="s">
        <v>46</v>
      </c>
      <c r="K6" s="115" t="s">
        <v>45</v>
      </c>
      <c r="L6" s="115" t="s">
        <v>46</v>
      </c>
      <c r="M6" s="243"/>
    </row>
    <row r="7" spans="1:13" s="90" customFormat="1" ht="15.75" x14ac:dyDescent="0.3">
      <c r="A7" s="88">
        <v>1</v>
      </c>
      <c r="B7" s="89">
        <v>2</v>
      </c>
      <c r="C7" s="88">
        <v>3</v>
      </c>
      <c r="D7" s="89">
        <v>4</v>
      </c>
      <c r="E7" s="88">
        <v>5</v>
      </c>
      <c r="F7" s="89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88">
        <v>13</v>
      </c>
    </row>
    <row r="8" spans="1:13" s="10" customFormat="1" ht="30" customHeight="1" x14ac:dyDescent="0.25">
      <c r="A8" s="4">
        <v>1</v>
      </c>
      <c r="B8" s="62" t="s">
        <v>26</v>
      </c>
      <c r="C8" s="137" t="s">
        <v>74</v>
      </c>
      <c r="D8" s="5" t="s">
        <v>5</v>
      </c>
      <c r="E8" s="6"/>
      <c r="F8" s="6">
        <f>0.4*0.4*0.8*2</f>
        <v>0.25600000000000006</v>
      </c>
      <c r="G8" s="7"/>
      <c r="H8" s="7"/>
      <c r="I8" s="7"/>
      <c r="J8" s="7"/>
      <c r="K8" s="8"/>
      <c r="L8" s="9"/>
      <c r="M8" s="9"/>
    </row>
    <row r="9" spans="1:13" s="15" customFormat="1" ht="15.75" x14ac:dyDescent="0.3">
      <c r="A9" s="11"/>
      <c r="B9" s="11"/>
      <c r="C9" s="138" t="s">
        <v>3</v>
      </c>
      <c r="D9" s="11" t="s">
        <v>4</v>
      </c>
      <c r="E9" s="12">
        <v>3.88</v>
      </c>
      <c r="F9" s="12">
        <f>E9*F8</f>
        <v>0.99328000000000016</v>
      </c>
      <c r="G9" s="12"/>
      <c r="H9" s="12"/>
      <c r="I9" s="12"/>
      <c r="J9" s="12"/>
      <c r="K9" s="12"/>
      <c r="L9" s="12"/>
      <c r="M9" s="12"/>
    </row>
    <row r="10" spans="1:13" s="10" customFormat="1" ht="15.75" x14ac:dyDescent="0.2">
      <c r="A10" s="5">
        <v>2</v>
      </c>
      <c r="B10" s="5"/>
      <c r="C10" s="137" t="s">
        <v>6</v>
      </c>
      <c r="D10" s="5" t="s">
        <v>5</v>
      </c>
      <c r="E10" s="16"/>
      <c r="F10" s="16">
        <f>F8*1.25</f>
        <v>0.32000000000000006</v>
      </c>
      <c r="G10" s="12"/>
      <c r="H10" s="12"/>
      <c r="I10" s="12"/>
      <c r="J10" s="12"/>
      <c r="K10" s="12"/>
      <c r="L10" s="12"/>
      <c r="M10" s="12"/>
    </row>
    <row r="11" spans="1:13" s="15" customFormat="1" ht="15.75" x14ac:dyDescent="0.3">
      <c r="A11" s="11"/>
      <c r="B11" s="11"/>
      <c r="C11" s="138" t="s">
        <v>3</v>
      </c>
      <c r="D11" s="11" t="s">
        <v>4</v>
      </c>
      <c r="E11" s="17">
        <v>0.87</v>
      </c>
      <c r="F11" s="17">
        <f>F10*E11</f>
        <v>0.27840000000000004</v>
      </c>
      <c r="G11" s="12"/>
      <c r="H11" s="12"/>
      <c r="I11" s="12"/>
      <c r="J11" s="12"/>
      <c r="K11" s="12"/>
      <c r="L11" s="12"/>
      <c r="M11" s="12"/>
    </row>
    <row r="12" spans="1:13" s="2" customFormat="1" ht="15.75" x14ac:dyDescent="0.2">
      <c r="A12" s="19">
        <v>3</v>
      </c>
      <c r="B12" s="20"/>
      <c r="C12" s="139" t="s">
        <v>178</v>
      </c>
      <c r="D12" s="19" t="s">
        <v>8</v>
      </c>
      <c r="E12" s="21"/>
      <c r="F12" s="21">
        <f>F10*2</f>
        <v>0.64000000000000012</v>
      </c>
      <c r="G12" s="12"/>
      <c r="H12" s="12"/>
      <c r="I12" s="12"/>
      <c r="J12" s="12"/>
      <c r="K12" s="140"/>
      <c r="L12" s="140"/>
      <c r="M12" s="12"/>
    </row>
    <row r="13" spans="1:13" s="68" customFormat="1" ht="15.75" x14ac:dyDescent="0.3">
      <c r="A13" s="64">
        <v>4</v>
      </c>
      <c r="B13" s="64" t="s">
        <v>12</v>
      </c>
      <c r="C13" s="141" t="s">
        <v>27</v>
      </c>
      <c r="D13" s="64" t="s">
        <v>5</v>
      </c>
      <c r="E13" s="65"/>
      <c r="F13" s="66">
        <f>0.12</f>
        <v>0.12</v>
      </c>
      <c r="G13" s="67"/>
      <c r="H13" s="67"/>
      <c r="I13" s="67"/>
      <c r="J13" s="67"/>
      <c r="K13" s="67"/>
      <c r="L13" s="67"/>
      <c r="M13" s="12"/>
    </row>
    <row r="14" spans="1:13" s="68" customFormat="1" ht="15.75" x14ac:dyDescent="0.3">
      <c r="A14" s="64"/>
      <c r="B14" s="69" t="s">
        <v>60</v>
      </c>
      <c r="C14" s="141" t="s">
        <v>3</v>
      </c>
      <c r="D14" s="64" t="s">
        <v>79</v>
      </c>
      <c r="E14" s="65">
        <v>1</v>
      </c>
      <c r="F14" s="70">
        <f>F13*E14</f>
        <v>0.12</v>
      </c>
      <c r="G14" s="63"/>
      <c r="H14" s="71"/>
      <c r="I14" s="72"/>
      <c r="J14" s="72"/>
      <c r="K14" s="72"/>
      <c r="L14" s="72"/>
      <c r="M14" s="12"/>
    </row>
    <row r="15" spans="1:13" s="68" customFormat="1" ht="15.75" x14ac:dyDescent="0.3">
      <c r="A15" s="64"/>
      <c r="B15" s="64"/>
      <c r="C15" s="141" t="s">
        <v>9</v>
      </c>
      <c r="D15" s="64" t="s">
        <v>0</v>
      </c>
      <c r="E15" s="65">
        <v>0.28299999999999997</v>
      </c>
      <c r="F15" s="70">
        <f>F13*E15</f>
        <v>3.3959999999999997E-2</v>
      </c>
      <c r="G15" s="67"/>
      <c r="H15" s="72"/>
      <c r="I15" s="72"/>
      <c r="J15" s="72"/>
      <c r="K15" s="73"/>
      <c r="L15" s="71"/>
      <c r="M15" s="12"/>
    </row>
    <row r="16" spans="1:13" s="68" customFormat="1" ht="15.75" x14ac:dyDescent="0.3">
      <c r="A16" s="64"/>
      <c r="B16" s="74"/>
      <c r="C16" s="141" t="s">
        <v>78</v>
      </c>
      <c r="D16" s="64" t="s">
        <v>5</v>
      </c>
      <c r="E16" s="65">
        <v>1.02</v>
      </c>
      <c r="F16" s="70">
        <f>F13*E16</f>
        <v>0.12239999999999999</v>
      </c>
      <c r="G16" s="67"/>
      <c r="H16" s="72"/>
      <c r="I16" s="71"/>
      <c r="J16" s="71"/>
      <c r="K16" s="72"/>
      <c r="L16" s="72"/>
      <c r="M16" s="12"/>
    </row>
    <row r="17" spans="1:13" s="68" customFormat="1" ht="15.75" x14ac:dyDescent="0.3">
      <c r="A17" s="64"/>
      <c r="B17" s="64"/>
      <c r="C17" s="141" t="s">
        <v>10</v>
      </c>
      <c r="D17" s="64" t="s">
        <v>0</v>
      </c>
      <c r="E17" s="65">
        <v>0.62</v>
      </c>
      <c r="F17" s="70">
        <f>F13*E17</f>
        <v>7.4399999999999994E-2</v>
      </c>
      <c r="G17" s="75"/>
      <c r="H17" s="72"/>
      <c r="I17" s="71"/>
      <c r="J17" s="71"/>
      <c r="K17" s="72"/>
      <c r="L17" s="72"/>
      <c r="M17" s="12"/>
    </row>
    <row r="18" spans="1:13" s="51" customFormat="1" ht="32.25" customHeight="1" x14ac:dyDescent="0.3">
      <c r="A18" s="124">
        <v>5</v>
      </c>
      <c r="B18" s="118" t="s">
        <v>69</v>
      </c>
      <c r="C18" s="127" t="s">
        <v>73</v>
      </c>
      <c r="D18" s="118" t="s">
        <v>51</v>
      </c>
      <c r="E18" s="119"/>
      <c r="F18" s="119">
        <f>SUM(F21:F22)</f>
        <v>11</v>
      </c>
      <c r="G18" s="12"/>
      <c r="H18" s="12"/>
      <c r="I18" s="12"/>
      <c r="J18" s="12"/>
      <c r="K18" s="12"/>
      <c r="L18" s="12"/>
      <c r="M18" s="12"/>
    </row>
    <row r="19" spans="1:13" s="90" customFormat="1" ht="31.5" x14ac:dyDescent="0.3">
      <c r="A19" s="133"/>
      <c r="B19" s="130">
        <v>0.47599999999999998</v>
      </c>
      <c r="C19" s="127" t="s">
        <v>3</v>
      </c>
      <c r="D19" s="118" t="s">
        <v>60</v>
      </c>
      <c r="E19" s="120">
        <v>1</v>
      </c>
      <c r="F19" s="119">
        <f>F$18*E19</f>
        <v>11</v>
      </c>
      <c r="G19" s="119"/>
      <c r="H19" s="119"/>
      <c r="I19" s="119"/>
      <c r="J19" s="119"/>
      <c r="K19" s="119"/>
      <c r="L19" s="119"/>
      <c r="M19" s="12"/>
    </row>
    <row r="20" spans="1:13" s="90" customFormat="1" ht="15.75" x14ac:dyDescent="0.3">
      <c r="A20" s="124"/>
      <c r="B20" s="118"/>
      <c r="C20" s="127" t="s">
        <v>48</v>
      </c>
      <c r="D20" s="118" t="s">
        <v>52</v>
      </c>
      <c r="E20" s="119">
        <v>3.3700000000000001E-2</v>
      </c>
      <c r="F20" s="119">
        <f>F$18*E20</f>
        <v>0.37070000000000003</v>
      </c>
      <c r="G20" s="119"/>
      <c r="H20" s="119"/>
      <c r="I20" s="119"/>
      <c r="J20" s="119"/>
      <c r="K20" s="119"/>
      <c r="L20" s="119"/>
      <c r="M20" s="12"/>
    </row>
    <row r="21" spans="1:13" s="126" customFormat="1" ht="31.5" x14ac:dyDescent="0.2">
      <c r="A21" s="124"/>
      <c r="B21" s="118"/>
      <c r="C21" s="128" t="s">
        <v>75</v>
      </c>
      <c r="D21" s="118" t="s">
        <v>53</v>
      </c>
      <c r="E21" s="119" t="s">
        <v>59</v>
      </c>
      <c r="F21" s="119">
        <v>2.5</v>
      </c>
      <c r="G21" s="119"/>
      <c r="H21" s="119"/>
      <c r="I21" s="119"/>
      <c r="J21" s="119"/>
      <c r="K21" s="119"/>
      <c r="L21" s="119"/>
      <c r="M21" s="12"/>
    </row>
    <row r="22" spans="1:13" s="126" customFormat="1" ht="15.75" x14ac:dyDescent="0.2">
      <c r="A22" s="124"/>
      <c r="B22" s="118"/>
      <c r="C22" s="128" t="s">
        <v>80</v>
      </c>
      <c r="D22" s="118" t="s">
        <v>53</v>
      </c>
      <c r="E22" s="119" t="s">
        <v>59</v>
      </c>
      <c r="F22" s="119">
        <v>8.5</v>
      </c>
      <c r="G22" s="119"/>
      <c r="H22" s="119"/>
      <c r="I22" s="119"/>
      <c r="J22" s="119"/>
      <c r="K22" s="119"/>
      <c r="L22" s="119"/>
      <c r="M22" s="12"/>
    </row>
    <row r="23" spans="1:13" s="126" customFormat="1" ht="15.75" x14ac:dyDescent="0.2">
      <c r="A23" s="124"/>
      <c r="B23" s="118"/>
      <c r="C23" s="128" t="s">
        <v>76</v>
      </c>
      <c r="D23" s="118" t="s">
        <v>77</v>
      </c>
      <c r="E23" s="119" t="s">
        <v>59</v>
      </c>
      <c r="F23" s="120">
        <f>0.045</f>
        <v>4.4999999999999998E-2</v>
      </c>
      <c r="G23" s="119"/>
      <c r="H23" s="119"/>
      <c r="I23" s="119"/>
      <c r="J23" s="119"/>
      <c r="K23" s="119"/>
      <c r="L23" s="119"/>
      <c r="M23" s="12"/>
    </row>
    <row r="24" spans="1:13" s="126" customFormat="1" ht="15.75" x14ac:dyDescent="0.2">
      <c r="A24" s="124"/>
      <c r="B24" s="118"/>
      <c r="C24" s="127" t="s">
        <v>15</v>
      </c>
      <c r="D24" s="118" t="s">
        <v>16</v>
      </c>
      <c r="E24" s="119" t="s">
        <v>59</v>
      </c>
      <c r="F24" s="119">
        <v>0.1</v>
      </c>
      <c r="G24" s="119"/>
      <c r="H24" s="119"/>
      <c r="I24" s="119"/>
      <c r="J24" s="119"/>
      <c r="K24" s="119"/>
      <c r="L24" s="119"/>
      <c r="M24" s="12"/>
    </row>
    <row r="25" spans="1:13" s="92" customFormat="1" ht="15.75" x14ac:dyDescent="0.2">
      <c r="A25" s="124"/>
      <c r="B25" s="117"/>
      <c r="C25" s="116" t="s">
        <v>49</v>
      </c>
      <c r="D25" s="118" t="s">
        <v>52</v>
      </c>
      <c r="E25" s="119">
        <v>2.5999999999999999E-2</v>
      </c>
      <c r="F25" s="119">
        <f>F$18*E25</f>
        <v>0.28599999999999998</v>
      </c>
      <c r="G25" s="119"/>
      <c r="H25" s="119"/>
      <c r="I25" s="119"/>
      <c r="J25" s="119"/>
      <c r="K25" s="119"/>
      <c r="L25" s="119"/>
      <c r="M25" s="12"/>
    </row>
    <row r="26" spans="1:13" s="25" customFormat="1" ht="31.5" x14ac:dyDescent="0.2">
      <c r="A26" s="135">
        <v>6</v>
      </c>
      <c r="B26" s="34" t="s">
        <v>23</v>
      </c>
      <c r="C26" s="132" t="s">
        <v>68</v>
      </c>
      <c r="D26" s="34" t="s">
        <v>13</v>
      </c>
      <c r="E26" s="36"/>
      <c r="F26" s="37">
        <f>0.55/0.25</f>
        <v>2.2000000000000002</v>
      </c>
      <c r="G26" s="119"/>
      <c r="H26" s="119"/>
      <c r="I26" s="119"/>
      <c r="J26" s="119"/>
      <c r="K26" s="119"/>
      <c r="L26" s="119"/>
      <c r="M26" s="12"/>
    </row>
    <row r="27" spans="1:13" s="25" customFormat="1" ht="15.75" x14ac:dyDescent="0.3">
      <c r="A27" s="59"/>
      <c r="B27" s="59"/>
      <c r="C27" s="128" t="s">
        <v>11</v>
      </c>
      <c r="D27" s="18" t="s">
        <v>4</v>
      </c>
      <c r="E27" s="14">
        <v>0.68</v>
      </c>
      <c r="F27" s="24">
        <f>F$26*E27</f>
        <v>1.4960000000000002</v>
      </c>
      <c r="G27" s="119"/>
      <c r="H27" s="119"/>
      <c r="I27" s="119"/>
      <c r="J27" s="119"/>
      <c r="K27" s="119"/>
      <c r="L27" s="119"/>
      <c r="M27" s="12"/>
    </row>
    <row r="28" spans="1:13" s="25" customFormat="1" ht="15.75" x14ac:dyDescent="0.3">
      <c r="A28" s="59"/>
      <c r="B28" s="59"/>
      <c r="C28" s="128" t="s">
        <v>9</v>
      </c>
      <c r="D28" s="18" t="s">
        <v>0</v>
      </c>
      <c r="E28" s="24">
        <f>0.03/100</f>
        <v>2.9999999999999997E-4</v>
      </c>
      <c r="F28" s="24">
        <f>F$26*E28</f>
        <v>6.6E-4</v>
      </c>
      <c r="G28" s="119"/>
      <c r="H28" s="119"/>
      <c r="I28" s="119"/>
      <c r="J28" s="119"/>
      <c r="K28" s="119"/>
      <c r="L28" s="120"/>
      <c r="M28" s="12"/>
    </row>
    <row r="29" spans="1:13" s="25" customFormat="1" ht="15.75" x14ac:dyDescent="0.3">
      <c r="A29" s="59"/>
      <c r="B29" s="59"/>
      <c r="C29" s="128" t="s">
        <v>24</v>
      </c>
      <c r="D29" s="18" t="s">
        <v>17</v>
      </c>
      <c r="E29" s="24">
        <f>(24.6+2.7)/100</f>
        <v>0.27300000000000002</v>
      </c>
      <c r="F29" s="24">
        <f>F$26*E29</f>
        <v>0.60060000000000013</v>
      </c>
      <c r="G29" s="119"/>
      <c r="H29" s="119"/>
      <c r="I29" s="119"/>
      <c r="J29" s="119"/>
      <c r="K29" s="119"/>
      <c r="L29" s="119"/>
      <c r="M29" s="12"/>
    </row>
    <row r="30" spans="1:13" s="1" customFormat="1" ht="16.5" x14ac:dyDescent="0.3">
      <c r="A30" s="59"/>
      <c r="B30" s="59"/>
      <c r="C30" s="128" t="s">
        <v>10</v>
      </c>
      <c r="D30" s="18" t="s">
        <v>0</v>
      </c>
      <c r="E30" s="24">
        <f>0.19/100</f>
        <v>1.9E-3</v>
      </c>
      <c r="F30" s="24">
        <f>F$26*E30</f>
        <v>4.1800000000000006E-3</v>
      </c>
      <c r="G30" s="119"/>
      <c r="H30" s="119"/>
      <c r="I30" s="119"/>
      <c r="J30" s="119"/>
      <c r="K30" s="119"/>
      <c r="L30" s="120"/>
      <c r="M30" s="12"/>
    </row>
    <row r="31" spans="1:13" s="94" customFormat="1" ht="15.75" customHeight="1" x14ac:dyDescent="0.3">
      <c r="A31" s="52"/>
      <c r="B31" s="52"/>
      <c r="C31" s="52" t="s">
        <v>1</v>
      </c>
      <c r="D31" s="53"/>
      <c r="E31" s="120"/>
      <c r="F31" s="61"/>
      <c r="G31" s="121"/>
      <c r="H31" s="119"/>
      <c r="I31" s="119"/>
      <c r="J31" s="119"/>
      <c r="K31" s="122"/>
      <c r="L31" s="119"/>
      <c r="M31" s="119"/>
    </row>
    <row r="32" spans="1:13" s="94" customFormat="1" ht="15.75" customHeight="1" x14ac:dyDescent="0.3">
      <c r="A32" s="52"/>
      <c r="B32" s="52"/>
      <c r="C32" s="52" t="s">
        <v>34</v>
      </c>
      <c r="D32" s="113">
        <v>0.1</v>
      </c>
      <c r="E32" s="120"/>
      <c r="F32" s="61"/>
      <c r="G32" s="121"/>
      <c r="H32" s="123"/>
      <c r="I32" s="119"/>
      <c r="J32" s="105"/>
      <c r="K32" s="122"/>
      <c r="L32" s="106"/>
      <c r="M32" s="119"/>
    </row>
    <row r="33" spans="1:13" s="94" customFormat="1" ht="15.75" customHeight="1" x14ac:dyDescent="0.3">
      <c r="A33" s="52"/>
      <c r="B33" s="52"/>
      <c r="C33" s="52" t="s">
        <v>1</v>
      </c>
      <c r="D33" s="113"/>
      <c r="E33" s="120"/>
      <c r="F33" s="61"/>
      <c r="G33" s="121"/>
      <c r="H33" s="123"/>
      <c r="I33" s="119"/>
      <c r="J33" s="105"/>
      <c r="K33" s="122"/>
      <c r="L33" s="106"/>
      <c r="M33" s="119">
        <f>M31+M32</f>
        <v>0</v>
      </c>
    </row>
    <row r="34" spans="1:13" s="94" customFormat="1" ht="15.75" customHeight="1" x14ac:dyDescent="0.3">
      <c r="A34" s="52"/>
      <c r="B34" s="52"/>
      <c r="C34" s="52" t="s">
        <v>35</v>
      </c>
      <c r="D34" s="113">
        <v>0.08</v>
      </c>
      <c r="E34" s="120"/>
      <c r="F34" s="61"/>
      <c r="G34" s="121"/>
      <c r="H34" s="123"/>
      <c r="I34" s="119"/>
      <c r="J34" s="105"/>
      <c r="K34" s="122"/>
      <c r="L34" s="106"/>
      <c r="M34" s="119">
        <f>M33*D34</f>
        <v>0</v>
      </c>
    </row>
    <row r="35" spans="1:13" s="94" customFormat="1" ht="15.75" customHeight="1" x14ac:dyDescent="0.3">
      <c r="A35" s="52"/>
      <c r="B35" s="52"/>
      <c r="C35" s="52" t="s">
        <v>1</v>
      </c>
      <c r="D35" s="113"/>
      <c r="E35" s="120"/>
      <c r="F35" s="61"/>
      <c r="G35" s="121"/>
      <c r="H35" s="123"/>
      <c r="I35" s="119"/>
      <c r="J35" s="105"/>
      <c r="K35" s="122"/>
      <c r="L35" s="106"/>
      <c r="M35" s="119">
        <f>M33+M34</f>
        <v>0</v>
      </c>
    </row>
    <row r="40" spans="1:13" s="173" customFormat="1" ht="14.25" x14ac:dyDescent="0.25">
      <c r="A40" s="172"/>
      <c r="D40" s="172"/>
    </row>
  </sheetData>
  <mergeCells count="11">
    <mergeCell ref="L1:M1"/>
    <mergeCell ref="A2:M3"/>
    <mergeCell ref="A4:M4"/>
    <mergeCell ref="K5:L5"/>
    <mergeCell ref="M5:M6"/>
    <mergeCell ref="A5:A6"/>
    <mergeCell ref="B5:B6"/>
    <mergeCell ref="C5:C6"/>
    <mergeCell ref="D5:F5"/>
    <mergeCell ref="G5:H5"/>
    <mergeCell ref="I5:J5"/>
  </mergeCells>
  <pageMargins left="0.19685039370078741" right="0.19685039370078741" top="0.23622047244094491" bottom="0.19685039370078741" header="0.19685039370078741" footer="0.19685039370078741"/>
  <pageSetup paperSize="9" scale="9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კრებსითი</vt:lpstr>
      <vt:lpstr>პატარა დარბაზი</vt:lpstr>
      <vt:lpstr>კარი</vt:lpstr>
      <vt:lpstr>ფანჯარა</vt:lpstr>
      <vt:lpstr>კიბე 8მ</vt:lpstr>
      <vt:lpstr>ბაგირი</vt:lpstr>
      <vt:lpstr>ბარიერი1, 10 ცალი</vt:lpstr>
      <vt:lpstr>ბარიერი2, 6 ცალი</vt:lpstr>
      <vt:lpstr>პარკინგის შესასვლელი</vt:lpstr>
      <vt:lpstr>შლაგბაუმის ფეხი</vt:lpstr>
      <vt:lpstr>კამერის სამაგრი</vt:lpstr>
      <vt:lpstr>ღობე</vt:lpstr>
      <vt:lpstr>ტერასა</vt:lpstr>
      <vt:lpstr>დერეფანი</vt:lpstr>
      <vt:lpstr>ჭიშკრები</vt:lpstr>
      <vt:lpstr>კიბე</vt:lpstr>
      <vt:lpstr>ბაქანი</vt:lpstr>
      <vt:lpstr>კიბე2</vt:lpstr>
      <vt:lpstr>კიბე3</vt:lpstr>
      <vt:lpstr>პარაპეტი</vt:lpstr>
      <vt:lpstr>'ბარიერი1, 10 ცალი'!Print_Area</vt:lpstr>
      <vt:lpstr>ბაქანი!Print_Area</vt:lpstr>
      <vt:lpstr>დერეფანი!Print_Area</vt:lpstr>
      <vt:lpstr>'კამერის სამაგრი'!Print_Area</vt:lpstr>
      <vt:lpstr>კარი!Print_Area</vt:lpstr>
      <vt:lpstr>კიბე!Print_Area</vt:lpstr>
      <vt:lpstr>კიბე2!Print_Area</vt:lpstr>
      <vt:lpstr>კიბე3!Print_Area</vt:lpstr>
      <vt:lpstr>კრებსითი!Print_Area</vt:lpstr>
      <vt:lpstr>'პატარა დარბაზი'!Print_Area</vt:lpstr>
      <vt:lpstr>ტერასა!Print_Area</vt:lpstr>
      <vt:lpstr>'კამერის სამაგრი'!Print_Titles</vt:lpstr>
      <vt:lpstr>კიბე!Print_Titles</vt:lpstr>
      <vt:lpstr>'კიბე 8მ'!Print_Titles</vt:lpstr>
      <vt:lpstr>პარაპეტი!Print_Titles</vt:lpstr>
      <vt:lpstr>'პარკინგის შესასვლელი'!Print_Titles</vt:lpstr>
      <vt:lpstr>ღობე!Print_Titles</vt:lpstr>
      <vt:lpstr>ჭიშკრები!Print_Titles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2018-09-28T10:41:47Z</dcterms:modified>
</cp:coreProperties>
</file>