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cha.malania\Desktop\"/>
    </mc:Choice>
  </mc:AlternateContent>
  <bookViews>
    <workbookView xWindow="0" yWindow="0" windowWidth="28800" windowHeight="12300" tabRatio="968"/>
  </bookViews>
  <sheets>
    <sheet name="xarjtar" sheetId="133" r:id="rId1"/>
    <sheet name="უწყისი" sheetId="50" state="hidden" r:id="rId2"/>
    <sheet name="Лист1" sheetId="134" state="hidden" r:id="rId3"/>
    <sheet name="rk.kiu (2)" sheetId="129" state="hidden" r:id="rId4"/>
    <sheet name="rk.kiu (3)" sheetId="132" state="hidden" r:id="rId5"/>
    <sheet name="mili" sheetId="109" state="hidden" r:id="rId6"/>
    <sheet name="2x2" sheetId="125" state="hidden" r:id="rId7"/>
    <sheet name="gabio" sheetId="113" state="hidden" r:id="rId8"/>
    <sheet name="savali" sheetId="94" state="hidden" r:id="rId9"/>
    <sheet name="Sesasv" sheetId="95" state="hidden" r:id="rId10"/>
    <sheet name="ლითონის თვალამრ" sheetId="115" state="hidden" r:id="rId11"/>
    <sheet name="krepsiTi" sheetId="20" state="hidden" r:id="rId12"/>
    <sheet name="დემონტაჯი" sheetId="45" state="hidden" r:id="rId13"/>
    <sheet name="მიწის ვაკისი" sheetId="128" state="hidden" r:id="rId14"/>
    <sheet name="რკ.ბეტონის კიუვეტი" sheetId="130" state="hidden" r:id="rId15"/>
    <sheet name="რკ.ბეტონის კიუვეტი (2)" sheetId="131" state="hidden" r:id="rId16"/>
    <sheet name="მილი 1.0" sheetId="110" state="hidden" r:id="rId17"/>
    <sheet name="მილი (2X2)" sheetId="123" state="hidden" r:id="rId18"/>
    <sheet name="გაბიონი" sheetId="114" state="hidden" r:id="rId19"/>
    <sheet name="ა.ბეტონი" sheetId="33" state="hidden" r:id="rId20"/>
    <sheet name="ა.ბეტონი მიერთ" sheetId="127" state="hidden" r:id="rId21"/>
    <sheet name="MONISHVNA" sheetId="72" state="hidden" r:id="rId22"/>
    <sheet name="თვალამრიდი" sheetId="116" state="hidden" r:id="rId23"/>
    <sheet name="განათება" sheetId="136" state="hidden" r:id="rId24"/>
    <sheet name="კალკულაცია" sheetId="29" state="hidden" r:id="rId25"/>
    <sheet name="გადაზიდ. კალკულაცია" sheetId="30" state="hidden" r:id="rId26"/>
  </sheets>
  <definedNames>
    <definedName name="aaaa" localSheetId="4">#REF!</definedName>
    <definedName name="aaaa" localSheetId="0">#REF!</definedName>
    <definedName name="aaaa" localSheetId="20">#REF!</definedName>
    <definedName name="aaaa" localSheetId="23">#REF!</definedName>
    <definedName name="aaaa" localSheetId="17">#REF!</definedName>
    <definedName name="aaaa" localSheetId="13">#REF!</definedName>
    <definedName name="aaaa" localSheetId="15">#REF!</definedName>
    <definedName name="aaaa">#REF!</definedName>
    <definedName name="cxaura" localSheetId="4">#REF!</definedName>
    <definedName name="cxaura" localSheetId="0">#REF!</definedName>
    <definedName name="cxaura" localSheetId="20">#REF!</definedName>
    <definedName name="cxaura" localSheetId="23">#REF!</definedName>
    <definedName name="cxaura" localSheetId="17">#REF!</definedName>
    <definedName name="cxaura" localSheetId="13">#REF!</definedName>
    <definedName name="cxaura" localSheetId="15">#REF!</definedName>
    <definedName name="cxaura">#REF!</definedName>
    <definedName name="fdrt124" localSheetId="21">#REF!</definedName>
    <definedName name="fdrt124" localSheetId="4">#REF!</definedName>
    <definedName name="fdrt124" localSheetId="0">#REF!</definedName>
    <definedName name="fdrt124" localSheetId="19">#REF!</definedName>
    <definedName name="fdrt124" localSheetId="20">#REF!</definedName>
    <definedName name="fdrt124" localSheetId="18">#REF!</definedName>
    <definedName name="fdrt124" localSheetId="23">#REF!</definedName>
    <definedName name="fdrt124" localSheetId="12">#REF!</definedName>
    <definedName name="fdrt124" localSheetId="22">#REF!</definedName>
    <definedName name="fdrt124" localSheetId="10">#REF!</definedName>
    <definedName name="fdrt124" localSheetId="17">#REF!</definedName>
    <definedName name="fdrt124" localSheetId="16">#REF!</definedName>
    <definedName name="fdrt124" localSheetId="13">#REF!</definedName>
    <definedName name="fdrt124" localSheetId="14">#REF!</definedName>
    <definedName name="fdrt124" localSheetId="15">#REF!</definedName>
    <definedName name="fdrt124" localSheetId="1">#REF!</definedName>
    <definedName name="fdrt124">#REF!</definedName>
    <definedName name="fffffvvv30214" localSheetId="21">#REF!</definedName>
    <definedName name="fffffvvv30214" localSheetId="4">#REF!</definedName>
    <definedName name="fffffvvv30214" localSheetId="0">#REF!</definedName>
    <definedName name="fffffvvv30214" localSheetId="19">#REF!</definedName>
    <definedName name="fffffvvv30214" localSheetId="20">#REF!</definedName>
    <definedName name="fffffvvv30214" localSheetId="18">#REF!</definedName>
    <definedName name="fffffvvv30214" localSheetId="23">#REF!</definedName>
    <definedName name="fffffvvv30214" localSheetId="12">#REF!</definedName>
    <definedName name="fffffvvv30214" localSheetId="22">#REF!</definedName>
    <definedName name="fffffvvv30214" localSheetId="10">#REF!</definedName>
    <definedName name="fffffvvv30214" localSheetId="17">#REF!</definedName>
    <definedName name="fffffvvv30214" localSheetId="16">#REF!</definedName>
    <definedName name="fffffvvv30214" localSheetId="13">#REF!</definedName>
    <definedName name="fffffvvv30214" localSheetId="14">#REF!</definedName>
    <definedName name="fffffvvv30214" localSheetId="15">#REF!</definedName>
    <definedName name="fffffvvv30214" localSheetId="1">#REF!</definedName>
    <definedName name="fffffvvv30214">#REF!</definedName>
    <definedName name="ggggddd51515" localSheetId="21">#REF!</definedName>
    <definedName name="ggggddd51515" localSheetId="4">#REF!</definedName>
    <definedName name="ggggddd51515" localSheetId="0">#REF!</definedName>
    <definedName name="ggggddd51515" localSheetId="19">#REF!</definedName>
    <definedName name="ggggddd51515" localSheetId="20">#REF!</definedName>
    <definedName name="ggggddd51515" localSheetId="18">#REF!</definedName>
    <definedName name="ggggddd51515" localSheetId="23">#REF!</definedName>
    <definedName name="ggggddd51515" localSheetId="12">#REF!</definedName>
    <definedName name="ggggddd51515" localSheetId="22">#REF!</definedName>
    <definedName name="ggggddd51515" localSheetId="10">#REF!</definedName>
    <definedName name="ggggddd51515" localSheetId="17">#REF!</definedName>
    <definedName name="ggggddd51515" localSheetId="16">#REF!</definedName>
    <definedName name="ggggddd51515" localSheetId="13">#REF!</definedName>
    <definedName name="ggggddd51515" localSheetId="14">#REF!</definedName>
    <definedName name="ggggddd51515" localSheetId="15">#REF!</definedName>
    <definedName name="ggggddd51515" localSheetId="1">#REF!</definedName>
    <definedName name="ggggddd51515">#REF!</definedName>
    <definedName name="hgyui54876" localSheetId="21">#REF!</definedName>
    <definedName name="hgyui54876" localSheetId="4">#REF!</definedName>
    <definedName name="hgyui54876" localSheetId="0">#REF!</definedName>
    <definedName name="hgyui54876" localSheetId="19">#REF!</definedName>
    <definedName name="hgyui54876" localSheetId="20">#REF!</definedName>
    <definedName name="hgyui54876" localSheetId="18">#REF!</definedName>
    <definedName name="hgyui54876" localSheetId="23">#REF!</definedName>
    <definedName name="hgyui54876" localSheetId="12">#REF!</definedName>
    <definedName name="hgyui54876" localSheetId="22">#REF!</definedName>
    <definedName name="hgyui54876" localSheetId="10">#REF!</definedName>
    <definedName name="hgyui54876" localSheetId="17">#REF!</definedName>
    <definedName name="hgyui54876" localSheetId="16">#REF!</definedName>
    <definedName name="hgyui54876" localSheetId="13">#REF!</definedName>
    <definedName name="hgyui54876" localSheetId="14">#REF!</definedName>
    <definedName name="hgyui54876" localSheetId="15">#REF!</definedName>
    <definedName name="hgyui54876" localSheetId="1">#REF!</definedName>
    <definedName name="hgyui54876">#REF!</definedName>
    <definedName name="ijhuy4587" localSheetId="21">#REF!</definedName>
    <definedName name="ijhuy4587" localSheetId="4">#REF!</definedName>
    <definedName name="ijhuy4587" localSheetId="0">#REF!</definedName>
    <definedName name="ijhuy4587" localSheetId="19">#REF!</definedName>
    <definedName name="ijhuy4587" localSheetId="20">#REF!</definedName>
    <definedName name="ijhuy4587" localSheetId="18">#REF!</definedName>
    <definedName name="ijhuy4587" localSheetId="23">#REF!</definedName>
    <definedName name="ijhuy4587" localSheetId="12">#REF!</definedName>
    <definedName name="ijhuy4587" localSheetId="22">#REF!</definedName>
    <definedName name="ijhuy4587" localSheetId="10">#REF!</definedName>
    <definedName name="ijhuy4587" localSheetId="17">#REF!</definedName>
    <definedName name="ijhuy4587" localSheetId="16">#REF!</definedName>
    <definedName name="ijhuy4587" localSheetId="13">#REF!</definedName>
    <definedName name="ijhuy4587" localSheetId="14">#REF!</definedName>
    <definedName name="ijhuy4587" localSheetId="15">#REF!</definedName>
    <definedName name="ijhuy4587" localSheetId="1">#REF!</definedName>
    <definedName name="ijhuy4587">#REF!</definedName>
    <definedName name="jfdyrt14790" localSheetId="21">#REF!</definedName>
    <definedName name="jfdyrt14790" localSheetId="4">#REF!</definedName>
    <definedName name="jfdyrt14790" localSheetId="0">#REF!</definedName>
    <definedName name="jfdyrt14790" localSheetId="19">#REF!</definedName>
    <definedName name="jfdyrt14790" localSheetId="20">#REF!</definedName>
    <definedName name="jfdyrt14790" localSheetId="18">#REF!</definedName>
    <definedName name="jfdyrt14790" localSheetId="23">#REF!</definedName>
    <definedName name="jfdyrt14790" localSheetId="12">#REF!</definedName>
    <definedName name="jfdyrt14790" localSheetId="22">#REF!</definedName>
    <definedName name="jfdyrt14790" localSheetId="10">#REF!</definedName>
    <definedName name="jfdyrt14790" localSheetId="17">#REF!</definedName>
    <definedName name="jfdyrt14790" localSheetId="16">#REF!</definedName>
    <definedName name="jfdyrt14790" localSheetId="13">#REF!</definedName>
    <definedName name="jfdyrt14790" localSheetId="14">#REF!</definedName>
    <definedName name="jfdyrt14790" localSheetId="15">#REF!</definedName>
    <definedName name="jfdyrt14790" localSheetId="1">#REF!</definedName>
    <definedName name="jfdyrt14790">#REF!</definedName>
    <definedName name="jkhjgkliob1012" localSheetId="21">#REF!</definedName>
    <definedName name="jkhjgkliob1012" localSheetId="4">#REF!</definedName>
    <definedName name="jkhjgkliob1012" localSheetId="0">#REF!</definedName>
    <definedName name="jkhjgkliob1012" localSheetId="19">#REF!</definedName>
    <definedName name="jkhjgkliob1012" localSheetId="20">#REF!</definedName>
    <definedName name="jkhjgkliob1012" localSheetId="18">#REF!</definedName>
    <definedName name="jkhjgkliob1012" localSheetId="23">#REF!</definedName>
    <definedName name="jkhjgkliob1012" localSheetId="12">#REF!</definedName>
    <definedName name="jkhjgkliob1012" localSheetId="22">#REF!</definedName>
    <definedName name="jkhjgkliob1012" localSheetId="10">#REF!</definedName>
    <definedName name="jkhjgkliob1012" localSheetId="17">#REF!</definedName>
    <definedName name="jkhjgkliob1012" localSheetId="16">#REF!</definedName>
    <definedName name="jkhjgkliob1012" localSheetId="13">#REF!</definedName>
    <definedName name="jkhjgkliob1012" localSheetId="14">#REF!</definedName>
    <definedName name="jkhjgkliob1012" localSheetId="15">#REF!</definedName>
    <definedName name="jkhjgkliob1012" localSheetId="1">#REF!</definedName>
    <definedName name="jkhjgkliob1012">#REF!</definedName>
    <definedName name="jkio54576" localSheetId="21">#REF!</definedName>
    <definedName name="jkio54576" localSheetId="4">#REF!</definedName>
    <definedName name="jkio54576" localSheetId="0">#REF!</definedName>
    <definedName name="jkio54576" localSheetId="19">#REF!</definedName>
    <definedName name="jkio54576" localSheetId="20">#REF!</definedName>
    <definedName name="jkio54576" localSheetId="18">#REF!</definedName>
    <definedName name="jkio54576" localSheetId="23">#REF!</definedName>
    <definedName name="jkio54576" localSheetId="12">#REF!</definedName>
    <definedName name="jkio54576" localSheetId="22">#REF!</definedName>
    <definedName name="jkio54576" localSheetId="10">#REF!</definedName>
    <definedName name="jkio54576" localSheetId="17">#REF!</definedName>
    <definedName name="jkio54576" localSheetId="16">#REF!</definedName>
    <definedName name="jkio54576" localSheetId="13">#REF!</definedName>
    <definedName name="jkio54576" localSheetId="14">#REF!</definedName>
    <definedName name="jkio54576" localSheetId="15">#REF!</definedName>
    <definedName name="jkio54576" localSheetId="1">#REF!</definedName>
    <definedName name="jkio54576">#REF!</definedName>
    <definedName name="KALA" localSheetId="21">#REF!</definedName>
    <definedName name="KALA" localSheetId="4">#REF!</definedName>
    <definedName name="KALA" localSheetId="0">#REF!</definedName>
    <definedName name="KALA" localSheetId="20">#REF!</definedName>
    <definedName name="KALA" localSheetId="23">#REF!</definedName>
    <definedName name="KALA" localSheetId="12">#REF!</definedName>
    <definedName name="KALA" localSheetId="22">#REF!</definedName>
    <definedName name="KALA" localSheetId="10">#REF!</definedName>
    <definedName name="KALA" localSheetId="17">#REF!</definedName>
    <definedName name="KALA" localSheetId="13">#REF!</definedName>
    <definedName name="KALA" localSheetId="14">#REF!</definedName>
    <definedName name="KALA" localSheetId="15">#REF!</definedName>
    <definedName name="KALA">#REF!</definedName>
    <definedName name="kala12" localSheetId="21">#REF!</definedName>
    <definedName name="kala12" localSheetId="4">#REF!</definedName>
    <definedName name="kala12" localSheetId="0">#REF!</definedName>
    <definedName name="kala12" localSheetId="20">#REF!</definedName>
    <definedName name="kala12" localSheetId="23">#REF!</definedName>
    <definedName name="kala12" localSheetId="12">#REF!</definedName>
    <definedName name="kala12" localSheetId="22">#REF!</definedName>
    <definedName name="kala12" localSheetId="10">#REF!</definedName>
    <definedName name="kala12" localSheetId="17">#REF!</definedName>
    <definedName name="kala12" localSheetId="13">#REF!</definedName>
    <definedName name="kala12" localSheetId="14">#REF!</definedName>
    <definedName name="kala12" localSheetId="15">#REF!</definedName>
    <definedName name="kala12">#REF!</definedName>
    <definedName name="kkkjjhhmnb" localSheetId="21">#REF!</definedName>
    <definedName name="kkkjjhhmnb" localSheetId="4">#REF!</definedName>
    <definedName name="kkkjjhhmnb" localSheetId="0">#REF!</definedName>
    <definedName name="kkkjjhhmnb" localSheetId="19">#REF!</definedName>
    <definedName name="kkkjjhhmnb" localSheetId="20">#REF!</definedName>
    <definedName name="kkkjjhhmnb" localSheetId="18">#REF!</definedName>
    <definedName name="kkkjjhhmnb" localSheetId="23">#REF!</definedName>
    <definedName name="kkkjjhhmnb" localSheetId="12">#REF!</definedName>
    <definedName name="kkkjjhhmnb" localSheetId="22">#REF!</definedName>
    <definedName name="kkkjjhhmnb" localSheetId="10">#REF!</definedName>
    <definedName name="kkkjjhhmnb" localSheetId="17">#REF!</definedName>
    <definedName name="kkkjjhhmnb" localSheetId="16">#REF!</definedName>
    <definedName name="kkkjjhhmnb" localSheetId="13">#REF!</definedName>
    <definedName name="kkkjjhhmnb" localSheetId="14">#REF!</definedName>
    <definedName name="kkkjjhhmnb" localSheetId="15">#REF!</definedName>
    <definedName name="kkkjjhhmnb" localSheetId="1">#REF!</definedName>
    <definedName name="kkkjjhhmnb">#REF!</definedName>
    <definedName name="kkkmmnmm52140" localSheetId="21">#REF!</definedName>
    <definedName name="kkkmmnmm52140" localSheetId="4">#REF!</definedName>
    <definedName name="kkkmmnmm52140" localSheetId="0">#REF!</definedName>
    <definedName name="kkkmmnmm52140" localSheetId="19">#REF!</definedName>
    <definedName name="kkkmmnmm52140" localSheetId="20">#REF!</definedName>
    <definedName name="kkkmmnmm52140" localSheetId="18">#REF!</definedName>
    <definedName name="kkkmmnmm52140" localSheetId="23">#REF!</definedName>
    <definedName name="kkkmmnmm52140" localSheetId="12">#REF!</definedName>
    <definedName name="kkkmmnmm52140" localSheetId="22">#REF!</definedName>
    <definedName name="kkkmmnmm52140" localSheetId="10">#REF!</definedName>
    <definedName name="kkkmmnmm52140" localSheetId="17">#REF!</definedName>
    <definedName name="kkkmmnmm52140" localSheetId="16">#REF!</definedName>
    <definedName name="kkkmmnmm52140" localSheetId="13">#REF!</definedName>
    <definedName name="kkkmmnmm52140" localSheetId="14">#REF!</definedName>
    <definedName name="kkkmmnmm52140" localSheetId="15">#REF!</definedName>
    <definedName name="kkkmmnmm52140" localSheetId="1">#REF!</definedName>
    <definedName name="kkkmmnmm52140">#REF!</definedName>
    <definedName name="lkjiu5147" localSheetId="21">#REF!</definedName>
    <definedName name="lkjiu5147" localSheetId="4">#REF!</definedName>
    <definedName name="lkjiu5147" localSheetId="0">#REF!</definedName>
    <definedName name="lkjiu5147" localSheetId="19">#REF!</definedName>
    <definedName name="lkjiu5147" localSheetId="20">#REF!</definedName>
    <definedName name="lkjiu5147" localSheetId="18">#REF!</definedName>
    <definedName name="lkjiu5147" localSheetId="23">#REF!</definedName>
    <definedName name="lkjiu5147" localSheetId="12">#REF!</definedName>
    <definedName name="lkjiu5147" localSheetId="22">#REF!</definedName>
    <definedName name="lkjiu5147" localSheetId="10">#REF!</definedName>
    <definedName name="lkjiu5147" localSheetId="17">#REF!</definedName>
    <definedName name="lkjiu5147" localSheetId="16">#REF!</definedName>
    <definedName name="lkjiu5147" localSheetId="13">#REF!</definedName>
    <definedName name="lkjiu5147" localSheetId="14">#REF!</definedName>
    <definedName name="lkjiu5147" localSheetId="15">#REF!</definedName>
    <definedName name="lkjiu5147" localSheetId="1">#REF!</definedName>
    <definedName name="lkjiu5147">#REF!</definedName>
    <definedName name="lllkkk8889999" localSheetId="21">#REF!</definedName>
    <definedName name="lllkkk8889999" localSheetId="4">#REF!</definedName>
    <definedName name="lllkkk8889999" localSheetId="0">#REF!</definedName>
    <definedName name="lllkkk8889999" localSheetId="19">#REF!</definedName>
    <definedName name="lllkkk8889999" localSheetId="20">#REF!</definedName>
    <definedName name="lllkkk8889999" localSheetId="18">#REF!</definedName>
    <definedName name="lllkkk8889999" localSheetId="23">#REF!</definedName>
    <definedName name="lllkkk8889999" localSheetId="12">#REF!</definedName>
    <definedName name="lllkkk8889999" localSheetId="22">#REF!</definedName>
    <definedName name="lllkkk8889999" localSheetId="10">#REF!</definedName>
    <definedName name="lllkkk8889999" localSheetId="17">#REF!</definedName>
    <definedName name="lllkkk8889999" localSheetId="16">#REF!</definedName>
    <definedName name="lllkkk8889999" localSheetId="13">#REF!</definedName>
    <definedName name="lllkkk8889999" localSheetId="14">#REF!</definedName>
    <definedName name="lllkkk8889999" localSheetId="15">#REF!</definedName>
    <definedName name="lllkkk8889999" localSheetId="1">#REF!</definedName>
    <definedName name="lllkkk8889999">#REF!</definedName>
    <definedName name="mnmnmn101010" localSheetId="21">#REF!</definedName>
    <definedName name="mnmnmn101010" localSheetId="4">#REF!</definedName>
    <definedName name="mnmnmn101010" localSheetId="0">#REF!</definedName>
    <definedName name="mnmnmn101010" localSheetId="19">#REF!</definedName>
    <definedName name="mnmnmn101010" localSheetId="20">#REF!</definedName>
    <definedName name="mnmnmn101010" localSheetId="18">#REF!</definedName>
    <definedName name="mnmnmn101010" localSheetId="23">#REF!</definedName>
    <definedName name="mnmnmn101010" localSheetId="12">#REF!</definedName>
    <definedName name="mnmnmn101010" localSheetId="22">#REF!</definedName>
    <definedName name="mnmnmn101010" localSheetId="10">#REF!</definedName>
    <definedName name="mnmnmn101010" localSheetId="17">#REF!</definedName>
    <definedName name="mnmnmn101010" localSheetId="16">#REF!</definedName>
    <definedName name="mnmnmn101010" localSheetId="13">#REF!</definedName>
    <definedName name="mnmnmn101010" localSheetId="14">#REF!</definedName>
    <definedName name="mnmnmn101010" localSheetId="15">#REF!</definedName>
    <definedName name="mnmnmn101010" localSheetId="1">#REF!</definedName>
    <definedName name="mnmnmn101010">#REF!</definedName>
    <definedName name="oplop321" localSheetId="21">#REF!</definedName>
    <definedName name="oplop321" localSheetId="4">#REF!</definedName>
    <definedName name="oplop321" localSheetId="0">#REF!</definedName>
    <definedName name="oplop321" localSheetId="19">#REF!</definedName>
    <definedName name="oplop321" localSheetId="20">#REF!</definedName>
    <definedName name="oplop321" localSheetId="18">#REF!</definedName>
    <definedName name="oplop321" localSheetId="23">#REF!</definedName>
    <definedName name="oplop321" localSheetId="12">#REF!</definedName>
    <definedName name="oplop321" localSheetId="22">#REF!</definedName>
    <definedName name="oplop321" localSheetId="10">#REF!</definedName>
    <definedName name="oplop321" localSheetId="17">#REF!</definedName>
    <definedName name="oplop321" localSheetId="16">#REF!</definedName>
    <definedName name="oplop321" localSheetId="13">#REF!</definedName>
    <definedName name="oplop321" localSheetId="14">#REF!</definedName>
    <definedName name="oplop321" localSheetId="15">#REF!</definedName>
    <definedName name="oplop321" localSheetId="1">#REF!</definedName>
    <definedName name="oplop321">#REF!</definedName>
    <definedName name="_xlnm.Print_Area" localSheetId="7">gabio!$A$1:$I$20</definedName>
    <definedName name="_xlnm.Print_Area" localSheetId="11">krepsiTi!$A$1:$H$99</definedName>
    <definedName name="_xlnm.Print_Area" localSheetId="5">mili!$A$1:$H$24</definedName>
    <definedName name="_xlnm.Print_Area" localSheetId="21">MONISHVNA!$A$1:$H$19</definedName>
    <definedName name="_xlnm.Print_Area" localSheetId="0">xarjtar!$A$1:$F$124</definedName>
    <definedName name="_xlnm.Print_Area" localSheetId="19">ა.ბეტონი!$A$1:$H$57</definedName>
    <definedName name="_xlnm.Print_Area" localSheetId="20">'ა.ბეტონი მიერთ'!$A$1:$H$53</definedName>
    <definedName name="_xlnm.Print_Area" localSheetId="18">გაბიონი!$A$1:$H$28</definedName>
    <definedName name="_xlnm.Print_Area" localSheetId="25">'გადაზიდ. კალკულაცია'!$A$1:$G$21</definedName>
    <definedName name="_xlnm.Print_Area" localSheetId="23">განათება!$A$1:$H$79</definedName>
    <definedName name="_xlnm.Print_Area" localSheetId="12">დემონტაჯი!$A$1:$H$29</definedName>
    <definedName name="_xlnm.Print_Area" localSheetId="22">თვალამრიდი!$A$1:$H$20</definedName>
    <definedName name="_xlnm.Print_Area" localSheetId="24">კალკულაცია!$A$1:$J$24</definedName>
    <definedName name="_xlnm.Print_Area" localSheetId="17">'მილი (2X2)'!$A$1:$H$85</definedName>
    <definedName name="_xlnm.Print_Area" localSheetId="16">'მილი 1.0'!$A$1:$H$87</definedName>
    <definedName name="_xlnm.Print_Area" localSheetId="13">'მიწის ვაკისი'!$A$1:$H$48</definedName>
    <definedName name="_xlnm.Print_Area" localSheetId="14">'რკ.ბეტონის კიუვეტი'!$A$1:$H$49</definedName>
    <definedName name="_xlnm.Print_Area" localSheetId="15">'რკ.ბეტონის კიუვეტი (2)'!$A$1:$H$66</definedName>
    <definedName name="_xlnm.Print_Titles" localSheetId="11">krepsiTi!$21:$21</definedName>
    <definedName name="_xlnm.Print_Titles" localSheetId="21">MONISHVNA!$7:$7</definedName>
    <definedName name="_xlnm.Print_Titles" localSheetId="19">ა.ბეტონი!$8:$8</definedName>
    <definedName name="_xlnm.Print_Titles" localSheetId="20">'ა.ბეტონი მიერთ'!$8:$8</definedName>
    <definedName name="_xlnm.Print_Titles" localSheetId="18">გაბიონი!#REF!</definedName>
    <definedName name="_xlnm.Print_Titles" localSheetId="23">განათება!$8:$8</definedName>
    <definedName name="_xlnm.Print_Titles" localSheetId="12">დემონტაჯი!$11:$11</definedName>
    <definedName name="_xlnm.Print_Titles" localSheetId="13">'მიწის ვაკისი'!$11:$11</definedName>
    <definedName name="rkb" localSheetId="4">#REF!</definedName>
    <definedName name="rkb" localSheetId="0">#REF!</definedName>
    <definedName name="rkb" localSheetId="20">#REF!</definedName>
    <definedName name="rkb" localSheetId="23">#REF!</definedName>
    <definedName name="rkb" localSheetId="17">#REF!</definedName>
    <definedName name="rkb" localSheetId="13">#REF!</definedName>
    <definedName name="rkb" localSheetId="15">#REF!</definedName>
    <definedName name="rkb">#REF!</definedName>
    <definedName name="valeriii" localSheetId="4">#REF!</definedName>
    <definedName name="valeriii" localSheetId="0">#REF!</definedName>
    <definedName name="valeriii" localSheetId="20">#REF!</definedName>
    <definedName name="valeriii" localSheetId="23">#REF!</definedName>
    <definedName name="valeriii" localSheetId="17">#REF!</definedName>
    <definedName name="valeriii" localSheetId="13">#REF!</definedName>
    <definedName name="valeriii" localSheetId="15">#REF!</definedName>
    <definedName name="valeriii">#REF!</definedName>
  </definedNames>
  <calcPr calcId="162913"/>
</workbook>
</file>

<file path=xl/calcChain.xml><?xml version="1.0" encoding="utf-8"?>
<calcChain xmlns="http://schemas.openxmlformats.org/spreadsheetml/2006/main">
  <c r="B23" i="50" l="1"/>
  <c r="B26" i="133"/>
  <c r="D77" i="133"/>
  <c r="H17" i="113"/>
  <c r="F63" i="134"/>
  <c r="H63" i="134"/>
  <c r="C65" i="134"/>
  <c r="H59" i="134"/>
  <c r="H61" i="134"/>
  <c r="D80" i="133"/>
  <c r="L7" i="94"/>
  <c r="D65" i="134"/>
  <c r="F61" i="134"/>
  <c r="F59" i="134"/>
  <c r="D8" i="94"/>
  <c r="P7" i="94"/>
  <c r="Q7" i="94" s="1"/>
  <c r="Q8" i="94" s="1"/>
  <c r="O7" i="94"/>
  <c r="H7" i="94"/>
  <c r="I7" i="94" s="1"/>
  <c r="I8" i="94" s="1"/>
  <c r="F7" i="94"/>
  <c r="G7" i="94"/>
  <c r="G8" i="94" s="1"/>
  <c r="D71" i="50" s="1"/>
  <c r="E17" i="113"/>
  <c r="D17" i="113"/>
  <c r="D56" i="133"/>
  <c r="G20" i="109"/>
  <c r="G19" i="109"/>
  <c r="H19" i="109" s="1"/>
  <c r="F51" i="110" s="1"/>
  <c r="G14" i="109"/>
  <c r="G8" i="109"/>
  <c r="D42" i="133"/>
  <c r="D19" i="132"/>
  <c r="E19" i="132"/>
  <c r="F57" i="131" s="1"/>
  <c r="F59" i="131" s="1"/>
  <c r="D37" i="133"/>
  <c r="D36" i="133"/>
  <c r="D26" i="133"/>
  <c r="D23" i="50"/>
  <c r="D16" i="129" s="1"/>
  <c r="E16" i="129" s="1"/>
  <c r="F24" i="130" s="1"/>
  <c r="D29" i="133"/>
  <c r="D27" i="133"/>
  <c r="D25" i="133"/>
  <c r="D11" i="129"/>
  <c r="D24" i="133"/>
  <c r="D23" i="133"/>
  <c r="D8" i="129"/>
  <c r="D22" i="133"/>
  <c r="D21" i="133"/>
  <c r="D6" i="129" s="1"/>
  <c r="E6" i="129" s="1"/>
  <c r="F8" i="130" s="1"/>
  <c r="F9" i="130"/>
  <c r="F15" i="128"/>
  <c r="G11" i="109"/>
  <c r="G12" i="109"/>
  <c r="D8" i="109"/>
  <c r="D12" i="109"/>
  <c r="D14" i="109"/>
  <c r="D7" i="132"/>
  <c r="E7" i="132" s="1"/>
  <c r="F12" i="131" s="1"/>
  <c r="D29" i="50" s="1"/>
  <c r="D8" i="132"/>
  <c r="E8" i="132" s="1"/>
  <c r="F14" i="131" s="1"/>
  <c r="D6" i="132"/>
  <c r="E6" i="132" s="1"/>
  <c r="F8" i="131" s="1"/>
  <c r="D76" i="133"/>
  <c r="D55" i="133"/>
  <c r="D54" i="133"/>
  <c r="D48" i="50" s="1"/>
  <c r="D51" i="133"/>
  <c r="D47" i="133"/>
  <c r="D9" i="133"/>
  <c r="F13" i="45" s="1"/>
  <c r="D8" i="133"/>
  <c r="D8" i="50"/>
  <c r="B109" i="133"/>
  <c r="B95" i="50" s="1"/>
  <c r="B108" i="133"/>
  <c r="B94" i="50" s="1"/>
  <c r="E11" i="114"/>
  <c r="F39" i="136"/>
  <c r="H39" i="136"/>
  <c r="F38" i="136"/>
  <c r="H38" i="136"/>
  <c r="F37" i="136"/>
  <c r="F36" i="136"/>
  <c r="H36" i="136" s="1"/>
  <c r="F35" i="136"/>
  <c r="H35" i="136" s="1"/>
  <c r="E52" i="136"/>
  <c r="F52" i="136" s="1"/>
  <c r="H52" i="136"/>
  <c r="F53" i="136"/>
  <c r="H53" i="136"/>
  <c r="E51" i="136"/>
  <c r="F51" i="136"/>
  <c r="H51" i="136" s="1"/>
  <c r="E50" i="136"/>
  <c r="F47" i="136"/>
  <c r="H47" i="136"/>
  <c r="F46" i="136"/>
  <c r="H46" i="136"/>
  <c r="F43" i="136"/>
  <c r="H43" i="136"/>
  <c r="F42" i="136"/>
  <c r="H42" i="136" s="1"/>
  <c r="F41" i="136"/>
  <c r="H41" i="136"/>
  <c r="B103" i="133"/>
  <c r="B90" i="50" s="1"/>
  <c r="F21" i="45"/>
  <c r="H21" i="45"/>
  <c r="F20" i="45"/>
  <c r="H20" i="45" s="1"/>
  <c r="F19" i="45"/>
  <c r="H19" i="45"/>
  <c r="F8" i="72"/>
  <c r="F57" i="136"/>
  <c r="H57" i="136" s="1"/>
  <c r="F58" i="136"/>
  <c r="H58" i="136" s="1"/>
  <c r="F59" i="136"/>
  <c r="F60" i="136"/>
  <c r="H60" i="136"/>
  <c r="F61" i="136"/>
  <c r="E56" i="136"/>
  <c r="F56" i="136" s="1"/>
  <c r="H56" i="136" s="1"/>
  <c r="H54" i="136" s="1"/>
  <c r="E55" i="136"/>
  <c r="F55" i="136" s="1"/>
  <c r="H55" i="136" s="1"/>
  <c r="E30" i="128"/>
  <c r="F31" i="128"/>
  <c r="F13" i="136"/>
  <c r="H13" i="136"/>
  <c r="F10" i="136"/>
  <c r="H10" i="136" s="1"/>
  <c r="F11" i="136"/>
  <c r="H11" i="136" s="1"/>
  <c r="F14" i="136"/>
  <c r="G42" i="131"/>
  <c r="E36" i="131"/>
  <c r="G64" i="110"/>
  <c r="E58" i="110"/>
  <c r="G47" i="110"/>
  <c r="E41" i="110"/>
  <c r="E21" i="130"/>
  <c r="E21" i="131"/>
  <c r="E15" i="123"/>
  <c r="E15" i="110"/>
  <c r="E13" i="131"/>
  <c r="E13" i="130"/>
  <c r="E25" i="128"/>
  <c r="E24" i="128"/>
  <c r="F12" i="136"/>
  <c r="H12" i="136"/>
  <c r="D12" i="45"/>
  <c r="C12" i="45"/>
  <c r="B14" i="133"/>
  <c r="B51" i="133"/>
  <c r="C44" i="50"/>
  <c r="C17" i="129"/>
  <c r="D44" i="50"/>
  <c r="C50" i="133"/>
  <c r="B50" i="133"/>
  <c r="B44" i="50" s="1"/>
  <c r="F28" i="110"/>
  <c r="H28" i="110" s="1"/>
  <c r="F27" i="110"/>
  <c r="H27" i="110" s="1"/>
  <c r="F26" i="110"/>
  <c r="H26" i="110" s="1"/>
  <c r="F25" i="110"/>
  <c r="H25" i="110" s="1"/>
  <c r="B28" i="133"/>
  <c r="F39" i="130"/>
  <c r="H39" i="130" s="1"/>
  <c r="F38" i="130"/>
  <c r="H38" i="130" s="1"/>
  <c r="F37" i="130"/>
  <c r="H37" i="130" s="1"/>
  <c r="F36" i="130"/>
  <c r="H36" i="130" s="1"/>
  <c r="B40" i="133"/>
  <c r="B35" i="50"/>
  <c r="F50" i="131"/>
  <c r="H50" i="131"/>
  <c r="F49" i="131"/>
  <c r="H49" i="131"/>
  <c r="F48" i="131"/>
  <c r="H48" i="131"/>
  <c r="F47" i="131"/>
  <c r="H47" i="131"/>
  <c r="B34" i="50"/>
  <c r="B39" i="133"/>
  <c r="D17" i="132"/>
  <c r="D16" i="132"/>
  <c r="E16" i="132" s="1"/>
  <c r="D33" i="50" s="1"/>
  <c r="A1" i="136"/>
  <c r="H10" i="113"/>
  <c r="H9" i="113"/>
  <c r="H8" i="113"/>
  <c r="H7" i="113"/>
  <c r="H6" i="113"/>
  <c r="H11" i="113"/>
  <c r="D17" i="50"/>
  <c r="B13" i="50"/>
  <c r="H14" i="113"/>
  <c r="H12" i="113"/>
  <c r="H13" i="113"/>
  <c r="B94" i="133"/>
  <c r="B93" i="133"/>
  <c r="B92" i="133"/>
  <c r="B91" i="133"/>
  <c r="B84" i="133"/>
  <c r="B82" i="133"/>
  <c r="B85" i="133"/>
  <c r="B83" i="133"/>
  <c r="B34" i="133"/>
  <c r="B23" i="133"/>
  <c r="E16" i="113"/>
  <c r="D16" i="113"/>
  <c r="E15" i="113"/>
  <c r="D15" i="113"/>
  <c r="G14" i="113"/>
  <c r="F14" i="113"/>
  <c r="E13" i="113"/>
  <c r="D13" i="113"/>
  <c r="F13" i="113" s="1"/>
  <c r="E12" i="113"/>
  <c r="D12" i="113"/>
  <c r="E11" i="113"/>
  <c r="D11" i="113"/>
  <c r="D18" i="113" s="1"/>
  <c r="F14" i="114" s="1"/>
  <c r="E10" i="113"/>
  <c r="D10" i="113"/>
  <c r="D9" i="113"/>
  <c r="F9" i="113"/>
  <c r="F6" i="113"/>
  <c r="B41" i="133"/>
  <c r="B36" i="50" s="1"/>
  <c r="D25" i="132"/>
  <c r="E25" i="132" s="1"/>
  <c r="D23" i="132"/>
  <c r="E23" i="132"/>
  <c r="D21" i="132"/>
  <c r="E19" i="29"/>
  <c r="D100" i="50"/>
  <c r="D99" i="50"/>
  <c r="D98" i="50"/>
  <c r="D97" i="50"/>
  <c r="D96" i="50"/>
  <c r="D94" i="50"/>
  <c r="D95" i="50" s="1"/>
  <c r="D92" i="50"/>
  <c r="C99" i="50"/>
  <c r="C100" i="50"/>
  <c r="C98" i="50"/>
  <c r="C97" i="50"/>
  <c r="C96" i="50"/>
  <c r="B100" i="50"/>
  <c r="B99" i="50"/>
  <c r="B98" i="50"/>
  <c r="B97" i="50"/>
  <c r="B96" i="50"/>
  <c r="B93" i="50"/>
  <c r="B92" i="50"/>
  <c r="B91" i="50"/>
  <c r="B14" i="50"/>
  <c r="D110" i="133"/>
  <c r="D109" i="133"/>
  <c r="C114" i="133"/>
  <c r="C113" i="133"/>
  <c r="C112" i="133"/>
  <c r="B114" i="133"/>
  <c r="B113" i="133"/>
  <c r="B112" i="133"/>
  <c r="B111" i="133"/>
  <c r="B110" i="133"/>
  <c r="B107" i="133"/>
  <c r="B106" i="133"/>
  <c r="B105" i="133"/>
  <c r="B104" i="133"/>
  <c r="B102" i="133"/>
  <c r="B55" i="133"/>
  <c r="B49" i="50" s="1"/>
  <c r="C35" i="133"/>
  <c r="B24" i="133"/>
  <c r="B35" i="133" s="1"/>
  <c r="B48" i="133" s="1"/>
  <c r="B63" i="133" s="1"/>
  <c r="B16" i="133"/>
  <c r="B15" i="133"/>
  <c r="B12" i="133"/>
  <c r="A1" i="131"/>
  <c r="E46" i="33"/>
  <c r="G32" i="110"/>
  <c r="E12" i="109"/>
  <c r="H12" i="109" s="1"/>
  <c r="D11" i="109"/>
  <c r="H11" i="109" s="1"/>
  <c r="F19" i="110" s="1"/>
  <c r="H19" i="110" s="1"/>
  <c r="F76" i="123"/>
  <c r="F79" i="123" s="1"/>
  <c r="F72" i="123"/>
  <c r="D64" i="50"/>
  <c r="F64" i="123"/>
  <c r="F42" i="123"/>
  <c r="D15" i="125"/>
  <c r="F36" i="123"/>
  <c r="F21" i="123"/>
  <c r="D24" i="125"/>
  <c r="F59" i="123" s="1"/>
  <c r="D21" i="125"/>
  <c r="F53" i="123" s="1"/>
  <c r="D14" i="125"/>
  <c r="F26" i="123"/>
  <c r="F29" i="134"/>
  <c r="H29" i="134"/>
  <c r="H23" i="134"/>
  <c r="F23" i="134"/>
  <c r="F29" i="136"/>
  <c r="F26" i="136"/>
  <c r="H26" i="136"/>
  <c r="F70" i="136"/>
  <c r="H70" i="136" s="1"/>
  <c r="F69" i="136"/>
  <c r="H69" i="136"/>
  <c r="F68" i="136"/>
  <c r="H68" i="136" s="1"/>
  <c r="F66" i="136"/>
  <c r="H66" i="136"/>
  <c r="F65" i="136"/>
  <c r="H65" i="136" s="1"/>
  <c r="F64" i="136"/>
  <c r="H64" i="136"/>
  <c r="F63" i="136"/>
  <c r="H63" i="136" s="1"/>
  <c r="H61" i="136"/>
  <c r="H59" i="136"/>
  <c r="F50" i="136"/>
  <c r="H50" i="136" s="1"/>
  <c r="H48" i="136"/>
  <c r="F45" i="136"/>
  <c r="H45" i="136" s="1"/>
  <c r="F28" i="136"/>
  <c r="H28" i="136"/>
  <c r="F27" i="136"/>
  <c r="H27" i="136" s="1"/>
  <c r="F25" i="136"/>
  <c r="H25" i="136"/>
  <c r="F24" i="136"/>
  <c r="H24" i="136" s="1"/>
  <c r="F23" i="136"/>
  <c r="H23" i="136"/>
  <c r="F22" i="136"/>
  <c r="H22" i="136" s="1"/>
  <c r="F21" i="136"/>
  <c r="H21" i="136"/>
  <c r="F20" i="136"/>
  <c r="H20" i="136" s="1"/>
  <c r="H19" i="136" s="1"/>
  <c r="E28" i="130"/>
  <c r="E29" i="128"/>
  <c r="E28" i="128"/>
  <c r="H57" i="134"/>
  <c r="F57" i="134"/>
  <c r="H55" i="134"/>
  <c r="F55" i="134"/>
  <c r="H53" i="134"/>
  <c r="F53" i="134"/>
  <c r="H51" i="134"/>
  <c r="F51" i="134"/>
  <c r="H49" i="134"/>
  <c r="F49" i="134"/>
  <c r="H47" i="134"/>
  <c r="F47" i="134"/>
  <c r="H45" i="134"/>
  <c r="F45" i="134"/>
  <c r="H43" i="134"/>
  <c r="F43" i="134"/>
  <c r="H41" i="134"/>
  <c r="F41" i="134"/>
  <c r="H39" i="134"/>
  <c r="F39" i="134"/>
  <c r="H37" i="134"/>
  <c r="F37" i="134"/>
  <c r="H35" i="134"/>
  <c r="F35" i="134"/>
  <c r="H33" i="134"/>
  <c r="F33" i="134"/>
  <c r="H31" i="134"/>
  <c r="F31" i="134"/>
  <c r="H27" i="134"/>
  <c r="F27" i="134"/>
  <c r="H25" i="134"/>
  <c r="F25" i="134"/>
  <c r="H21" i="134"/>
  <c r="F21" i="134"/>
  <c r="H19" i="134"/>
  <c r="F19" i="134"/>
  <c r="H17" i="134"/>
  <c r="F17" i="134"/>
  <c r="H15" i="134"/>
  <c r="F15" i="134"/>
  <c r="H13" i="134"/>
  <c r="F13" i="134"/>
  <c r="H11" i="134"/>
  <c r="F11" i="134"/>
  <c r="H9" i="134"/>
  <c r="F9" i="134"/>
  <c r="H7" i="134"/>
  <c r="F7" i="134"/>
  <c r="H5" i="134"/>
  <c r="F5" i="134"/>
  <c r="D4" i="134"/>
  <c r="E14" i="128"/>
  <c r="H20" i="109"/>
  <c r="E14" i="109"/>
  <c r="H14" i="109" s="1"/>
  <c r="B99" i="133"/>
  <c r="B97" i="133"/>
  <c r="B89" i="133"/>
  <c r="B80" i="133"/>
  <c r="B76" i="133"/>
  <c r="B73" i="133"/>
  <c r="B72" i="133"/>
  <c r="B71" i="133"/>
  <c r="B70" i="133"/>
  <c r="B69" i="133"/>
  <c r="B67" i="133"/>
  <c r="B64" i="133"/>
  <c r="B62" i="133"/>
  <c r="B61" i="133"/>
  <c r="B58" i="133"/>
  <c r="B57" i="133"/>
  <c r="B56" i="133"/>
  <c r="B53" i="133"/>
  <c r="B49" i="133"/>
  <c r="B47" i="133"/>
  <c r="B46" i="133"/>
  <c r="B45" i="133"/>
  <c r="B42" i="133"/>
  <c r="B37" i="133"/>
  <c r="B36" i="133"/>
  <c r="B33" i="133"/>
  <c r="B32" i="133"/>
  <c r="B29" i="133"/>
  <c r="B27" i="133"/>
  <c r="B25" i="133"/>
  <c r="B22" i="133"/>
  <c r="B21" i="133"/>
  <c r="B17" i="133"/>
  <c r="C9" i="133"/>
  <c r="B9" i="133"/>
  <c r="A1" i="130"/>
  <c r="A2" i="115"/>
  <c r="A2" i="125"/>
  <c r="A2" i="132"/>
  <c r="A2" i="129"/>
  <c r="B6" i="132"/>
  <c r="B6" i="129"/>
  <c r="B37" i="50"/>
  <c r="B32" i="50"/>
  <c r="B31" i="50"/>
  <c r="B30" i="50"/>
  <c r="B21" i="50"/>
  <c r="B29" i="50"/>
  <c r="B28" i="50"/>
  <c r="B26" i="50"/>
  <c r="B24" i="50"/>
  <c r="B22" i="50"/>
  <c r="B20" i="50"/>
  <c r="B19" i="50"/>
  <c r="H9" i="109"/>
  <c r="H10" i="109"/>
  <c r="H13" i="109"/>
  <c r="F29" i="110"/>
  <c r="H16" i="109"/>
  <c r="F34" i="110" s="1"/>
  <c r="E22" i="109"/>
  <c r="H22" i="109"/>
  <c r="E8" i="109"/>
  <c r="E11" i="109"/>
  <c r="E34" i="130"/>
  <c r="E33" i="130"/>
  <c r="E32" i="130"/>
  <c r="E31" i="130"/>
  <c r="E28" i="131"/>
  <c r="E27" i="131"/>
  <c r="E26" i="131"/>
  <c r="E25" i="131"/>
  <c r="A4" i="30"/>
  <c r="G10" i="30"/>
  <c r="G11" i="30"/>
  <c r="F12" i="29" s="1"/>
  <c r="I12" i="29"/>
  <c r="J12" i="29" s="1"/>
  <c r="G12" i="30"/>
  <c r="F13" i="29" s="1"/>
  <c r="I13" i="29" s="1"/>
  <c r="J13" i="29" s="1"/>
  <c r="G13" i="30"/>
  <c r="F22" i="29"/>
  <c r="I22" i="29" s="1"/>
  <c r="J22" i="29" s="1"/>
  <c r="G14" i="30"/>
  <c r="F15" i="29"/>
  <c r="I15" i="29" s="1"/>
  <c r="J15" i="29" s="1"/>
  <c r="G33" i="123" s="1"/>
  <c r="G49" i="123"/>
  <c r="G15" i="30"/>
  <c r="G16" i="30"/>
  <c r="F19" i="29" s="1"/>
  <c r="I19" i="29" s="1"/>
  <c r="J19" i="29" s="1"/>
  <c r="G17" i="30"/>
  <c r="F21" i="29" s="1"/>
  <c r="I21" i="29"/>
  <c r="J21" i="29" s="1"/>
  <c r="G76" i="110" s="1"/>
  <c r="G18" i="30"/>
  <c r="F20" i="29" s="1"/>
  <c r="I20" i="29" s="1"/>
  <c r="J20" i="29" s="1"/>
  <c r="A4" i="29"/>
  <c r="F14" i="29"/>
  <c r="I14" i="29" s="1"/>
  <c r="J14" i="29" s="1"/>
  <c r="E18" i="29"/>
  <c r="A1" i="116"/>
  <c r="E12" i="116"/>
  <c r="A1" i="72"/>
  <c r="A1" i="127"/>
  <c r="E10" i="127"/>
  <c r="E11" i="127"/>
  <c r="E12" i="127"/>
  <c r="E13" i="127"/>
  <c r="E17" i="127"/>
  <c r="E18" i="127"/>
  <c r="G18" i="127"/>
  <c r="E19" i="127"/>
  <c r="E20" i="127"/>
  <c r="E21" i="127"/>
  <c r="E22" i="127"/>
  <c r="E23" i="127"/>
  <c r="E30" i="127"/>
  <c r="E31" i="127"/>
  <c r="E32" i="127"/>
  <c r="G32" i="127"/>
  <c r="G43" i="127" s="1"/>
  <c r="E33" i="127"/>
  <c r="G33" i="127"/>
  <c r="G44" i="127"/>
  <c r="E34" i="127"/>
  <c r="E36" i="127"/>
  <c r="G38" i="127"/>
  <c r="E41" i="127"/>
  <c r="E42" i="127"/>
  <c r="G42" i="127"/>
  <c r="E43" i="127"/>
  <c r="E44" i="127"/>
  <c r="E45" i="127"/>
  <c r="E46" i="127"/>
  <c r="E47" i="127"/>
  <c r="A1" i="33"/>
  <c r="E10" i="33"/>
  <c r="E11" i="33"/>
  <c r="E12" i="33"/>
  <c r="E13" i="33"/>
  <c r="E17" i="33"/>
  <c r="E18" i="33"/>
  <c r="G18" i="33"/>
  <c r="E19" i="33"/>
  <c r="E20" i="33"/>
  <c r="E21" i="33"/>
  <c r="G21" i="33"/>
  <c r="E22" i="33"/>
  <c r="E23" i="33"/>
  <c r="E30" i="33"/>
  <c r="E31" i="33"/>
  <c r="F31" i="33"/>
  <c r="H31" i="33" s="1"/>
  <c r="E32" i="33"/>
  <c r="G32" i="33"/>
  <c r="G43" i="33"/>
  <c r="E33" i="33"/>
  <c r="G33" i="33"/>
  <c r="G44" i="33"/>
  <c r="E34" i="33"/>
  <c r="E36" i="33"/>
  <c r="G38" i="33"/>
  <c r="E41" i="33"/>
  <c r="E42" i="33"/>
  <c r="G42" i="33"/>
  <c r="E43" i="33"/>
  <c r="E44" i="33"/>
  <c r="E45" i="33"/>
  <c r="E47" i="33"/>
  <c r="E49" i="33"/>
  <c r="E50" i="33"/>
  <c r="G50" i="33"/>
  <c r="A1" i="114"/>
  <c r="E19" i="114"/>
  <c r="A1" i="123"/>
  <c r="G28" i="123"/>
  <c r="E33" i="123"/>
  <c r="F33" i="123"/>
  <c r="G44" i="123"/>
  <c r="G55" i="123"/>
  <c r="E49" i="123"/>
  <c r="E62" i="123"/>
  <c r="A1" i="110"/>
  <c r="E71" i="110"/>
  <c r="A2" i="128"/>
  <c r="A2" i="45"/>
  <c r="C49" i="20"/>
  <c r="C59" i="20"/>
  <c r="E7" i="115"/>
  <c r="A2" i="95"/>
  <c r="D8" i="95"/>
  <c r="A2" i="94"/>
  <c r="L8" i="94"/>
  <c r="F29" i="33"/>
  <c r="A2" i="113"/>
  <c r="G6" i="113"/>
  <c r="F7" i="113"/>
  <c r="G7" i="113"/>
  <c r="F8" i="113"/>
  <c r="G8" i="113"/>
  <c r="F10" i="123"/>
  <c r="F14" i="123"/>
  <c r="F17" i="123"/>
  <c r="A2" i="109"/>
  <c r="B9" i="50"/>
  <c r="C9" i="50"/>
  <c r="B15" i="50"/>
  <c r="B16" i="50"/>
  <c r="B40" i="50"/>
  <c r="B41" i="50"/>
  <c r="B42" i="50"/>
  <c r="B43" i="50"/>
  <c r="B45" i="50"/>
  <c r="B47" i="50"/>
  <c r="B50" i="50"/>
  <c r="B51" i="50"/>
  <c r="B52" i="50"/>
  <c r="B54" i="50"/>
  <c r="B55" i="50"/>
  <c r="B56" i="50"/>
  <c r="B59" i="50"/>
  <c r="B61" i="50"/>
  <c r="B62" i="50"/>
  <c r="B63" i="50"/>
  <c r="B64" i="50"/>
  <c r="B65" i="50"/>
  <c r="B67" i="50"/>
  <c r="B71" i="50"/>
  <c r="B79" i="50"/>
  <c r="B82" i="50"/>
  <c r="B86" i="50"/>
  <c r="B87" i="50"/>
  <c r="F74" i="123"/>
  <c r="H74" i="123" s="1"/>
  <c r="F75" i="123"/>
  <c r="F73" i="123"/>
  <c r="H73" i="123" s="1"/>
  <c r="H17" i="109"/>
  <c r="F45" i="110"/>
  <c r="H21" i="109"/>
  <c r="F73" i="110" s="1"/>
  <c r="F12" i="123"/>
  <c r="H12" i="123" s="1"/>
  <c r="F22" i="123"/>
  <c r="H22" i="123"/>
  <c r="F24" i="123"/>
  <c r="D57" i="50"/>
  <c r="F31" i="123"/>
  <c r="H31" i="123"/>
  <c r="D65" i="50"/>
  <c r="F78" i="123"/>
  <c r="H78" i="123" s="1"/>
  <c r="F11" i="123"/>
  <c r="H11" i="123"/>
  <c r="H10" i="123" s="1"/>
  <c r="D54" i="50"/>
  <c r="F13" i="123"/>
  <c r="H13" i="123"/>
  <c r="F29" i="131"/>
  <c r="F70" i="123"/>
  <c r="H70" i="123"/>
  <c r="D63" i="50"/>
  <c r="F67" i="123"/>
  <c r="H67" i="123"/>
  <c r="F25" i="123"/>
  <c r="H25" i="123" s="1"/>
  <c r="F23" i="123"/>
  <c r="H23" i="123"/>
  <c r="D55" i="50"/>
  <c r="F77" i="123"/>
  <c r="H77" i="123" s="1"/>
  <c r="F10" i="72"/>
  <c r="H10" i="72"/>
  <c r="F11" i="72"/>
  <c r="H11" i="72" s="1"/>
  <c r="F9" i="72"/>
  <c r="H9" i="72"/>
  <c r="F12" i="72"/>
  <c r="H12" i="72" s="1"/>
  <c r="D86" i="50"/>
  <c r="F69" i="123"/>
  <c r="H69" i="123" s="1"/>
  <c r="F68" i="123"/>
  <c r="H68" i="123"/>
  <c r="F66" i="123"/>
  <c r="H66" i="123" s="1"/>
  <c r="F71" i="123"/>
  <c r="H71" i="123" s="1"/>
  <c r="F65" i="123"/>
  <c r="H65" i="123" s="1"/>
  <c r="F38" i="123"/>
  <c r="H38" i="123" s="1"/>
  <c r="F28" i="123"/>
  <c r="F30" i="123"/>
  <c r="D93" i="50"/>
  <c r="F38" i="131"/>
  <c r="H38" i="131" s="1"/>
  <c r="F30" i="131"/>
  <c r="H30" i="131" s="1"/>
  <c r="D25" i="50"/>
  <c r="D56" i="50"/>
  <c r="D17" i="129"/>
  <c r="E17" i="129" s="1"/>
  <c r="F15" i="123"/>
  <c r="H15" i="123"/>
  <c r="H14" i="123" s="1"/>
  <c r="F16" i="123"/>
  <c r="H16" i="123" s="1"/>
  <c r="F10" i="29"/>
  <c r="I10" i="29" s="1"/>
  <c r="J10" i="29" s="1"/>
  <c r="G46" i="33" s="1"/>
  <c r="F11" i="29"/>
  <c r="I11" i="29" s="1"/>
  <c r="J11" i="29" s="1"/>
  <c r="G35" i="127" s="1"/>
  <c r="F17" i="136"/>
  <c r="D13" i="50"/>
  <c r="D36" i="50"/>
  <c r="D90" i="50"/>
  <c r="F12" i="45"/>
  <c r="H12" i="45"/>
  <c r="D45" i="50"/>
  <c r="F68" i="110"/>
  <c r="G10" i="113"/>
  <c r="F10" i="113"/>
  <c r="G9" i="113"/>
  <c r="F39" i="128"/>
  <c r="H39" i="128"/>
  <c r="F36" i="128"/>
  <c r="H36" i="128"/>
  <c r="F37" i="128"/>
  <c r="H37" i="128"/>
  <c r="F33" i="128"/>
  <c r="H33" i="128"/>
  <c r="F35" i="128"/>
  <c r="H35" i="128"/>
  <c r="F32" i="128"/>
  <c r="H32" i="128"/>
  <c r="F34" i="128"/>
  <c r="H34" i="128"/>
  <c r="F38" i="128"/>
  <c r="H38" i="128" s="1"/>
  <c r="F40" i="110"/>
  <c r="H40" i="110" s="1"/>
  <c r="E9" i="115"/>
  <c r="E11" i="115" s="1"/>
  <c r="E10" i="115"/>
  <c r="F8" i="116"/>
  <c r="D91" i="50"/>
  <c r="D7" i="129"/>
  <c r="E7" i="129" s="1"/>
  <c r="F12" i="130" s="1"/>
  <c r="F13" i="130" s="1"/>
  <c r="H13" i="130" s="1"/>
  <c r="H12" i="130" s="1"/>
  <c r="F60" i="110"/>
  <c r="H60" i="110" s="1"/>
  <c r="F14" i="45"/>
  <c r="H14" i="45" s="1"/>
  <c r="D9" i="50"/>
  <c r="D18" i="129"/>
  <c r="E18" i="129" s="1"/>
  <c r="F30" i="130" s="1"/>
  <c r="D11" i="132"/>
  <c r="D12" i="132" s="1"/>
  <c r="E12" i="132" s="1"/>
  <c r="F45" i="123"/>
  <c r="H45" i="123" s="1"/>
  <c r="D14" i="132"/>
  <c r="E14" i="132" s="1"/>
  <c r="F24" i="131" s="1"/>
  <c r="F54" i="110"/>
  <c r="H54" i="110" s="1"/>
  <c r="F58" i="110"/>
  <c r="F10" i="116"/>
  <c r="H10" i="116"/>
  <c r="F9" i="116"/>
  <c r="H9" i="116"/>
  <c r="F11" i="116"/>
  <c r="H11" i="116"/>
  <c r="F13" i="116"/>
  <c r="H13" i="116"/>
  <c r="F14" i="116"/>
  <c r="H14" i="116"/>
  <c r="F16" i="128"/>
  <c r="H16" i="128" s="1"/>
  <c r="H15" i="128" s="1"/>
  <c r="F17" i="128"/>
  <c r="H17" i="128" s="1"/>
  <c r="E17" i="132"/>
  <c r="D34" i="50" s="1"/>
  <c r="F40" i="131"/>
  <c r="F41" i="131" s="1"/>
  <c r="H41" i="131" s="1"/>
  <c r="G13" i="113"/>
  <c r="E18" i="113"/>
  <c r="F15" i="114" s="1"/>
  <c r="H15" i="114" s="1"/>
  <c r="H44" i="136"/>
  <c r="F31" i="110"/>
  <c r="H31" i="110" s="1"/>
  <c r="F32" i="110"/>
  <c r="H32" i="110" s="1"/>
  <c r="F34" i="123"/>
  <c r="H34" i="123"/>
  <c r="F35" i="123"/>
  <c r="H35" i="123" s="1"/>
  <c r="F27" i="123"/>
  <c r="H27" i="123"/>
  <c r="D58" i="50"/>
  <c r="F29" i="123"/>
  <c r="H29" i="123"/>
  <c r="F32" i="123"/>
  <c r="H32" i="123"/>
  <c r="F76" i="110"/>
  <c r="H76" i="110" s="1"/>
  <c r="D42" i="50"/>
  <c r="F16" i="110"/>
  <c r="D60" i="50"/>
  <c r="F49" i="123"/>
  <c r="F17" i="113"/>
  <c r="M7" i="94"/>
  <c r="M8" i="94" s="1"/>
  <c r="F37" i="33" s="1"/>
  <c r="D75" i="50" s="1"/>
  <c r="O8" i="94"/>
  <c r="J7" i="94"/>
  <c r="J8" i="94" s="1"/>
  <c r="F26" i="33" s="1"/>
  <c r="D26" i="132"/>
  <c r="G17" i="113"/>
  <c r="F62" i="110"/>
  <c r="F57" i="110"/>
  <c r="H57" i="110" s="1"/>
  <c r="F16" i="29"/>
  <c r="I16" i="29" s="1"/>
  <c r="J16" i="29" s="1"/>
  <c r="F17" i="29"/>
  <c r="I17" i="29"/>
  <c r="J17" i="29"/>
  <c r="G33" i="131" s="1"/>
  <c r="D49" i="50"/>
  <c r="F9" i="33"/>
  <c r="F14" i="33" s="1"/>
  <c r="H14" i="33" s="1"/>
  <c r="F20" i="123"/>
  <c r="F19" i="123"/>
  <c r="H19" i="123"/>
  <c r="F18" i="123"/>
  <c r="H18" i="123" s="1"/>
  <c r="D24" i="132"/>
  <c r="E24" i="132" s="1"/>
  <c r="F18" i="110"/>
  <c r="H18" i="110" s="1"/>
  <c r="H16" i="110" s="1"/>
  <c r="F17" i="110"/>
  <c r="H17" i="110"/>
  <c r="F42" i="131"/>
  <c r="H42" i="131" s="1"/>
  <c r="F43" i="131"/>
  <c r="H43" i="131" s="1"/>
  <c r="E26" i="132"/>
  <c r="D76" i="50"/>
  <c r="F40" i="33"/>
  <c r="F45" i="33" s="1"/>
  <c r="H45" i="33" s="1"/>
  <c r="F67" i="110"/>
  <c r="H67" i="110" s="1"/>
  <c r="F66" i="110"/>
  <c r="F63" i="110"/>
  <c r="H63" i="110"/>
  <c r="F65" i="110"/>
  <c r="H65" i="110" s="1"/>
  <c r="F64" i="110"/>
  <c r="H64" i="110"/>
  <c r="G46" i="127"/>
  <c r="G75" i="123"/>
  <c r="H75" i="123" s="1"/>
  <c r="H72" i="123" s="1"/>
  <c r="G16" i="114"/>
  <c r="G49" i="110"/>
  <c r="G66" i="110" s="1"/>
  <c r="H66" i="110" s="1"/>
  <c r="H62" i="110" s="1"/>
  <c r="G26" i="128"/>
  <c r="G79" i="123"/>
  <c r="H79" i="123" s="1"/>
  <c r="H76" i="123" s="1"/>
  <c r="G60" i="131"/>
  <c r="G43" i="130"/>
  <c r="G21" i="114"/>
  <c r="G80" i="110"/>
  <c r="G23" i="110"/>
  <c r="G20" i="123"/>
  <c r="G41" i="110"/>
  <c r="G58" i="110" s="1"/>
  <c r="G36" i="131"/>
  <c r="G28" i="130"/>
  <c r="G35" i="33"/>
  <c r="G14" i="127"/>
  <c r="H49" i="123"/>
  <c r="F18" i="29"/>
  <c r="I18" i="29" s="1"/>
  <c r="J18" i="29" s="1"/>
  <c r="G22" i="131" s="1"/>
  <c r="H67" i="136"/>
  <c r="H62" i="136"/>
  <c r="H64" i="123"/>
  <c r="H24" i="110"/>
  <c r="H46" i="131"/>
  <c r="I16" i="128"/>
  <c r="H18" i="45"/>
  <c r="D72" i="50"/>
  <c r="F16" i="33"/>
  <c r="F27" i="33"/>
  <c r="H27" i="33" s="1"/>
  <c r="F32" i="33"/>
  <c r="H32" i="33" s="1"/>
  <c r="F35" i="33"/>
  <c r="H35" i="33" s="1"/>
  <c r="F34" i="33"/>
  <c r="H34" i="33" s="1"/>
  <c r="F36" i="33"/>
  <c r="H36" i="33" s="1"/>
  <c r="D74" i="50"/>
  <c r="F30" i="33"/>
  <c r="H30" i="33"/>
  <c r="F33" i="33"/>
  <c r="H33" i="33" s="1"/>
  <c r="F48" i="33"/>
  <c r="D77" i="50"/>
  <c r="F44" i="33"/>
  <c r="H44" i="33" s="1"/>
  <c r="F46" i="33"/>
  <c r="H46" i="33" s="1"/>
  <c r="F41" i="33"/>
  <c r="H41" i="33" s="1"/>
  <c r="F10" i="33"/>
  <c r="H10" i="33" s="1"/>
  <c r="F13" i="33"/>
  <c r="H13" i="33" s="1"/>
  <c r="F47" i="33"/>
  <c r="H47" i="33" s="1"/>
  <c r="F43" i="33"/>
  <c r="H43" i="33" s="1"/>
  <c r="F11" i="33"/>
  <c r="H11" i="33" s="1"/>
  <c r="F15" i="33"/>
  <c r="H15" i="33" s="1"/>
  <c r="F25" i="33"/>
  <c r="H25" i="33" s="1"/>
  <c r="F21" i="33"/>
  <c r="H21" i="33" s="1"/>
  <c r="F24" i="33"/>
  <c r="F23" i="33"/>
  <c r="F19" i="33"/>
  <c r="H19" i="33" s="1"/>
  <c r="F17" i="33"/>
  <c r="H17" i="33" s="1"/>
  <c r="F22" i="33"/>
  <c r="H22" i="33" s="1"/>
  <c r="F18" i="33"/>
  <c r="H18" i="33" s="1"/>
  <c r="F20" i="33"/>
  <c r="H20" i="33"/>
  <c r="F23" i="128"/>
  <c r="F24" i="128" s="1"/>
  <c r="H24" i="128" s="1"/>
  <c r="F12" i="128"/>
  <c r="D12" i="50"/>
  <c r="F14" i="128"/>
  <c r="H14" i="128" s="1"/>
  <c r="F13" i="128"/>
  <c r="H13" i="128" s="1"/>
  <c r="F18" i="128"/>
  <c r="D15" i="133"/>
  <c r="G21" i="131"/>
  <c r="G21" i="130"/>
  <c r="G14" i="33"/>
  <c r="G51" i="33"/>
  <c r="G38" i="110"/>
  <c r="G55" i="110" s="1"/>
  <c r="G30" i="123"/>
  <c r="G27" i="130"/>
  <c r="G40" i="123"/>
  <c r="G44" i="131"/>
  <c r="F49" i="110"/>
  <c r="H49" i="110" s="1"/>
  <c r="H45" i="110" s="1"/>
  <c r="F46" i="110"/>
  <c r="H46" i="110" s="1"/>
  <c r="F50" i="110"/>
  <c r="H50" i="110" s="1"/>
  <c r="F48" i="110"/>
  <c r="H48" i="110" s="1"/>
  <c r="D47" i="50"/>
  <c r="F47" i="110"/>
  <c r="H47" i="110"/>
  <c r="D15" i="50"/>
  <c r="F28" i="33"/>
  <c r="H28" i="33"/>
  <c r="D73" i="50"/>
  <c r="F39" i="33"/>
  <c r="H39" i="33"/>
  <c r="F38" i="33"/>
  <c r="H38" i="33" s="1"/>
  <c r="H14" i="114"/>
  <c r="F10" i="114"/>
  <c r="H20" i="123"/>
  <c r="H17" i="123" s="1"/>
  <c r="H33" i="123"/>
  <c r="F58" i="123"/>
  <c r="H58" i="123" s="1"/>
  <c r="F57" i="123"/>
  <c r="F56" i="123"/>
  <c r="H56" i="123"/>
  <c r="D61" i="50"/>
  <c r="F55" i="123"/>
  <c r="H55" i="123" s="1"/>
  <c r="F54" i="123"/>
  <c r="H54" i="123" s="1"/>
  <c r="F51" i="123"/>
  <c r="H51" i="123" s="1"/>
  <c r="F52" i="123"/>
  <c r="H52" i="123" s="1"/>
  <c r="F43" i="123"/>
  <c r="H43" i="123" s="1"/>
  <c r="H42" i="123" s="1"/>
  <c r="F50" i="123"/>
  <c r="H50" i="123" s="1"/>
  <c r="F47" i="123"/>
  <c r="H47" i="123" s="1"/>
  <c r="F44" i="123"/>
  <c r="H44" i="123" s="1"/>
  <c r="F46" i="123"/>
  <c r="F48" i="123"/>
  <c r="H48" i="123"/>
  <c r="H8" i="72"/>
  <c r="H13" i="72" s="1"/>
  <c r="G23" i="33"/>
  <c r="H23" i="33"/>
  <c r="G23" i="127"/>
  <c r="H4" i="134"/>
  <c r="H65" i="134"/>
  <c r="F4" i="134"/>
  <c r="F65" i="134" s="1"/>
  <c r="F12" i="113"/>
  <c r="G12" i="113"/>
  <c r="H40" i="136"/>
  <c r="D50" i="50"/>
  <c r="F72" i="110"/>
  <c r="H72" i="110" s="1"/>
  <c r="F69" i="110"/>
  <c r="H69" i="110"/>
  <c r="H68" i="110" s="1"/>
  <c r="F71" i="110"/>
  <c r="H71" i="110" s="1"/>
  <c r="F70" i="110"/>
  <c r="H70" i="110" s="1"/>
  <c r="F16" i="127"/>
  <c r="D80" i="50"/>
  <c r="F39" i="110"/>
  <c r="H39" i="110" s="1"/>
  <c r="F41" i="110"/>
  <c r="H41" i="110" s="1"/>
  <c r="F35" i="110"/>
  <c r="H35" i="110" s="1"/>
  <c r="F37" i="110"/>
  <c r="H37" i="110" s="1"/>
  <c r="F42" i="110"/>
  <c r="H42" i="110" s="1"/>
  <c r="F43" i="110"/>
  <c r="H43" i="110" s="1"/>
  <c r="F36" i="110"/>
  <c r="H36" i="110" s="1"/>
  <c r="D46" i="50"/>
  <c r="F44" i="110"/>
  <c r="H44" i="110"/>
  <c r="D41" i="50"/>
  <c r="F14" i="110"/>
  <c r="F15" i="110" s="1"/>
  <c r="H15" i="110" s="1"/>
  <c r="H14" i="110" s="1"/>
  <c r="G11" i="113"/>
  <c r="F11" i="113"/>
  <c r="F45" i="131"/>
  <c r="H45" i="131"/>
  <c r="F12" i="116"/>
  <c r="D88" i="50"/>
  <c r="F38" i="110"/>
  <c r="H8" i="109"/>
  <c r="F20" i="127"/>
  <c r="H20" i="127"/>
  <c r="F17" i="127"/>
  <c r="H17" i="127" s="1"/>
  <c r="F61" i="123"/>
  <c r="H61" i="123"/>
  <c r="F62" i="123"/>
  <c r="H62" i="123" s="1"/>
  <c r="D62" i="50"/>
  <c r="D43" i="50"/>
  <c r="F20" i="110"/>
  <c r="E11" i="129"/>
  <c r="F18" i="130"/>
  <c r="F23" i="130" s="1"/>
  <c r="H23" i="130" s="1"/>
  <c r="D19" i="129"/>
  <c r="E19" i="129" s="1"/>
  <c r="F40" i="130" s="1"/>
  <c r="F10" i="110"/>
  <c r="D40" i="50"/>
  <c r="F24" i="127"/>
  <c r="F21" i="127"/>
  <c r="H21" i="127"/>
  <c r="F29" i="127"/>
  <c r="F9" i="127"/>
  <c r="F25" i="127"/>
  <c r="H25" i="127"/>
  <c r="F19" i="127"/>
  <c r="H19" i="127" s="1"/>
  <c r="F18" i="127"/>
  <c r="H18" i="127" s="1"/>
  <c r="F26" i="127"/>
  <c r="F23" i="127"/>
  <c r="H23" i="127"/>
  <c r="H38" i="110"/>
  <c r="G57" i="123"/>
  <c r="D84" i="50"/>
  <c r="D81" i="50"/>
  <c r="F21" i="110"/>
  <c r="H21" i="110"/>
  <c r="F23" i="110"/>
  <c r="H23" i="110" s="1"/>
  <c r="H20" i="110" s="1"/>
  <c r="F22" i="110"/>
  <c r="H22" i="110"/>
  <c r="F22" i="127"/>
  <c r="H22" i="127" s="1"/>
  <c r="H57" i="123"/>
  <c r="H37" i="33"/>
  <c r="G46" i="123"/>
  <c r="H46" i="123" s="1"/>
  <c r="H30" i="123"/>
  <c r="F12" i="110"/>
  <c r="H12" i="110"/>
  <c r="F11" i="110"/>
  <c r="H11" i="110" s="1"/>
  <c r="F13" i="110"/>
  <c r="H13" i="110"/>
  <c r="F28" i="127"/>
  <c r="H28" i="127" s="1"/>
  <c r="F37" i="127"/>
  <c r="F27" i="127"/>
  <c r="H27" i="127"/>
  <c r="H26" i="127" s="1"/>
  <c r="F15" i="127"/>
  <c r="H15" i="127"/>
  <c r="F12" i="127"/>
  <c r="H12" i="127"/>
  <c r="F10" i="127"/>
  <c r="H10" i="127" s="1"/>
  <c r="F11" i="127"/>
  <c r="H11" i="127"/>
  <c r="D79" i="50"/>
  <c r="F14" i="127"/>
  <c r="H14" i="127"/>
  <c r="F13" i="127"/>
  <c r="H13" i="127" s="1"/>
  <c r="F33" i="127"/>
  <c r="H33" i="127"/>
  <c r="F36" i="127"/>
  <c r="H36" i="127"/>
  <c r="F40" i="127"/>
  <c r="F45" i="127" s="1"/>
  <c r="H45" i="127" s="1"/>
  <c r="D82" i="50"/>
  <c r="F32" i="127"/>
  <c r="H32" i="127"/>
  <c r="F34" i="127"/>
  <c r="H34" i="127" s="1"/>
  <c r="F35" i="127"/>
  <c r="H35" i="127"/>
  <c r="F31" i="127"/>
  <c r="H31" i="127" s="1"/>
  <c r="F30" i="127"/>
  <c r="H30" i="127"/>
  <c r="H9" i="127"/>
  <c r="D83" i="50"/>
  <c r="F38" i="127"/>
  <c r="H38" i="127"/>
  <c r="F39" i="127"/>
  <c r="H39" i="127" s="1"/>
  <c r="H37" i="127" s="1"/>
  <c r="E8" i="129"/>
  <c r="F14" i="130" s="1"/>
  <c r="D14" i="50"/>
  <c r="F20" i="128"/>
  <c r="H20" i="128" s="1"/>
  <c r="F21" i="128"/>
  <c r="H21" i="128"/>
  <c r="H18" i="128" s="1"/>
  <c r="H59" i="131"/>
  <c r="F22" i="130"/>
  <c r="H22" i="130" s="1"/>
  <c r="H12" i="128"/>
  <c r="H9" i="130"/>
  <c r="D19" i="50"/>
  <c r="F13" i="131"/>
  <c r="H13" i="131" s="1"/>
  <c r="H12" i="131" s="1"/>
  <c r="F15" i="131"/>
  <c r="H15" i="131" s="1"/>
  <c r="D30" i="50"/>
  <c r="F16" i="131"/>
  <c r="H16" i="131" s="1"/>
  <c r="F20" i="130"/>
  <c r="H20" i="130" s="1"/>
  <c r="F58" i="131"/>
  <c r="H58" i="131"/>
  <c r="D20" i="50"/>
  <c r="D9" i="132"/>
  <c r="E9" i="132" s="1"/>
  <c r="F17" i="131" s="1"/>
  <c r="H17" i="131" s="1"/>
  <c r="F26" i="128"/>
  <c r="D13" i="129"/>
  <c r="E13" i="129" s="1"/>
  <c r="D15" i="129"/>
  <c r="E15" i="129" s="1"/>
  <c r="D14" i="129"/>
  <c r="E14" i="129" s="1"/>
  <c r="D22" i="50"/>
  <c r="F19" i="130"/>
  <c r="H19" i="130" s="1"/>
  <c r="F60" i="131"/>
  <c r="H60" i="131" s="1"/>
  <c r="H57" i="131" s="1"/>
  <c r="E11" i="132"/>
  <c r="F18" i="131" s="1"/>
  <c r="D13" i="132"/>
  <c r="E13" i="132" s="1"/>
  <c r="F11" i="130"/>
  <c r="H11" i="130" s="1"/>
  <c r="H8" i="130" s="1"/>
  <c r="F10" i="130"/>
  <c r="H10" i="130"/>
  <c r="F21" i="130"/>
  <c r="D37" i="50"/>
  <c r="D12" i="129"/>
  <c r="E12" i="129" s="1"/>
  <c r="F25" i="128"/>
  <c r="H25" i="128" s="1"/>
  <c r="D9" i="129"/>
  <c r="E9" i="129"/>
  <c r="F17" i="130" s="1"/>
  <c r="H17" i="130" s="1"/>
  <c r="H21" i="130"/>
  <c r="D10" i="129"/>
  <c r="E10" i="129" s="1"/>
  <c r="F27" i="128"/>
  <c r="F28" i="128" s="1"/>
  <c r="H28" i="128" s="1"/>
  <c r="H26" i="128"/>
  <c r="F29" i="128"/>
  <c r="H29" i="128" s="1"/>
  <c r="F30" i="128"/>
  <c r="H30" i="128" s="1"/>
  <c r="D16" i="50"/>
  <c r="F34" i="130" l="1"/>
  <c r="H34" i="130" s="1"/>
  <c r="F32" i="130"/>
  <c r="H32" i="130" s="1"/>
  <c r="F33" i="130"/>
  <c r="H33" i="130" s="1"/>
  <c r="H30" i="130" s="1"/>
  <c r="F31" i="130"/>
  <c r="H31" i="130" s="1"/>
  <c r="D24" i="50"/>
  <c r="D26" i="50"/>
  <c r="F41" i="130"/>
  <c r="H41" i="130" s="1"/>
  <c r="F43" i="130"/>
  <c r="H43" i="130" s="1"/>
  <c r="F42" i="130"/>
  <c r="H42" i="130" s="1"/>
  <c r="F26" i="131"/>
  <c r="H26" i="131" s="1"/>
  <c r="D32" i="50"/>
  <c r="F25" i="131"/>
  <c r="H25" i="131" s="1"/>
  <c r="F27" i="131"/>
  <c r="H27" i="131" s="1"/>
  <c r="H24" i="131" s="1"/>
  <c r="F26" i="130"/>
  <c r="H26" i="130" s="1"/>
  <c r="F25" i="130"/>
  <c r="H25" i="130" s="1"/>
  <c r="F28" i="130"/>
  <c r="H28" i="130" s="1"/>
  <c r="F27" i="130"/>
  <c r="H27" i="130" s="1"/>
  <c r="F29" i="130"/>
  <c r="H29" i="130" s="1"/>
  <c r="F9" i="131"/>
  <c r="H9" i="131" s="1"/>
  <c r="F10" i="131"/>
  <c r="H10" i="131" s="1"/>
  <c r="F11" i="131"/>
  <c r="H11" i="131" s="1"/>
  <c r="D28" i="50"/>
  <c r="H18" i="130"/>
  <c r="H23" i="128"/>
  <c r="H27" i="128"/>
  <c r="F23" i="131"/>
  <c r="H23" i="131" s="1"/>
  <c r="F20" i="131"/>
  <c r="H20" i="131" s="1"/>
  <c r="F22" i="131"/>
  <c r="H22" i="131" s="1"/>
  <c r="F21" i="131"/>
  <c r="F19" i="131"/>
  <c r="H19" i="131" s="1"/>
  <c r="D31" i="50"/>
  <c r="F16" i="130"/>
  <c r="H16" i="130" s="1"/>
  <c r="D21" i="50"/>
  <c r="F15" i="130"/>
  <c r="H15" i="130" s="1"/>
  <c r="H40" i="130"/>
  <c r="H14" i="131"/>
  <c r="H29" i="127"/>
  <c r="F43" i="127"/>
  <c r="H43" i="127" s="1"/>
  <c r="F46" i="127"/>
  <c r="H46" i="127" s="1"/>
  <c r="F42" i="127"/>
  <c r="H42" i="127" s="1"/>
  <c r="H34" i="110"/>
  <c r="G18" i="113"/>
  <c r="D67" i="50" s="1"/>
  <c r="H15" i="72"/>
  <c r="H14" i="72"/>
  <c r="F13" i="114"/>
  <c r="H13" i="114" s="1"/>
  <c r="F12" i="114"/>
  <c r="H12" i="114" s="1"/>
  <c r="F16" i="114"/>
  <c r="H16" i="114" s="1"/>
  <c r="F11" i="114"/>
  <c r="H11" i="114" s="1"/>
  <c r="F19" i="128"/>
  <c r="H19" i="128" s="1"/>
  <c r="F22" i="128"/>
  <c r="H22" i="128" s="1"/>
  <c r="F51" i="33"/>
  <c r="H51" i="33" s="1"/>
  <c r="F50" i="33"/>
  <c r="H50" i="33" s="1"/>
  <c r="F49" i="33"/>
  <c r="H49" i="33" s="1"/>
  <c r="H58" i="110"/>
  <c r="G24" i="127"/>
  <c r="G24" i="33"/>
  <c r="H24" i="33" s="1"/>
  <c r="H16" i="33" s="1"/>
  <c r="G37" i="136"/>
  <c r="H37" i="136" s="1"/>
  <c r="H34" i="136" s="1"/>
  <c r="H10" i="110"/>
  <c r="H24" i="127"/>
  <c r="H16" i="127" s="1"/>
  <c r="H26" i="33"/>
  <c r="G12" i="116"/>
  <c r="H12" i="116" s="1"/>
  <c r="H8" i="116" s="1"/>
  <c r="H15" i="116" s="1"/>
  <c r="H16" i="116" s="1"/>
  <c r="H17" i="116" s="1"/>
  <c r="H18" i="116" s="1"/>
  <c r="H19" i="116" s="1"/>
  <c r="E4" i="116" s="1"/>
  <c r="D59" i="20" s="1"/>
  <c r="H59" i="20" s="1"/>
  <c r="G17" i="136"/>
  <c r="H17" i="136" s="1"/>
  <c r="G24" i="123"/>
  <c r="H24" i="123" s="1"/>
  <c r="H21" i="123" s="1"/>
  <c r="F47" i="127"/>
  <c r="H47" i="127" s="1"/>
  <c r="F44" i="127"/>
  <c r="H44" i="127" s="1"/>
  <c r="F41" i="127"/>
  <c r="H41" i="127" s="1"/>
  <c r="H53" i="123"/>
  <c r="H29" i="33"/>
  <c r="H31" i="128"/>
  <c r="H40" i="128" s="1"/>
  <c r="F39" i="131"/>
  <c r="H39" i="131" s="1"/>
  <c r="F37" i="131"/>
  <c r="H37" i="131" s="1"/>
  <c r="F33" i="131"/>
  <c r="H33" i="131" s="1"/>
  <c r="F31" i="131"/>
  <c r="H31" i="131" s="1"/>
  <c r="H29" i="131" s="1"/>
  <c r="F32" i="131"/>
  <c r="H32" i="131" s="1"/>
  <c r="F36" i="131"/>
  <c r="H36" i="131" s="1"/>
  <c r="F34" i="131"/>
  <c r="H34" i="131" s="1"/>
  <c r="F35" i="131"/>
  <c r="H35" i="131" s="1"/>
  <c r="G16" i="113"/>
  <c r="F16" i="113"/>
  <c r="F12" i="33"/>
  <c r="H12" i="33" s="1"/>
  <c r="H9" i="33" s="1"/>
  <c r="F33" i="110"/>
  <c r="H33" i="110" s="1"/>
  <c r="F30" i="110"/>
  <c r="H30" i="110" s="1"/>
  <c r="F32" i="136"/>
  <c r="H32" i="136" s="1"/>
  <c r="F30" i="136"/>
  <c r="H30" i="136" s="1"/>
  <c r="F33" i="136"/>
  <c r="H33" i="136" s="1"/>
  <c r="F31" i="136"/>
  <c r="H31" i="136" s="1"/>
  <c r="F60" i="123"/>
  <c r="H60" i="123" s="1"/>
  <c r="H59" i="123" s="1"/>
  <c r="F63" i="123"/>
  <c r="H63" i="123" s="1"/>
  <c r="F15" i="113"/>
  <c r="F18" i="113" s="1"/>
  <c r="F17" i="114" s="1"/>
  <c r="H17" i="114" s="1"/>
  <c r="G15" i="113"/>
  <c r="H35" i="130"/>
  <c r="B17" i="129"/>
  <c r="B25" i="50"/>
  <c r="F44" i="131"/>
  <c r="H44" i="131" s="1"/>
  <c r="H40" i="131" s="1"/>
  <c r="D52" i="50"/>
  <c r="F77" i="110"/>
  <c r="H49" i="136"/>
  <c r="H18" i="113"/>
  <c r="F15" i="45"/>
  <c r="H15" i="45" s="1"/>
  <c r="F16" i="45"/>
  <c r="H16" i="45" s="1"/>
  <c r="F17" i="45"/>
  <c r="H17" i="45" s="1"/>
  <c r="H13" i="45" s="1"/>
  <c r="H22" i="45" s="1"/>
  <c r="F42" i="33"/>
  <c r="H42" i="33" s="1"/>
  <c r="H40" i="33" s="1"/>
  <c r="H28" i="123"/>
  <c r="H26" i="123" s="1"/>
  <c r="D51" i="50"/>
  <c r="F75" i="110"/>
  <c r="H75" i="110" s="1"/>
  <c r="F74" i="110"/>
  <c r="H74" i="110" s="1"/>
  <c r="F28" i="131"/>
  <c r="H28" i="131" s="1"/>
  <c r="F37" i="123"/>
  <c r="H37" i="123" s="1"/>
  <c r="F39" i="123"/>
  <c r="H39" i="123" s="1"/>
  <c r="D59" i="50"/>
  <c r="F41" i="123"/>
  <c r="H41" i="123" s="1"/>
  <c r="F40" i="123"/>
  <c r="H40" i="123" s="1"/>
  <c r="D22" i="132"/>
  <c r="E21" i="132"/>
  <c r="H9" i="136"/>
  <c r="F15" i="136"/>
  <c r="H15" i="136" s="1"/>
  <c r="F16" i="136"/>
  <c r="H16" i="136" s="1"/>
  <c r="F18" i="136"/>
  <c r="H18" i="136" s="1"/>
  <c r="F55" i="110"/>
  <c r="H55" i="110" s="1"/>
  <c r="F56" i="110"/>
  <c r="H56" i="110" s="1"/>
  <c r="F61" i="110"/>
  <c r="H61" i="110" s="1"/>
  <c r="F53" i="110"/>
  <c r="H53" i="110" s="1"/>
  <c r="F52" i="110"/>
  <c r="H52" i="110" s="1"/>
  <c r="F59" i="110"/>
  <c r="H59" i="110" s="1"/>
  <c r="H8" i="131" l="1"/>
  <c r="H24" i="130"/>
  <c r="H23" i="45"/>
  <c r="H24" i="45" s="1"/>
  <c r="H41" i="128"/>
  <c r="H42" i="128" s="1"/>
  <c r="H14" i="136"/>
  <c r="H36" i="123"/>
  <c r="F79" i="110"/>
  <c r="H79" i="110" s="1"/>
  <c r="F78" i="110"/>
  <c r="H78" i="110" s="1"/>
  <c r="F80" i="110"/>
  <c r="H80" i="110" s="1"/>
  <c r="H29" i="136"/>
  <c r="H71" i="136" s="1"/>
  <c r="H74" i="136" s="1"/>
  <c r="H75" i="136" s="1"/>
  <c r="H72" i="136"/>
  <c r="H73" i="136" s="1"/>
  <c r="E22" i="132"/>
  <c r="D20" i="132"/>
  <c r="E20" i="132" s="1"/>
  <c r="F51" i="131" s="1"/>
  <c r="H51" i="110"/>
  <c r="H80" i="123"/>
  <c r="H81" i="123" s="1"/>
  <c r="H82" i="123" s="1"/>
  <c r="H83" i="123" s="1"/>
  <c r="H84" i="123" s="1"/>
  <c r="F6" i="123" s="1"/>
  <c r="D47" i="20" s="1"/>
  <c r="H47" i="20" s="1"/>
  <c r="H10" i="114"/>
  <c r="H73" i="110"/>
  <c r="F18" i="114"/>
  <c r="D68" i="50"/>
  <c r="H29" i="110"/>
  <c r="H40" i="127"/>
  <c r="H48" i="127" s="1"/>
  <c r="H49" i="127" s="1"/>
  <c r="H50" i="127" s="1"/>
  <c r="H51" i="127" s="1"/>
  <c r="H52" i="127" s="1"/>
  <c r="F4" i="127" s="1"/>
  <c r="D41" i="20" s="1"/>
  <c r="H41" i="20" s="1"/>
  <c r="H48" i="33"/>
  <c r="H52" i="33" s="1"/>
  <c r="H53" i="33" s="1"/>
  <c r="H54" i="33" s="1"/>
  <c r="H55" i="33" s="1"/>
  <c r="H56" i="33" s="1"/>
  <c r="F4" i="33" s="1"/>
  <c r="D39" i="20" s="1"/>
  <c r="H16" i="72"/>
  <c r="H17" i="72"/>
  <c r="G4" i="72" s="1"/>
  <c r="D57" i="20" s="1"/>
  <c r="H14" i="130"/>
  <c r="H44" i="130" s="1"/>
  <c r="H45" i="130" s="1"/>
  <c r="H46" i="130" s="1"/>
  <c r="H47" i="130" s="1"/>
  <c r="H48" i="130" s="1"/>
  <c r="F4" i="130" s="1"/>
  <c r="D30" i="20" s="1"/>
  <c r="H30" i="20" s="1"/>
  <c r="D10" i="132"/>
  <c r="E10" i="132" s="1"/>
  <c r="H21" i="131"/>
  <c r="H18" i="131" s="1"/>
  <c r="H43" i="128" l="1"/>
  <c r="H44" i="128" s="1"/>
  <c r="G8" i="128" s="1"/>
  <c r="D28" i="20" s="1"/>
  <c r="H25" i="45"/>
  <c r="H26" i="45" s="1"/>
  <c r="G8" i="45" s="1"/>
  <c r="D24" i="20" s="1"/>
  <c r="H24" i="20" s="1"/>
  <c r="F20" i="114"/>
  <c r="H20" i="114" s="1"/>
  <c r="F19" i="114"/>
  <c r="H19" i="114" s="1"/>
  <c r="F21" i="114"/>
  <c r="H21" i="114" s="1"/>
  <c r="H77" i="110"/>
  <c r="H81" i="110" s="1"/>
  <c r="H82" i="110" s="1"/>
  <c r="H83" i="110" s="1"/>
  <c r="H84" i="110" s="1"/>
  <c r="H85" i="110" s="1"/>
  <c r="F6" i="110" s="1"/>
  <c r="D45" i="20" s="1"/>
  <c r="H39" i="20"/>
  <c r="D42" i="20"/>
  <c r="H42" i="20" s="1"/>
  <c r="D61" i="20"/>
  <c r="H61" i="20" s="1"/>
  <c r="H57" i="20"/>
  <c r="H76" i="136"/>
  <c r="H77" i="136" s="1"/>
  <c r="H78" i="136" s="1"/>
  <c r="F4" i="136" s="1"/>
  <c r="D63" i="20" s="1"/>
  <c r="H63" i="20" s="1"/>
  <c r="F54" i="131"/>
  <c r="H54" i="131" s="1"/>
  <c r="F56" i="131"/>
  <c r="H56" i="131" s="1"/>
  <c r="F53" i="131"/>
  <c r="H53" i="131" s="1"/>
  <c r="F52" i="131"/>
  <c r="H52" i="131" s="1"/>
  <c r="F55" i="131"/>
  <c r="H55" i="131" s="1"/>
  <c r="H45" i="20" l="1"/>
  <c r="H28" i="20"/>
  <c r="H51" i="131"/>
  <c r="H61" i="131" s="1"/>
  <c r="H62" i="131" s="1"/>
  <c r="H63" i="131" s="1"/>
  <c r="H64" i="131" s="1"/>
  <c r="H65" i="131" s="1"/>
  <c r="F4" i="131" s="1"/>
  <c r="D32" i="20" s="1"/>
  <c r="H32" i="20" s="1"/>
  <c r="H18" i="114"/>
  <c r="H22" i="114" s="1"/>
  <c r="H23" i="114" s="1"/>
  <c r="H24" i="114" s="1"/>
  <c r="H25" i="114" s="1"/>
  <c r="H26" i="114" s="1"/>
  <c r="G6" i="114" s="1"/>
  <c r="D49" i="20" s="1"/>
  <c r="H49" i="20" s="1"/>
  <c r="D35" i="20" l="1"/>
  <c r="H35" i="20" s="1"/>
  <c r="D51" i="20"/>
  <c r="D65" i="20" l="1"/>
  <c r="H51" i="20"/>
  <c r="H65" i="20" l="1"/>
  <c r="D70" i="20"/>
  <c r="D84" i="20" l="1"/>
  <c r="D86" i="20" s="1"/>
  <c r="H70" i="20"/>
  <c r="H84" i="20" s="1"/>
  <c r="H86" i="20" s="1"/>
  <c r="D88" i="20" l="1"/>
  <c r="H88" i="20" s="1"/>
  <c r="H90" i="20" s="1"/>
  <c r="D90" i="20"/>
  <c r="H93" i="20" l="1"/>
  <c r="H95" i="20" s="1"/>
  <c r="F3" i="20" s="1"/>
  <c r="D93" i="20"/>
  <c r="D95" i="20" s="1"/>
</calcChain>
</file>

<file path=xl/sharedStrings.xml><?xml version="1.0" encoding="utf-8"?>
<sst xmlns="http://schemas.openxmlformats.org/spreadsheetml/2006/main" count="2019" uniqueCount="701">
  <si>
    <t>#</t>
  </si>
  <si>
    <t>sul</t>
  </si>
  <si>
    <t>Rirebuleba</t>
  </si>
  <si>
    <t>Sromis   danaxarji</t>
  </si>
  <si>
    <t>saxarjTaRricxvo Rirebuleba:</t>
  </si>
  <si>
    <t>Sifri</t>
  </si>
  <si>
    <t>samuSaos dasaxeleba</t>
  </si>
  <si>
    <t>raodenoba</t>
  </si>
  <si>
    <t>erTeulis</t>
  </si>
  <si>
    <t>saproeqto moculoba</t>
  </si>
  <si>
    <t>erT.</t>
  </si>
  <si>
    <t>"vamtkiceb"</t>
  </si>
  <si>
    <t>maT  Soris  dasabrunebeli  Tanxa    aT. Llari</t>
  </si>
  <si>
    <t>mTliani</t>
  </si>
  <si>
    <t>Tavebis,  obieqtebis,  samuSaoebis</t>
  </si>
  <si>
    <t>samSeneb-</t>
  </si>
  <si>
    <t>nakeTobani,</t>
  </si>
  <si>
    <t>##</t>
  </si>
  <si>
    <t xml:space="preserve">  da  danaxarjebis  dasaxeleba</t>
  </si>
  <si>
    <t>lo samu-</t>
  </si>
  <si>
    <t>samontaJo</t>
  </si>
  <si>
    <t>aveji inven-</t>
  </si>
  <si>
    <t>sxva</t>
  </si>
  <si>
    <t>ricxvo</t>
  </si>
  <si>
    <t>Saoebi</t>
  </si>
  <si>
    <t>samuSaoebi</t>
  </si>
  <si>
    <t>tari</t>
  </si>
  <si>
    <t>Tavi #1 mSeneblobis  teritoriis</t>
  </si>
  <si>
    <t>momzadeba</t>
  </si>
  <si>
    <t>Tavi #2  miwis  vakisi</t>
  </si>
  <si>
    <t>Tavi #3  gzis  samosi</t>
  </si>
  <si>
    <t>Tavi #4 xelovnuri  nagebobebi</t>
  </si>
  <si>
    <t>sul me-4 Tavis mixedviT</t>
  </si>
  <si>
    <t>Tavi #5 gadakveTebi da mierTebebi</t>
  </si>
  <si>
    <t>Tavi #6 sagzao  mowyobiloba</t>
  </si>
  <si>
    <t>sul 1 _ 8 Tavebis mixedviT</t>
  </si>
  <si>
    <t>sul  1-10 Tavebis  mixedviT</t>
  </si>
  <si>
    <t>Tavi #11 direqciis Senaxva</t>
  </si>
  <si>
    <t>sul  me-11  Tavis  mixedviT</t>
  </si>
  <si>
    <t>Tavi #12 saproeqto samuSaoebi</t>
  </si>
  <si>
    <t>sul  me-12  Tavis  mixedviT</t>
  </si>
  <si>
    <t>sul 1-12 Tavebis mixedviT</t>
  </si>
  <si>
    <t>damatebiTi  Rirebulebis gadasaxadi</t>
  </si>
  <si>
    <t>d.R.g _ 18%</t>
  </si>
  <si>
    <t>sul  saxarjTaRricxvo  Rirebuleba</t>
  </si>
  <si>
    <t>maT Soris ukan dasabrunebeli Tanxa</t>
  </si>
  <si>
    <t>kac/sT</t>
  </si>
  <si>
    <t>lari</t>
  </si>
  <si>
    <t>sxva masala</t>
  </si>
  <si>
    <t>kg</t>
  </si>
  <si>
    <t>sul:</t>
  </si>
  <si>
    <t>jami:</t>
  </si>
  <si>
    <t>sul jami:</t>
  </si>
  <si>
    <r>
      <t>m</t>
    </r>
    <r>
      <rPr>
        <vertAlign val="superscript"/>
        <sz val="12"/>
        <rFont val="AcadNusx"/>
      </rPr>
      <t>3</t>
    </r>
  </si>
  <si>
    <t>tn</t>
  </si>
  <si>
    <t>aT. lari</t>
  </si>
  <si>
    <t xml:space="preserve"> aT. lari</t>
  </si>
  <si>
    <t>Sromis  danaxarji</t>
  </si>
  <si>
    <t>k-s</t>
  </si>
  <si>
    <t>sxva  masala</t>
  </si>
  <si>
    <t>miwis vakisi</t>
  </si>
  <si>
    <t xml:space="preserve">   safuZveli: samuSaoTa moculobebis uwyisi</t>
  </si>
  <si>
    <t>samuSaoebis  dasaxeleba</t>
  </si>
  <si>
    <t>saproeqto 
moculoba</t>
  </si>
  <si>
    <t>m-s</t>
  </si>
  <si>
    <t>t</t>
  </si>
  <si>
    <t>27-7-2</t>
  </si>
  <si>
    <t xml:space="preserve">jami:   </t>
  </si>
  <si>
    <t xml:space="preserve">jami: </t>
  </si>
  <si>
    <t xml:space="preserve">jami:    </t>
  </si>
  <si>
    <t>saproeqto</t>
  </si>
  <si>
    <t>moculoba</t>
  </si>
  <si>
    <t>satkepni sagzao TviTmavali gluvi 5t</t>
  </si>
  <si>
    <t>satkepni sagzao TviTmavali gluvi 10t</t>
  </si>
  <si>
    <t>sxva manqana</t>
  </si>
  <si>
    <t>qviSa-xreSovani narevi</t>
  </si>
  <si>
    <t>mosarwyav-mosarecxi manqana 6000 l</t>
  </si>
  <si>
    <t>fraqciuli RorRi 0-40 mm</t>
  </si>
  <si>
    <t>wyali</t>
  </si>
  <si>
    <t>27-63-1</t>
  </si>
  <si>
    <t>avtogudronatori  3500 l</t>
  </si>
  <si>
    <t>27-39-1,2
27-40-1,2</t>
  </si>
  <si>
    <t>asfaltobetonis damgebi</t>
  </si>
  <si>
    <t>wvrilmarclovani a/betoni</t>
  </si>
  <si>
    <t>misayreli  gverdulebis  mowyoba qviSa-xreSovani  masaliT</t>
  </si>
  <si>
    <t>qviSa-xreSovani  masala</t>
  </si>
  <si>
    <r>
      <t xml:space="preserve">avtogreideri 79 </t>
    </r>
    <r>
      <rPr>
        <sz val="12"/>
        <rFont val="Arial"/>
        <family val="2"/>
        <charset val="204"/>
      </rPr>
      <t xml:space="preserve">кВт </t>
    </r>
    <r>
      <rPr>
        <sz val="12"/>
        <rFont val="AcadNusx"/>
      </rPr>
      <t>(108 cx.Z)</t>
    </r>
  </si>
  <si>
    <r>
      <t xml:space="preserve"> m</t>
    </r>
    <r>
      <rPr>
        <vertAlign val="superscript"/>
        <sz val="12"/>
        <rFont val="AcadNusx"/>
      </rPr>
      <t>3</t>
    </r>
  </si>
  <si>
    <t xml:space="preserve">  gzis samosis  mowyoba</t>
  </si>
  <si>
    <t>sul me-2 Tavis mixedviT</t>
  </si>
  <si>
    <t>sul me-3 Tavis mixedviT</t>
  </si>
  <si>
    <t xml:space="preserve">proeqtireba  muSa  proeqtis </t>
  </si>
  <si>
    <t xml:space="preserve">direqciis Senaxva </t>
  </si>
  <si>
    <t>27-11-2
27-12</t>
  </si>
  <si>
    <t>RorRi 5-10 mm</t>
  </si>
  <si>
    <t>qvis namtvrevebis manawilebeli</t>
  </si>
  <si>
    <t>t.n 1                                                                                                                                                                                                                          pn. 1.6</t>
  </si>
  <si>
    <t xml:space="preserve"> Sesasvlelebze da mierTebebze gzis samosis  mowyoba</t>
  </si>
  <si>
    <t xml:space="preserve">        masalebisa  da  nakeTobebis  Rirebulebis  kalkulacia (larebSi)    </t>
  </si>
  <si>
    <t>masalebis</t>
  </si>
  <si>
    <t>ganzomi-</t>
  </si>
  <si>
    <t>moc.</t>
  </si>
  <si>
    <t>satrans-</t>
  </si>
  <si>
    <t>gasaS-</t>
  </si>
  <si>
    <t>tarisa da</t>
  </si>
  <si>
    <t>dasaxeleba</t>
  </si>
  <si>
    <t>lebis</t>
  </si>
  <si>
    <t>wona</t>
  </si>
  <si>
    <t>porto</t>
  </si>
  <si>
    <t>vebi</t>
  </si>
  <si>
    <t>rekvizit.</t>
  </si>
  <si>
    <t>erTeuli</t>
  </si>
  <si>
    <t>adgili</t>
  </si>
  <si>
    <t>t/kub.m.</t>
  </si>
  <si>
    <t>xarjebi</t>
  </si>
  <si>
    <t>fasi</t>
  </si>
  <si>
    <t>asfaltobetoni</t>
  </si>
  <si>
    <t>kub.m.</t>
  </si>
  <si>
    <t>RorRi 5-10mm</t>
  </si>
  <si>
    <t>fraqciuli RorRi</t>
  </si>
  <si>
    <t>xis masalebi</t>
  </si>
  <si>
    <t>saavtomobilo gadazidvebis kalkulacia 1 tona masalisaTvis</t>
  </si>
  <si>
    <t>masalebis dasaxeleba</t>
  </si>
  <si>
    <t>gadazidvis</t>
  </si>
  <si>
    <t>datv.gadmot.</t>
  </si>
  <si>
    <t>1 t.masalis</t>
  </si>
  <si>
    <t>punqti</t>
  </si>
  <si>
    <t>manZili, km.</t>
  </si>
  <si>
    <t>fasi, lari</t>
  </si>
  <si>
    <t>gadazidvis fasi</t>
  </si>
  <si>
    <t>RorRi</t>
  </si>
  <si>
    <t>betoni, duRabi</t>
  </si>
  <si>
    <t>s.r.f</t>
  </si>
  <si>
    <t>asfaltobetonis safaris mowyoba</t>
  </si>
  <si>
    <r>
      <t>betoni B</t>
    </r>
    <r>
      <rPr>
        <sz val="11"/>
        <rFont val="Arial"/>
        <family val="2"/>
        <charset val="204"/>
      </rPr>
      <t>B</t>
    </r>
    <r>
      <rPr>
        <sz val="11"/>
        <rFont val="AcadNusx"/>
      </rPr>
      <t>-18,5</t>
    </r>
  </si>
  <si>
    <t xml:space="preserve">                              damkveTi:   _______________________________</t>
  </si>
  <si>
    <t xml:space="preserve">samuSaoTa moculobebis krebsiTi uwyisi </t>
  </si>
  <si>
    <t>ganz.</t>
  </si>
  <si>
    <t>rao-ba</t>
  </si>
  <si>
    <t>SeniSvna</t>
  </si>
  <si>
    <t>1.</t>
  </si>
  <si>
    <t>1)</t>
  </si>
  <si>
    <t>2)</t>
  </si>
  <si>
    <t>xelovnuri nagebobebi</t>
  </si>
  <si>
    <t>gzis samosi</t>
  </si>
  <si>
    <t xml:space="preserve">savali nawilis mowyoba  </t>
  </si>
  <si>
    <t xml:space="preserve">ГОСТ9128-84 sisqiT 5sm          </t>
  </si>
  <si>
    <t>aTasi lari</t>
  </si>
  <si>
    <t>sxva manqanebi</t>
  </si>
  <si>
    <t>Seadgina:                     p. miqelaZe</t>
  </si>
  <si>
    <t>30-3-2</t>
  </si>
  <si>
    <t>xis masala</t>
  </si>
  <si>
    <t>qviSa-xreSovani masala</t>
  </si>
  <si>
    <t>amwe pnevmoTvlian svlaze</t>
  </si>
  <si>
    <t>man/sT</t>
  </si>
  <si>
    <t>naWedi samSeneblo</t>
  </si>
  <si>
    <t>30-51-3</t>
  </si>
  <si>
    <t>bitumi</t>
  </si>
  <si>
    <t>1-11-15</t>
  </si>
  <si>
    <t>saxarjTaRricxvo  Rirebuleba, aT. Llari</t>
  </si>
  <si>
    <t>saxarjTaR-</t>
  </si>
  <si>
    <t xml:space="preserve">mSeneblobis   Rirebulebis  krebsiTi  saxarjTaRricxvo  angariSi  </t>
  </si>
  <si>
    <t xml:space="preserve">                           krebsiTi  saxarjTaRricxvo  angariSi  jamSi</t>
  </si>
  <si>
    <t>bitumis emulsia</t>
  </si>
  <si>
    <t>xreSovani baliSis mowyoba milis qveS</t>
  </si>
  <si>
    <r>
      <t>m</t>
    </r>
    <r>
      <rPr>
        <vertAlign val="superscript"/>
        <sz val="11"/>
        <rFont val="AcadNusx"/>
      </rPr>
      <t>3</t>
    </r>
  </si>
  <si>
    <r>
      <t>m</t>
    </r>
    <r>
      <rPr>
        <vertAlign val="superscript"/>
        <sz val="11"/>
        <rFont val="AcadNusx"/>
      </rPr>
      <t>2</t>
    </r>
  </si>
  <si>
    <r>
      <rPr>
        <sz val="12"/>
        <color indexed="8"/>
        <rFont val="AcadNusx"/>
      </rPr>
      <t>betoni</t>
    </r>
    <r>
      <rPr>
        <sz val="12"/>
        <color indexed="8"/>
        <rFont val="GEOWIN_SMALL"/>
        <family val="1"/>
        <charset val="204"/>
      </rPr>
      <t xml:space="preserve"> B-18.5</t>
    </r>
  </si>
  <si>
    <t>lokaluri  xarjTaRricxva  #2</t>
  </si>
  <si>
    <t>lok. xarj. #2</t>
  </si>
  <si>
    <t xml:space="preserve">Tavi #9 droebiTi Senobebi, nagebobebi </t>
  </si>
  <si>
    <t>m</t>
  </si>
  <si>
    <r>
      <t>eqskavatori V=0,5 m</t>
    </r>
    <r>
      <rPr>
        <vertAlign val="superscript"/>
        <sz val="12"/>
        <color indexed="8"/>
        <rFont val="AcadNusx"/>
      </rPr>
      <t xml:space="preserve">3 </t>
    </r>
  </si>
  <si>
    <t>lok. xarj. #7</t>
  </si>
  <si>
    <t>3)</t>
  </si>
  <si>
    <t>Seadgina:            v. adonia                 Seamowma:                  p. miqelaZe</t>
  </si>
  <si>
    <t>grZ.m</t>
  </si>
  <si>
    <t>zedapiris  damuSaveba bitumis emulsiiT</t>
  </si>
  <si>
    <t>erTfeniani safaris  mowyoba  wvrilmarclovani mkvrivi RorRovani cxeli  asfaltobetonisagan</t>
  </si>
  <si>
    <t>safuZvlis  mowyoba fraqciuli  RorRiT 0-40mm</t>
  </si>
  <si>
    <t>asfaltobetoni 
wvrilmarcvlovani</t>
  </si>
  <si>
    <t>erT.
ganz</t>
  </si>
  <si>
    <t>lok. xarj. #6</t>
  </si>
  <si>
    <t>gzis moniSvna</t>
  </si>
  <si>
    <t>27-56-1</t>
  </si>
  <si>
    <t>markirebis manqana</t>
  </si>
  <si>
    <t>km</t>
  </si>
  <si>
    <t>lok. xarj. #1</t>
  </si>
  <si>
    <t>lokaluri  xarjTaRricxva  #1</t>
  </si>
  <si>
    <t>jami</t>
  </si>
  <si>
    <t>satkepni sagzao pnevmosvlaze 18t</t>
  </si>
  <si>
    <t>sigrZe</t>
  </si>
  <si>
    <t>pk+dan</t>
  </si>
  <si>
    <t>pk+mde</t>
  </si>
  <si>
    <t>adgilmdebareoba</t>
  </si>
  <si>
    <t>SeniSvna:</t>
  </si>
  <si>
    <t>m3</t>
  </si>
  <si>
    <t>adgilmdebareoba pk</t>
  </si>
  <si>
    <r>
      <t>farTi 
m</t>
    </r>
    <r>
      <rPr>
        <vertAlign val="superscript"/>
        <sz val="11"/>
        <color indexed="8"/>
        <rFont val="AcadNusx"/>
      </rPr>
      <t>2</t>
    </r>
  </si>
  <si>
    <t>milebi Sesasvlelebze</t>
  </si>
  <si>
    <t xml:space="preserve">marjvena </t>
  </si>
  <si>
    <t>marcxena</t>
  </si>
  <si>
    <t>sagzao 
samosis tipi</t>
  </si>
  <si>
    <t>sagzao samosis safuZveli</t>
  </si>
  <si>
    <r>
      <t>Txevadi bitumi
tn
1m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-0,6l</t>
    </r>
  </si>
  <si>
    <t>gverduli</t>
  </si>
  <si>
    <t>sigane</t>
  </si>
  <si>
    <t>sul jami</t>
  </si>
  <si>
    <t>adgilmdebareoba pk+</t>
  </si>
  <si>
    <t xml:space="preserve">xreSovani baliSis mowyoba </t>
  </si>
  <si>
    <r>
      <t>moc-ba 
m</t>
    </r>
    <r>
      <rPr>
        <vertAlign val="superscript"/>
        <sz val="10"/>
        <color indexed="8"/>
        <rFont val="AcadNusx"/>
      </rPr>
      <t>3</t>
    </r>
  </si>
  <si>
    <r>
      <t>farTobi 
m</t>
    </r>
    <r>
      <rPr>
        <vertAlign val="superscript"/>
        <sz val="10"/>
        <color indexed="8"/>
        <rFont val="AcadNusx"/>
      </rPr>
      <t>2</t>
    </r>
  </si>
  <si>
    <t>lok. xarj. #4</t>
  </si>
  <si>
    <t>misayreli  gverdulebis  mowyoba qviSa-xreSovani masaliT</t>
  </si>
  <si>
    <t>miwis vakisis mowyoba</t>
  </si>
  <si>
    <t>datvirTvis</t>
  </si>
  <si>
    <t>sul me-6 Tavis mixedviT</t>
  </si>
  <si>
    <r>
      <t xml:space="preserve">ganzomileba
</t>
    </r>
    <r>
      <rPr>
        <sz val="10"/>
        <color indexed="8"/>
        <rFont val="AcadNusx"/>
      </rPr>
      <t>sigrZe/
simaRle</t>
    </r>
  </si>
  <si>
    <t>pk</t>
  </si>
  <si>
    <t>"      "  _______________ 2017 w</t>
  </si>
  <si>
    <t>lok. xarj. #3</t>
  </si>
  <si>
    <t>lokaluri  xarjTaRricxva  #3</t>
  </si>
  <si>
    <t>lok. xarj. #5</t>
  </si>
  <si>
    <t>cali</t>
  </si>
  <si>
    <t>ganzomileba</t>
  </si>
  <si>
    <t>lok. xarj. #8</t>
  </si>
  <si>
    <t>gabionis yuTebi 2X1X1</t>
  </si>
  <si>
    <t>gabionis yuTebi 1.5X1X1</t>
  </si>
  <si>
    <t>Sesakravi mavTuli</t>
  </si>
  <si>
    <t>gabionebis mowyoba</t>
  </si>
  <si>
    <t xml:space="preserve">   saxarjTaRricxvo Rirebuleba: </t>
  </si>
  <si>
    <t>gabionebis Rirebuleba obieqtze mitaniT
   zomiT 200X100X100 1c-17.5kg</t>
  </si>
  <si>
    <t>c</t>
  </si>
  <si>
    <t>gabionebis Rirebuleba obieqtze mitaniT
   zomiT 150X100X100 1c-12.8kg</t>
  </si>
  <si>
    <t xml:space="preserve">qva </t>
  </si>
  <si>
    <r>
      <t>m</t>
    </r>
    <r>
      <rPr>
        <vertAlign val="superscript"/>
        <sz val="12"/>
        <rFont val="AcadNusx"/>
      </rPr>
      <t>2</t>
    </r>
  </si>
  <si>
    <t>gabionis ukan yrilis mowyoba xreSovani gruntiT (balasti), eqskavatoriT Cayra da mosworeba</t>
  </si>
  <si>
    <t xml:space="preserve">gabionebis sayrdeni kedlebis mowyoba  </t>
  </si>
  <si>
    <t>lok. xarj. #9</t>
  </si>
  <si>
    <r>
      <t>zedapiris  damuSaveba bitumis emulsiiT (1m</t>
    </r>
    <r>
      <rPr>
        <vertAlign val="superscript"/>
        <sz val="12"/>
        <rFont val="AcadNusx"/>
      </rPr>
      <t>2</t>
    </r>
    <r>
      <rPr>
        <sz val="12"/>
        <rFont val="AcadNusx"/>
      </rPr>
      <t>-0,6l)</t>
    </r>
  </si>
  <si>
    <t>msxvilmarclovani a/betoni</t>
  </si>
  <si>
    <r>
      <t>zedapiris  damuSaveba  bitumis emulsia (1m</t>
    </r>
    <r>
      <rPr>
        <vertAlign val="superscript"/>
        <sz val="12"/>
        <rFont val="AcadNusx"/>
      </rPr>
      <t>2</t>
    </r>
    <r>
      <rPr>
        <sz val="12"/>
        <rFont val="AcadNusx"/>
      </rPr>
      <t>-0,3l)</t>
    </r>
  </si>
  <si>
    <r>
      <t>Txevadi bitumi
tn
1m</t>
    </r>
    <r>
      <rPr>
        <vertAlign val="superscript"/>
        <sz val="10"/>
        <color indexed="8"/>
        <rFont val="AcadNusx"/>
      </rPr>
      <t>2</t>
    </r>
    <r>
      <rPr>
        <sz val="10"/>
        <color indexed="8"/>
        <rFont val="AcadNusx"/>
      </rPr>
      <t>-0,3l</t>
    </r>
  </si>
  <si>
    <t>asfaltobetoni 
msxvilmarcvlovani</t>
  </si>
  <si>
    <t>4)</t>
  </si>
  <si>
    <t>safaris qveda fenis mowyoba  msxvilmarcvlovani 
mkvrivi RorRovani cxeli  asfaltobetonisagan</t>
  </si>
  <si>
    <t>safaris zeda fenis mowyoba  wvrilmarcvlovani 
mkvrivi RorRovani cxeli  asfaltobetonisagan</t>
  </si>
  <si>
    <t>orfeniani hidroizolacia bitumiT</t>
  </si>
  <si>
    <t>lokaluri   xarjTaRricxva #7</t>
  </si>
  <si>
    <t>1-22-3</t>
  </si>
  <si>
    <t>safaris qveda fenis mowyoba  msxvilmarcvlovani forovani RorRovani cxeli  asfaltobetonisagan sisqiT 7 sm</t>
  </si>
  <si>
    <t>safaris zeda fenis mowyoba  wvrilmarcvlovani mkvrivi RorRovani cxeli  asfaltobetonisagan sisqiT 5 sm</t>
  </si>
  <si>
    <t>a/betoni msxvilmarcvlovani 
safaris mowyoba 
sisqiT 7sm</t>
  </si>
  <si>
    <t>a/betoni wvrilmarcvlovani 
safaris mowyoba 
sisqiT 5sm</t>
  </si>
  <si>
    <t>qviSa-xreSovani narevi sisqiT 25sm</t>
  </si>
  <si>
    <t>fraqciuli RorRi 
0-40mm sisqiT 18sm</t>
  </si>
  <si>
    <t>0+00</t>
  </si>
  <si>
    <t>30-3-1</t>
  </si>
  <si>
    <t>RorRis sagebi milis qveS</t>
  </si>
  <si>
    <t>6-1-1</t>
  </si>
  <si>
    <t>37-64-8</t>
  </si>
  <si>
    <t>37-66-2</t>
  </si>
  <si>
    <t>armaturis dayeneba milis tanSi</t>
  </si>
  <si>
    <t>37-64-4</t>
  </si>
  <si>
    <t>armaturis dayeneba milis saTavisebSi da sabjenebSi</t>
  </si>
  <si>
    <t>milis wasacxebi hidroizolacia</t>
  </si>
  <si>
    <t>30-53-1</t>
  </si>
  <si>
    <t>sadefarmacio nakerebis mowyoba</t>
  </si>
  <si>
    <t>1-123-8</t>
  </si>
  <si>
    <t>qvis risbermis mowyoba</t>
  </si>
  <si>
    <t>cementis xsnari</t>
  </si>
  <si>
    <t xml:space="preserve">Siti </t>
  </si>
  <si>
    <r>
      <rPr>
        <sz val="12"/>
        <color indexed="8"/>
        <rFont val="AcadNusx"/>
      </rPr>
      <t>betoni</t>
    </r>
    <r>
      <rPr>
        <sz val="12"/>
        <color indexed="8"/>
        <rFont val="GEOWIN_SMALL"/>
        <family val="1"/>
        <charset val="204"/>
      </rPr>
      <t xml:space="preserve"> B-30</t>
    </r>
  </si>
  <si>
    <t>armatura</t>
  </si>
  <si>
    <t>Casadebi detalebi</t>
  </si>
  <si>
    <r>
      <t xml:space="preserve">monoliTuri rkinabetonis milis saTavisebis da sabjenebis mowyoba, betoni </t>
    </r>
    <r>
      <rPr>
        <sz val="12"/>
        <rFont val="Arial"/>
        <family val="2"/>
        <charset val="204"/>
      </rPr>
      <t>B30  F200 W6</t>
    </r>
  </si>
  <si>
    <t>TiTberi furcvlovani sisqiT 1mm</t>
  </si>
  <si>
    <t>hidroizolacia minaqsoviliT</t>
  </si>
  <si>
    <t>germetiki tiokilovi</t>
  </si>
  <si>
    <t>germet</t>
  </si>
  <si>
    <t xml:space="preserve">sxva manqana </t>
  </si>
  <si>
    <r>
      <t xml:space="preserve">monoliTuri betonis sagebi milis qveS da wylis asarinebeli samkuTxedis, betoni </t>
    </r>
    <r>
      <rPr>
        <sz val="12"/>
        <rFont val="Arial"/>
        <family val="2"/>
        <charset val="204"/>
      </rPr>
      <t xml:space="preserve"> B-18.5</t>
    </r>
  </si>
  <si>
    <t>II</t>
  </si>
  <si>
    <t>satkepni sagzao pnevmosvlaze 25t</t>
  </si>
  <si>
    <t>buldozeri 79kvt (108 cx.Z)</t>
  </si>
  <si>
    <t>traqtori muxluxa svlaze 79kvt (108 cx.Z)</t>
  </si>
  <si>
    <t>samuSaoTa dasaxeleba</t>
  </si>
  <si>
    <t>7+80</t>
  </si>
  <si>
    <t xml:space="preserve"> monoliTuri rk.betoni:</t>
  </si>
  <si>
    <t xml:space="preserve"> A-III</t>
  </si>
  <si>
    <t xml:space="preserve"> rk.betonis sabjeni:</t>
  </si>
  <si>
    <t xml:space="preserve"> rk.betoni saTavisi:</t>
  </si>
  <si>
    <t xml:space="preserve"> wyli asarinebeli samkuTxedi</t>
  </si>
  <si>
    <t xml:space="preserve"> sadeformacio nakerebi</t>
  </si>
  <si>
    <t>c/m</t>
  </si>
  <si>
    <t xml:space="preserve"> wasacxebi hidroizolacia </t>
  </si>
  <si>
    <t xml:space="preserve"> risberma</t>
  </si>
  <si>
    <t xml:space="preserve"> ukuCayra drenirebadi gruntiT.</t>
  </si>
  <si>
    <t>B-18.5 F-100 W-6</t>
  </si>
  <si>
    <r>
      <t>m</t>
    </r>
    <r>
      <rPr>
        <vertAlign val="superscript"/>
        <sz val="10"/>
        <rFont val="AcadNusx"/>
      </rPr>
      <t>3</t>
    </r>
  </si>
  <si>
    <r>
      <t>m</t>
    </r>
    <r>
      <rPr>
        <vertAlign val="superscript"/>
        <sz val="10"/>
        <rFont val="AcadNusx"/>
      </rPr>
      <t>2</t>
    </r>
  </si>
  <si>
    <t>Seadgina:             v. adonia             Seamowma:              p. miqelaZe</t>
  </si>
  <si>
    <t>qvis risberma</t>
  </si>
  <si>
    <t xml:space="preserve"> betonis momzadeba </t>
  </si>
  <si>
    <r>
      <t>eqskavatori V=1.0 m</t>
    </r>
    <r>
      <rPr>
        <vertAlign val="superscript"/>
        <sz val="12"/>
        <color indexed="8"/>
        <rFont val="AcadNusx"/>
      </rPr>
      <t xml:space="preserve">3 </t>
    </r>
  </si>
  <si>
    <r>
      <t>III jg gruntebis damuSaveba eqskavatoriT V-1.0 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avtoTviTmcvlelebze</t>
    </r>
  </si>
  <si>
    <r>
      <t>Txrilis mowyoba III jg gruntebis damuSaveba eqskavatoriT V-1.0 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datvirTva avtotTviTmclelebze</t>
    </r>
  </si>
  <si>
    <r>
      <t xml:space="preserve">  - betoni </t>
    </r>
    <r>
      <rPr>
        <sz val="10"/>
        <rFont val="Times New Roman"/>
        <family val="1"/>
        <charset val="204"/>
      </rPr>
      <t/>
    </r>
  </si>
  <si>
    <t xml:space="preserve">  - armatura   </t>
  </si>
  <si>
    <r>
      <t>m</t>
    </r>
    <r>
      <rPr>
        <vertAlign val="superscript"/>
        <sz val="10"/>
        <rFont val="AcadMtavr"/>
      </rPr>
      <t>3</t>
    </r>
  </si>
  <si>
    <r>
      <t>m</t>
    </r>
    <r>
      <rPr>
        <vertAlign val="superscript"/>
        <sz val="10"/>
        <rFont val="AcadMtavr"/>
      </rPr>
      <t>2</t>
    </r>
  </si>
  <si>
    <t xml:space="preserve">B-22,5 F-200 W-6 </t>
  </si>
  <si>
    <t>1. ლითონის ზღუდარის დამზადება და დაყენება უნდა განხორციელდეს EN1317 (1-5) ან Гост 26804-86, Гост 23457-86 სტანდარტების მოთხოვნათა შესაბამისად.</t>
  </si>
  <si>
    <t>2. მაღალი მდგრადობის ლითონის ზღუდარი უნდა აკმაყოფილებდეს EN1317 (1-5) სტანდარტს, იგი გათვლილი უნდა იყოს მინიმუმ 3-ე კატეგორიის გზისათვის სადაც დასაშვები სიჩქარეა 70-80 კმ/სთ, ხოლო შეკავების უნარი, 10 ტონიანი ა/მანქანის 15° კუთხით შეჯახებისას, უნდა შეადგენდეს არანაკლებ 128 კგ. ჯოულს (H1 W3 A).</t>
  </si>
  <si>
    <t>მოცულობების უწყისი:</t>
  </si>
  <si>
    <t xml:space="preserve"> "W" პროფილის ბალკის სექცია </t>
  </si>
  <si>
    <t xml:space="preserve">"C" პროფილის ფეხი </t>
  </si>
  <si>
    <t>შუქდამაბრუნებელი ელემენტი</t>
  </si>
  <si>
    <t>საწყისი მონაკვეთი</t>
  </si>
  <si>
    <t>დაბოლოების ელემენტი</t>
  </si>
  <si>
    <t>liTonis Tvalamridebis mowyoba</t>
  </si>
  <si>
    <t>27-50-6</t>
  </si>
  <si>
    <t>ximinjis agregati muxluxebiani svlis traqtorze</t>
  </si>
  <si>
    <t>Tvalamridis konstruqcia</t>
  </si>
  <si>
    <r>
      <t>betoni B</t>
    </r>
    <r>
      <rPr>
        <sz val="11"/>
        <rFont val="Arial"/>
        <family val="2"/>
        <charset val="204"/>
      </rPr>
      <t>B</t>
    </r>
    <r>
      <rPr>
        <sz val="11"/>
        <rFont val="AcadNusx"/>
      </rPr>
      <t>-30</t>
    </r>
  </si>
  <si>
    <t>rk.betonis sworxuTxa milis 2X2 mowyoba</t>
  </si>
  <si>
    <t>safuZvlis  mowyoba fraqciuli  RorRiT 0-40mm sisqiT 18sm</t>
  </si>
  <si>
    <t>qvesagebi fenis mowyoba qviSa-xreSovani nareviT sisqiT 25sm (mravldeba datkepnis koeficientze 1.22)</t>
  </si>
  <si>
    <r>
      <t>გალვანიზებული ლითონის თვალამრიდი ძელების მოწყობა ყველა სხვა დამხმარე სამუშაოების ჩათვლით, დგარების ყოველ 2 მეტრში ჩასობით, რომელზეც ქანჩებით და ჭანჭიკებით ემაგრება "</t>
    </r>
    <r>
      <rPr>
        <sz val="11"/>
        <rFont val="Arial"/>
        <family val="2"/>
        <charset val="204"/>
      </rPr>
      <t>W</t>
    </r>
    <r>
      <rPr>
        <sz val="11"/>
        <rFont val="AcadNusx"/>
      </rPr>
      <t xml:space="preserve">" ფორმის ლითონის ზღუდარი, ლითონის ზღუდარების თავზე სასიგნალო შუქამრეკლების მოწყობა ყოველ 4 მეტრში </t>
    </r>
    <r>
      <rPr>
        <sz val="11"/>
        <rFont val="Arial"/>
        <family val="2"/>
        <charset val="204"/>
      </rPr>
      <t>(H1W3A)</t>
    </r>
  </si>
  <si>
    <t>amwe 3tn pnevmoTvlian svlaze</t>
  </si>
  <si>
    <r>
      <t xml:space="preserve">betoni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>-18.5</t>
    </r>
  </si>
  <si>
    <t xml:space="preserve">B-30 F-200 W-6 </t>
  </si>
  <si>
    <r>
      <t xml:space="preserve"> </t>
    </r>
    <r>
      <rPr>
        <sz val="10"/>
        <rFont val="AcadMtavr"/>
      </rPr>
      <t>sisqiT</t>
    </r>
    <r>
      <rPr>
        <sz val="10"/>
        <rFont val="Arial Cyr"/>
        <charset val="204"/>
      </rPr>
      <t xml:space="preserve"> </t>
    </r>
    <r>
      <rPr>
        <sz val="10"/>
        <rFont val="Arial Cyr"/>
        <charset val="1"/>
      </rPr>
      <t>h-40</t>
    </r>
    <r>
      <rPr>
        <sz val="10"/>
        <rFont val="AcadMtavr"/>
      </rPr>
      <t>sm</t>
    </r>
  </si>
  <si>
    <r>
      <t xml:space="preserve"> </t>
    </r>
    <r>
      <rPr>
        <sz val="10"/>
        <rFont val="AcadMtavr"/>
      </rPr>
      <t>sisqiT</t>
    </r>
    <r>
      <rPr>
        <sz val="10"/>
        <rFont val="Arial Cyr"/>
        <charset val="204"/>
      </rPr>
      <t xml:space="preserve"> </t>
    </r>
    <r>
      <rPr>
        <sz val="10"/>
        <rFont val="Arial Cyr"/>
        <charset val="1"/>
      </rPr>
      <t>h-20</t>
    </r>
    <r>
      <rPr>
        <sz val="10"/>
        <rFont val="AcadMtavr"/>
      </rPr>
      <t>sm</t>
    </r>
  </si>
  <si>
    <r>
      <rPr>
        <sz val="10"/>
        <rFont val="Arial Cyr"/>
        <charset val="1"/>
      </rPr>
      <t>2</t>
    </r>
    <r>
      <rPr>
        <sz val="10"/>
        <rFont val="Arial Cyr"/>
        <charset val="204"/>
      </rPr>
      <t>-</t>
    </r>
    <r>
      <rPr>
        <sz val="10"/>
        <rFont val="AcadMtavr"/>
      </rPr>
      <t>jer</t>
    </r>
  </si>
  <si>
    <t>liToni da armatura</t>
  </si>
  <si>
    <t>miwis  vakisis mowyoba</t>
  </si>
  <si>
    <r>
      <t xml:space="preserve">monoliTuri betonis sagebi milis qveS da wylis asarinebeli samkuTxedis, betoni </t>
    </r>
    <r>
      <rPr>
        <sz val="11"/>
        <rFont val="Arial"/>
        <family val="2"/>
        <charset val="204"/>
      </rPr>
      <t xml:space="preserve"> B-18.5</t>
    </r>
  </si>
  <si>
    <t>B30  F200 W6</t>
  </si>
  <si>
    <t>monoliTuri rkinabetonis milis mowyoba</t>
  </si>
  <si>
    <t>monoliTuri rkinabetonis milis saTavisebis da sabjenebis mowyoba</t>
  </si>
  <si>
    <r>
      <rPr>
        <sz val="11"/>
        <rFont val="Arial"/>
        <family val="2"/>
        <charset val="204"/>
      </rPr>
      <t>B</t>
    </r>
    <r>
      <rPr>
        <sz val="11"/>
        <rFont val="AcadNusx"/>
      </rPr>
      <t>-18.5</t>
    </r>
  </si>
  <si>
    <t>sisqiT 25sm</t>
  </si>
  <si>
    <t>ГОСТ 25607-83 sisqiT 18sm</t>
  </si>
  <si>
    <t xml:space="preserve">ГОСТ9128-84 sisqiT 7sm          </t>
  </si>
  <si>
    <t>miwis vakisis aRdgena-mowyoba</t>
  </si>
  <si>
    <t>rk.betonis sworxuTxa milebis 2X2 mowyoba</t>
  </si>
  <si>
    <t>ha</t>
  </si>
  <si>
    <t>amomZirkveli-momgrovebeli traqtori 79kvt(108cx.Z)</t>
  </si>
  <si>
    <t>buldozeri 79kvt(108cx.Z)</t>
  </si>
  <si>
    <t>lokaluri   xarjTaRricxva #8</t>
  </si>
  <si>
    <t>lok. xarj. #10</t>
  </si>
  <si>
    <t xml:space="preserve">stadiaze </t>
  </si>
  <si>
    <t>erT. ganz</t>
  </si>
  <si>
    <t>kldovani gruntis gafxviereba eqskavatoris bazaze damontaJebuli sangrevi CaquCebiT "kodala", datvirTva avtotTviTmclelebze</t>
  </si>
  <si>
    <t>xreSovani baliSis mowyoba rk.betonis kiuvetebis qveS sisqiT 10sm</t>
  </si>
  <si>
    <t>anakrebi rk.betonis kiuvetebis kveTiT 0.4X0.4 mowyoba</t>
  </si>
  <si>
    <t>Seadgina:               v. adonia                 Seamowma:               p. miqelaZe</t>
  </si>
  <si>
    <t>manq-sT</t>
  </si>
  <si>
    <t>27-5-9</t>
  </si>
  <si>
    <t>anakrebi rk.betonis kiuvetebis mowyoba kveTiT 0,4X0,4m</t>
  </si>
  <si>
    <t>krani</t>
  </si>
  <si>
    <t>anakrebi rk.betonis kiuvetebi</t>
  </si>
  <si>
    <t>sxva  manqanebi</t>
  </si>
  <si>
    <t>anakrebi rk.betonis kiuvetebi kveTiT 0,4X0,4m</t>
  </si>
  <si>
    <t xml:space="preserve">yrilis mowyoba eqskavatoriT, kldovani qanebis balastiT, Cayra da mosworeba </t>
  </si>
  <si>
    <t>Qqveda</t>
  </si>
  <si>
    <t>Qzeda</t>
  </si>
  <si>
    <t>kldovani qanebis balasti</t>
  </si>
  <si>
    <t>gabionis fleTili qva</t>
  </si>
  <si>
    <t>fleTili qva</t>
  </si>
  <si>
    <t>0+40</t>
  </si>
  <si>
    <t xml:space="preserve">zednadebi xarjebi 10%: </t>
  </si>
  <si>
    <t xml:space="preserve">gegmiuri dagroveba 8%:   </t>
  </si>
  <si>
    <t>zednadebi xarjebi 10%:</t>
  </si>
  <si>
    <t>gegmiuri dagroveba 8%:</t>
  </si>
  <si>
    <t xml:space="preserve">Txrilis Sevseba eqskavatoriT, kldovani qanebis balastiT, Cayra da mosworeba </t>
  </si>
  <si>
    <r>
      <t>eqskavatori V-1.0 m</t>
    </r>
    <r>
      <rPr>
        <vertAlign val="superscript"/>
        <sz val="12"/>
        <rFont val="AcadNusx"/>
      </rPr>
      <t>3</t>
    </r>
  </si>
  <si>
    <t>rk.betonis kiuvetebi kveTiT 0.4-0.4m</t>
  </si>
  <si>
    <t>lokaluri  xarjTaRricxva  #5</t>
  </si>
  <si>
    <t>lokaluri  xarjTaRricxva  #6</t>
  </si>
  <si>
    <t>lokaluri   xarjTaRricxva #9</t>
  </si>
  <si>
    <t>lokaluri  xarjTaRricxva  #10</t>
  </si>
  <si>
    <t>lokaluri   xarjTaRricxva #11</t>
  </si>
  <si>
    <t>anakrebi rk.betonis kiuvetebis mowyoba kveTiT 0.4X0.4m</t>
  </si>
  <si>
    <t xml:space="preserve">III jg. gruntis damuSaveba kiuvetebSi xeliT </t>
  </si>
  <si>
    <t xml:space="preserve">III jg. gruntis damuSaveba xeliT </t>
  </si>
  <si>
    <r>
      <t>III jg gruntebis damuSaveba kiuvetebSi eqskavatoriT V-1.0 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avtoTviTmcvlelebze</t>
    </r>
  </si>
  <si>
    <t>anakrebi rk.betonis kiuvetebis mowyoba kveTiT 0.4-0.4m</t>
  </si>
  <si>
    <r>
      <t xml:space="preserve">betoni </t>
    </r>
    <r>
      <rPr>
        <sz val="11"/>
        <rFont val="Arial"/>
        <family val="2"/>
        <charset val="204"/>
      </rPr>
      <t>B</t>
    </r>
    <r>
      <rPr>
        <sz val="11"/>
        <rFont val="AcadNusx"/>
      </rPr>
      <t>-22.5</t>
    </r>
  </si>
  <si>
    <r>
      <t xml:space="preserve">armatura </t>
    </r>
    <r>
      <rPr>
        <sz val="11"/>
        <rFont val="Arial"/>
        <family val="2"/>
        <charset val="204"/>
      </rPr>
      <t>A</t>
    </r>
    <r>
      <rPr>
        <sz val="11"/>
        <rFont val="AcadNusx"/>
      </rPr>
      <t xml:space="preserve">-III </t>
    </r>
    <r>
      <rPr>
        <sz val="11"/>
        <rFont val="Arial"/>
        <family val="2"/>
        <charset val="204"/>
      </rPr>
      <t>d</t>
    </r>
    <r>
      <rPr>
        <sz val="11"/>
        <rFont val="AcadNusx"/>
      </rPr>
      <t>=10mm</t>
    </r>
  </si>
  <si>
    <r>
      <t xml:space="preserve">armatura </t>
    </r>
    <r>
      <rPr>
        <sz val="11"/>
        <rFont val="Arial"/>
        <family val="2"/>
        <charset val="204"/>
      </rPr>
      <t>A</t>
    </r>
    <r>
      <rPr>
        <sz val="11"/>
        <rFont val="AcadNusx"/>
      </rPr>
      <t xml:space="preserve">-III </t>
    </r>
    <r>
      <rPr>
        <sz val="11"/>
        <rFont val="Arial"/>
        <family val="2"/>
        <charset val="204"/>
      </rPr>
      <t>d</t>
    </r>
    <r>
      <rPr>
        <sz val="11"/>
        <rFont val="AcadNusx"/>
      </rPr>
      <t>=8mm</t>
    </r>
  </si>
  <si>
    <r>
      <t xml:space="preserve">armatura </t>
    </r>
    <r>
      <rPr>
        <sz val="11"/>
        <rFont val="Arial"/>
        <family val="2"/>
        <charset val="204"/>
      </rPr>
      <t>A</t>
    </r>
    <r>
      <rPr>
        <sz val="11"/>
        <rFont val="AcadNusx"/>
      </rPr>
      <t xml:space="preserve">-III </t>
    </r>
    <r>
      <rPr>
        <sz val="11"/>
        <rFont val="Arial"/>
        <family val="2"/>
        <charset val="204"/>
      </rPr>
      <t>d</t>
    </r>
    <r>
      <rPr>
        <sz val="11"/>
        <rFont val="AcadNusx"/>
      </rPr>
      <t>=12mm</t>
    </r>
  </si>
  <si>
    <r>
      <t>III jg gruntebis damuSaveba arxis Txrilis mosawyobad eqskavatoriT V-1.0 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avtoTviTmcvlelebze</t>
    </r>
  </si>
  <si>
    <r>
      <t>ГОСТ11955-82 
1m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-0,3l       </t>
    </r>
  </si>
  <si>
    <r>
      <t>ГОСТ11955-82 
1m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-0,6l       </t>
    </r>
  </si>
  <si>
    <t>mierTebebze gzis samosis mowyoba</t>
  </si>
  <si>
    <t>gruntis gatana nayarSi 10 km-mde</t>
  </si>
  <si>
    <t>gruntis gatana nayarSi 10 km-ze</t>
  </si>
  <si>
    <t>zidva-10km.</t>
  </si>
  <si>
    <t>pk7+80</t>
  </si>
  <si>
    <r>
      <t>L-34.0</t>
    </r>
    <r>
      <rPr>
        <sz val="10"/>
        <rFont val="AcadMtavr"/>
      </rPr>
      <t>m</t>
    </r>
    <r>
      <rPr>
        <sz val="10"/>
        <rFont val="Arial"/>
        <family val="2"/>
        <charset val="204"/>
      </rPr>
      <t>.</t>
    </r>
  </si>
  <si>
    <t>gatana 
10,0km-mde</t>
  </si>
  <si>
    <t>pk0+00</t>
  </si>
  <si>
    <t>pk8+60</t>
  </si>
  <si>
    <t>asfaltobetonis safaris mowyoba 
mierTebebze</t>
  </si>
  <si>
    <t>Sedgenilia  2017 wlis III kvartlis fasebSi</t>
  </si>
  <si>
    <t>lok. xarj. #11</t>
  </si>
  <si>
    <t>anakrebi rk.betonis kiuvetebis kveTiT 0.4X0.4m mowyobis moculobebis uwyisi #3</t>
  </si>
  <si>
    <t>monoliTuri rk.betonis 2,0X2,0m. sworkuTxa milis 
samuSaoTa moculobebis uwyisi #5</t>
  </si>
  <si>
    <t>rk.betonis arxi kveTiT 0.8-1.3m</t>
  </si>
  <si>
    <t>jami 1</t>
  </si>
  <si>
    <t>jami 2</t>
  </si>
  <si>
    <t>jami 3</t>
  </si>
  <si>
    <t>jami 4</t>
  </si>
  <si>
    <t>manZili
ganivebs
Soris</t>
  </si>
  <si>
    <t>saSualo
manZili</t>
  </si>
  <si>
    <t>Wrili</t>
  </si>
  <si>
    <t xml:space="preserve">yrili </t>
  </si>
  <si>
    <r>
      <t>farTobi 
m</t>
    </r>
    <r>
      <rPr>
        <vertAlign val="superscript"/>
        <sz val="12"/>
        <rFont val="AcadNusx"/>
      </rPr>
      <t>2</t>
    </r>
  </si>
  <si>
    <r>
      <t>moculoba m</t>
    </r>
    <r>
      <rPr>
        <vertAlign val="superscript"/>
        <sz val="12"/>
        <rFont val="AcadNusx"/>
      </rPr>
      <t>3</t>
    </r>
  </si>
  <si>
    <t>1+00</t>
  </si>
  <si>
    <t>2+00</t>
  </si>
  <si>
    <t>3+00</t>
  </si>
  <si>
    <t>4+00</t>
  </si>
  <si>
    <t>5+00</t>
  </si>
  <si>
    <t>Seadgina:            v. adonia             Seamowma:         p. miqelaZe</t>
  </si>
  <si>
    <t>0+20</t>
  </si>
  <si>
    <t>0+60</t>
  </si>
  <si>
    <t>0+80</t>
  </si>
  <si>
    <t>1+20</t>
  </si>
  <si>
    <t>1+40</t>
  </si>
  <si>
    <t>1+60</t>
  </si>
  <si>
    <t>1+80</t>
  </si>
  <si>
    <t>2+20</t>
  </si>
  <si>
    <t>2+40</t>
  </si>
  <si>
    <t>2+60</t>
  </si>
  <si>
    <t>2+80</t>
  </si>
  <si>
    <t>3+20</t>
  </si>
  <si>
    <t>3+40</t>
  </si>
  <si>
    <t>3+60</t>
  </si>
  <si>
    <t>3+80</t>
  </si>
  <si>
    <t>4+20</t>
  </si>
  <si>
    <t>4+40</t>
  </si>
  <si>
    <t>4+60</t>
  </si>
  <si>
    <t>4+80</t>
  </si>
  <si>
    <t>5+20</t>
  </si>
  <si>
    <t>5+40</t>
  </si>
  <si>
    <t>5+60</t>
  </si>
  <si>
    <t>8+60</t>
  </si>
  <si>
    <t xml:space="preserve">saerTaSoriso mniSvnelobis senaki-foTi (asaqcevi)-sarfis (TurqeTis respublikis sazRvari) saavtomobilo gzis Caqvi-maxinjauris monakveTze, saavtomobilo gvirabis mimdebared, mosabrunebeli saavtomobilo gzis mowyoba
miwis vakisis mowyobis piketuri daTvlis uwyisi #1 </t>
  </si>
  <si>
    <t>42/5</t>
  </si>
  <si>
    <t>pk0+64</t>
  </si>
  <si>
    <r>
      <t xml:space="preserve">liTonis mili </t>
    </r>
    <r>
      <rPr>
        <sz val="12"/>
        <rFont val="Arial"/>
        <family val="2"/>
        <charset val="204"/>
      </rPr>
      <t>d</t>
    </r>
    <r>
      <rPr>
        <sz val="12"/>
        <rFont val="AcadNusx"/>
      </rPr>
      <t>=1.0m</t>
    </r>
  </si>
  <si>
    <t>milebis orfeniani hidroizolacia bitumiT</t>
  </si>
  <si>
    <t xml:space="preserve"> rk. betoni saTavisi:</t>
  </si>
  <si>
    <t xml:space="preserve"> rk.betoni Wa:</t>
  </si>
  <si>
    <r>
      <t xml:space="preserve">wyalgamtari liTonis </t>
    </r>
    <r>
      <rPr>
        <sz val="10"/>
        <rFont val="Arial"/>
        <family val="2"/>
        <charset val="204"/>
      </rPr>
      <t>d</t>
    </r>
    <r>
      <rPr>
        <sz val="10"/>
        <rFont val="AcadNusx"/>
      </rPr>
      <t xml:space="preserve">=1.2m milis montaJi </t>
    </r>
    <r>
      <rPr>
        <sz val="12"/>
        <rFont val="Arial"/>
        <family val="2"/>
        <charset val="204"/>
      </rPr>
      <t/>
    </r>
  </si>
  <si>
    <t xml:space="preserve">miwis vakisze yrilis mowyoba, kldovani qanebis balastis Cayra, mosworeba </t>
  </si>
  <si>
    <t>1-118-3</t>
  </si>
  <si>
    <t>1-22-2</t>
  </si>
  <si>
    <r>
      <t>100 m</t>
    </r>
    <r>
      <rPr>
        <vertAlign val="superscript"/>
        <sz val="12"/>
        <rFont val="AcadNusx"/>
      </rPr>
      <t>3</t>
    </r>
  </si>
  <si>
    <r>
      <t>m</t>
    </r>
    <r>
      <rPr>
        <vertAlign val="superscript"/>
        <sz val="12"/>
        <color indexed="8"/>
        <rFont val="AcadNusx"/>
      </rPr>
      <t>3</t>
    </r>
  </si>
  <si>
    <t>sxva masalebi</t>
  </si>
  <si>
    <r>
      <t xml:space="preserve">betoni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>-30</t>
    </r>
  </si>
  <si>
    <t>srf</t>
  </si>
  <si>
    <t>wertilovani saZirkvlis mowyoba betoniT</t>
  </si>
  <si>
    <t>30-303</t>
  </si>
  <si>
    <t xml:space="preserve">el.ganaTebis liTonis boZebisa da sanaTebis mowyoba </t>
  </si>
  <si>
    <t>liTonis mili d-50</t>
  </si>
  <si>
    <t>liTonis mili d-127</t>
  </si>
  <si>
    <t>liTonis mili d-159</t>
  </si>
  <si>
    <t>liTonis furclovani 5mm</t>
  </si>
  <si>
    <t>eleqtrodi</t>
  </si>
  <si>
    <t>proeqt.</t>
  </si>
  <si>
    <t>sipCamWeri (TviTmxvreti) dioduri sanaTi aluminis korpusiT 30</t>
  </si>
  <si>
    <r>
      <t xml:space="preserve">vt. hermetulobis done </t>
    </r>
    <r>
      <rPr>
        <sz val="12"/>
        <rFont val="Arial"/>
        <family val="2"/>
        <charset val="204"/>
      </rPr>
      <t xml:space="preserve">IP </t>
    </r>
    <r>
      <rPr>
        <sz val="12"/>
        <rFont val="AcadNusx"/>
      </rPr>
      <t>65</t>
    </r>
  </si>
  <si>
    <t>ganaTebis boZebis SeRebva</t>
  </si>
  <si>
    <r>
      <t>100 m</t>
    </r>
    <r>
      <rPr>
        <vertAlign val="superscript"/>
        <sz val="12"/>
        <rFont val="AcadNusx"/>
      </rPr>
      <t>2</t>
    </r>
  </si>
  <si>
    <t>zeTovani saRebavi</t>
  </si>
  <si>
    <t>Zalovani izolirebuli kabelis 4X16 mowyoba 
(50m dasaerTeblad)</t>
  </si>
  <si>
    <t>Zalovani izolirebuli kabelis 4X16</t>
  </si>
  <si>
    <t>el. sadenis 2X2.25 mowyoba</t>
  </si>
  <si>
    <t>damiwebis mowyoba</t>
  </si>
  <si>
    <t>8-612-11</t>
  </si>
  <si>
    <t>el. yuTebis mowyoba</t>
  </si>
  <si>
    <t>100 
cali</t>
  </si>
  <si>
    <t>el. yuTi</t>
  </si>
  <si>
    <t>avtomaturi amomrTveli</t>
  </si>
  <si>
    <t>fotoreles montaJi</t>
  </si>
  <si>
    <t>el. kabelis boZTan misamagrebeli uReli (kronSteini)</t>
  </si>
  <si>
    <t>Tavi #7 el. samontaJo samuSaoebi</t>
  </si>
  <si>
    <t>gare ganaTebis mowyoba</t>
  </si>
  <si>
    <t>el. sadenis 2X2.5</t>
  </si>
  <si>
    <r>
      <t xml:space="preserve">wyalgamtari liTonis milebis mowyoba </t>
    </r>
    <r>
      <rPr>
        <sz val="12"/>
        <rFont val="Arial"/>
        <family val="2"/>
        <charset val="204"/>
      </rPr>
      <t>d</t>
    </r>
    <r>
      <rPr>
        <sz val="12"/>
        <rFont val="AcadNusx"/>
      </rPr>
      <t>-1.2m 
1grZ.m-242kg 4 adgilze</t>
    </r>
  </si>
  <si>
    <t>amwe saatomobilo svlaze</t>
  </si>
  <si>
    <t>manq/sT</t>
  </si>
  <si>
    <r>
      <rPr>
        <sz val="12"/>
        <color indexed="8"/>
        <rFont val="AcadNusx"/>
      </rPr>
      <t>betoni</t>
    </r>
    <r>
      <rPr>
        <sz val="12"/>
        <color indexed="8"/>
        <rFont val="GEOWIN_SMALL"/>
        <family val="1"/>
        <charset val="204"/>
      </rPr>
      <t xml:space="preserve"> </t>
    </r>
    <r>
      <rPr>
        <sz val="12"/>
        <color indexed="8"/>
        <rFont val="Arial"/>
        <family val="2"/>
        <charset val="204"/>
      </rPr>
      <t>B</t>
    </r>
    <r>
      <rPr>
        <sz val="12"/>
        <color indexed="8"/>
        <rFont val="AcadNusx"/>
      </rPr>
      <t>-30</t>
    </r>
  </si>
  <si>
    <r>
      <t xml:space="preserve">rk/betonis saTavisis mowyoba monoliTuri betoniT </t>
    </r>
    <r>
      <rPr>
        <sz val="12"/>
        <rFont val="Arial"/>
        <family val="2"/>
        <charset val="204"/>
      </rPr>
      <t>B</t>
    </r>
    <r>
      <rPr>
        <sz val="12"/>
        <rFont val="AcadNusx"/>
      </rPr>
      <t>-30</t>
    </r>
  </si>
  <si>
    <t>rk/betonis saTavisis armatura calkeuli Reroebisagan</t>
  </si>
  <si>
    <r>
      <t xml:space="preserve">rk/betonis Webis mowyoba monoliTuri betoniT </t>
    </r>
    <r>
      <rPr>
        <sz val="12"/>
        <rFont val="Arial"/>
        <family val="2"/>
        <charset val="204"/>
      </rPr>
      <t>B</t>
    </r>
    <r>
      <rPr>
        <sz val="12"/>
        <rFont val="AcadNusx"/>
      </rPr>
      <t>-30</t>
    </r>
  </si>
  <si>
    <t>rk/betonis Webis armatura calkeuli Reroebisagan</t>
  </si>
  <si>
    <r>
      <t>gare ganaTebis liTonis (</t>
    </r>
    <r>
      <rPr>
        <sz val="12"/>
        <rFont val="Times New Roman"/>
        <family val="1"/>
        <charset val="204"/>
      </rPr>
      <t>Ø</t>
    </r>
    <r>
      <rPr>
        <sz val="12"/>
        <rFont val="AcadNusx"/>
      </rPr>
      <t xml:space="preserve">200 mm, </t>
    </r>
    <r>
      <rPr>
        <sz val="12"/>
        <rFont val="Times New Roman"/>
        <family val="1"/>
        <charset val="204"/>
      </rPr>
      <t>h</t>
    </r>
    <r>
      <rPr>
        <sz val="12"/>
        <rFont val="AcadNusx"/>
      </rPr>
      <t>-9 m) sayrdenebis (manWvali izolatorebiani traversiT da sanaTebiT) demontaJi da montaJi</t>
    </r>
  </si>
  <si>
    <t>22-5-18</t>
  </si>
  <si>
    <t>lokaluri  xarjTaRricxva  #4</t>
  </si>
  <si>
    <r>
      <t xml:space="preserve">liTonis milebis </t>
    </r>
    <r>
      <rPr>
        <sz val="12"/>
        <rFont val="Arial"/>
        <family val="2"/>
        <charset val="204"/>
      </rPr>
      <t>d</t>
    </r>
    <r>
      <rPr>
        <sz val="12"/>
        <rFont val="AcadNusx"/>
      </rPr>
      <t xml:space="preserve">=1.2m mowyoba </t>
    </r>
  </si>
  <si>
    <t>lokaluri   xarjTaRricxva #12</t>
  </si>
  <si>
    <t>lok. xarj. #12</t>
  </si>
  <si>
    <t>jami 5</t>
  </si>
  <si>
    <t>jami 6</t>
  </si>
  <si>
    <t>jami 8</t>
  </si>
  <si>
    <t>jami 9</t>
  </si>
  <si>
    <t>jami 10</t>
  </si>
  <si>
    <t>jami 11</t>
  </si>
  <si>
    <t>jami 12</t>
  </si>
  <si>
    <t>erT</t>
  </si>
  <si>
    <t xml:space="preserve">  gare ganaTebis  mowyoba</t>
  </si>
  <si>
    <t>anakrebi rk.betonis arxis mowyoba kveTiT 0.8-1.2m</t>
  </si>
  <si>
    <r>
      <t xml:space="preserve">rk/betonis Webis mowyoba monoliTuri betoniT </t>
    </r>
    <r>
      <rPr>
        <sz val="11"/>
        <rFont val="Arial"/>
        <family val="2"/>
        <charset val="204"/>
      </rPr>
      <t>B</t>
    </r>
    <r>
      <rPr>
        <sz val="11"/>
        <rFont val="AcadNusx"/>
      </rPr>
      <t>-30</t>
    </r>
  </si>
  <si>
    <t>lok. xarj. #13</t>
  </si>
  <si>
    <t>droebiTi gzis mowyoba</t>
  </si>
  <si>
    <t>gare ganaTebis  mowyoba</t>
  </si>
  <si>
    <r>
      <t xml:space="preserve">SeniSvna:  </t>
    </r>
    <r>
      <rPr>
        <sz val="11"/>
        <color indexed="8"/>
        <rFont val="AcadNusx"/>
      </rPr>
      <t>1. qvesagebi fenis mowyoba qviSa-xreSovani nareviT sisqiT 25sm-638.0m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 xml:space="preserve">
           2. safuZvlis mowyoba fraqciuli RorRiT (0-40) sisqiT 18sm-638.0m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.
           3. zedapiris damuSaveba Txevadi bitumiT 1m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-0.6l 0.38 tona
           4. safaris  qveda fenis mowyoba  msxvilmarcvlovani forovani 
              RorRovani cxeli  asfaltobetonisagan sisqiT 7sm-638.0m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.
           5. zedapiris damuSaveba Txevadi bitumiT 1m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-0.3l 0.19 tona
           6. safaris zeda fenis mowyoba  wvrilmarclovani mkvrivi
             RorRovani cxeli  asfaltobetonisagan sisqiT 5sm-638.0m</t>
    </r>
    <r>
      <rPr>
        <vertAlign val="superscript"/>
        <sz val="11"/>
        <color indexed="8"/>
        <rFont val="AcadNusx"/>
      </rPr>
      <t>2</t>
    </r>
    <r>
      <rPr>
        <sz val="11"/>
        <color indexed="8"/>
        <rFont val="AcadNusx"/>
      </rPr>
      <t>.</t>
    </r>
  </si>
  <si>
    <r>
      <t>armirebuli bio-safeni masalis ("</t>
    </r>
    <r>
      <rPr>
        <sz val="12"/>
        <rFont val="Arial"/>
        <family val="2"/>
        <charset val="204"/>
      </rPr>
      <t>Makmat-R</t>
    </r>
    <r>
      <rPr>
        <sz val="12"/>
        <rFont val="AcadNusx"/>
      </rPr>
      <t xml:space="preserve">" an eqvivalenti) miwodeba, gaSla da damagreba ferdebze specifikaciebis mixedviT, balaxis moTesvisa da yvela damxmare masalisa da samuSaos CaTvliT
</t>
    </r>
  </si>
  <si>
    <r>
      <t>armirebuli bio-safeni "</t>
    </r>
    <r>
      <rPr>
        <sz val="12"/>
        <rFont val="Arial"/>
        <family val="2"/>
        <charset val="204"/>
      </rPr>
      <t>Makmat-R1</t>
    </r>
    <r>
      <rPr>
        <sz val="12"/>
        <rFont val="AcadNusx"/>
      </rPr>
      <t>" 2.7mm, ujrediT 8X10</t>
    </r>
  </si>
  <si>
    <r>
      <t>armirebuli bio-safeni masalis ("</t>
    </r>
    <r>
      <rPr>
        <sz val="11"/>
        <rFont val="Arial"/>
        <family val="2"/>
        <charset val="204"/>
      </rPr>
      <t>Makmat-R</t>
    </r>
    <r>
      <rPr>
        <sz val="11"/>
        <rFont val="AcadNusx"/>
      </rPr>
      <t>" an eqvivalenti) miwodeba, gaSla da damagreba ferdebze specifikaciebis mixedviT, balaxis moTesvisa da yvela damxmare masalisa da samuSaos CaTvliT</t>
    </r>
  </si>
  <si>
    <t>trasis dakvalva da damagreba</t>
  </si>
  <si>
    <t>anakrebi rk.betonis arxis kveTiT 0.8-1.2m mowyobis moculobebis uwyisi #2</t>
  </si>
  <si>
    <t>anakrebi rk.betonis kiuvetebis mowyoba kveTiT 0.8X12m</t>
  </si>
  <si>
    <t>Ria arxze liTonis cxaurebis mowyoba (kuTxovana 80X80X8mm, Sveleri #6.5, armatura ф-22mm a-III)</t>
  </si>
  <si>
    <t>kuTxovana 80X80X8mm 1grZ.m-9,65kg.</t>
  </si>
  <si>
    <t>kg.</t>
  </si>
  <si>
    <t>Sveleri №6,5 1grZ.m-5,9kg.</t>
  </si>
  <si>
    <r>
      <t xml:space="preserve">armatura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=22mm </t>
    </r>
    <r>
      <rPr>
        <sz val="11"/>
        <rFont val="Cambria"/>
        <family val="1"/>
        <charset val="204"/>
      </rPr>
      <t xml:space="preserve">A-III  </t>
    </r>
    <r>
      <rPr>
        <sz val="11"/>
        <rFont val="AcadNusx"/>
      </rPr>
      <t>1grZ.m-2,98kg.</t>
    </r>
  </si>
  <si>
    <t>Ria arxze liTonis cxaurebis mowyoba 40 grZ.m (kuTxovana 80X80X8mm, Sveleri #6.5, armatura ф-22mm a-III)</t>
  </si>
  <si>
    <t>trasis aRdgena damagreba koordinatTa sistemaSi</t>
  </si>
  <si>
    <t xml:space="preserve">kedlis ukan yrilis mowyoba kldovani qanebis balastiT, Cayra da mosworeba eqskavatoriT </t>
  </si>
  <si>
    <t xml:space="preserve">gabionis ukan yrilis mowyoba kldovani qanebis balastiT, Cayra da mosworeba eqskavatoriT </t>
  </si>
  <si>
    <t>qvabulis damuSaveba sangrevi CaquCiT V jg. gruntebSi</t>
  </si>
  <si>
    <t>Seadgina:                v. adonia               Seamowma:              p. miqelaZe</t>
  </si>
  <si>
    <t>pk1+72</t>
  </si>
  <si>
    <t>pk3+17</t>
  </si>
  <si>
    <t>pk6+27</t>
  </si>
  <si>
    <t>pk1+00-pk1+42</t>
  </si>
  <si>
    <t>42/2</t>
  </si>
  <si>
    <t>pk1+42-pk2+02</t>
  </si>
  <si>
    <t>60/3</t>
  </si>
  <si>
    <t>pk2+02-pk2+42</t>
  </si>
  <si>
    <t>40/4</t>
  </si>
  <si>
    <t>pk2+42-pk3+04</t>
  </si>
  <si>
    <t>pk3+04-pk3+60</t>
  </si>
  <si>
    <t>56/6</t>
  </si>
  <si>
    <t>pk0+90-pk1+96</t>
  </si>
  <si>
    <t>106/6</t>
  </si>
  <si>
    <t>pk1+96-pk2+00</t>
  </si>
  <si>
    <t>4/7</t>
  </si>
  <si>
    <t>pk2+00-pk2+82</t>
  </si>
  <si>
    <t>82/8</t>
  </si>
  <si>
    <t>2/7</t>
  </si>
  <si>
    <t>pk2+82-pk2+84</t>
  </si>
  <si>
    <t>2/6</t>
  </si>
  <si>
    <t>8/5</t>
  </si>
  <si>
    <t>pk2+86-pk2+94</t>
  </si>
  <si>
    <t>pk2+84-pk2+86</t>
  </si>
  <si>
    <t>12.10</t>
  </si>
  <si>
    <t>6.10</t>
  </si>
  <si>
    <t>jami 7</t>
  </si>
  <si>
    <t>Seadgina:                       p. miqelaZe</t>
  </si>
  <si>
    <r>
      <t>rk/betonis saTavisis mowyoba monoliTuri betoniT</t>
    </r>
    <r>
      <rPr>
        <sz val="11"/>
        <rFont val="Arial"/>
        <family val="2"/>
        <charset val="204"/>
      </rPr>
      <t xml:space="preserve"> B</t>
    </r>
    <r>
      <rPr>
        <sz val="11"/>
        <rFont val="AcadNusx"/>
      </rPr>
      <t>-30</t>
    </r>
  </si>
  <si>
    <r>
      <t>Wrilis mowyoba III jg. gruntebSi eqskavatoriT muxluxa svlaze V-1.0m</t>
    </r>
    <r>
      <rPr>
        <vertAlign val="superscript"/>
        <sz val="11"/>
        <rFont val="AcadNusx"/>
      </rPr>
      <t>3</t>
    </r>
    <r>
      <rPr>
        <sz val="11"/>
        <rFont val="AcadNusx"/>
      </rPr>
      <t xml:space="preserve"> datvirTva avtoTviTmclelebze gatana nayarSi</t>
    </r>
  </si>
  <si>
    <t>Seadgina:                           v. adonia                                Seamowma:                        p. miqelaZe</t>
  </si>
  <si>
    <t>Seadgina:               v. adonia             Seamowma:                   p. miqelaZe</t>
  </si>
  <si>
    <t>Seadgina:               v. adonia            Seamowma:                p. miqelaZe</t>
  </si>
  <si>
    <r>
      <t xml:space="preserve">rk/betonis saTavisis mowyoba monoliTuri betoniT                          </t>
    </r>
    <r>
      <rPr>
        <sz val="11"/>
        <rFont val="Arial"/>
        <family val="2"/>
        <charset val="204"/>
      </rPr>
      <t>B</t>
    </r>
    <r>
      <rPr>
        <sz val="11"/>
        <rFont val="AcadNusx"/>
      </rPr>
      <t>-30</t>
    </r>
  </si>
  <si>
    <t>direqtori:                    a. beriZe</t>
  </si>
  <si>
    <t>Seadgina:                        p. miqelaZe</t>
  </si>
  <si>
    <t xml:space="preserve"> rk.betoni Wa 3 adgilze:</t>
  </si>
  <si>
    <r>
      <t>m</t>
    </r>
    <r>
      <rPr>
        <vertAlign val="superscript"/>
        <sz val="11"/>
        <rFont val="AcadMtavr"/>
      </rPr>
      <t>3</t>
    </r>
  </si>
  <si>
    <t>axali saniaRvre Wis oTxkuTxa cxauris montaJi CarCoTi 500X500</t>
  </si>
  <si>
    <t>SromiTi resursebi</t>
  </si>
  <si>
    <t>k/sT</t>
  </si>
  <si>
    <t>qviSa-cementis xsnari</t>
  </si>
  <si>
    <t>Tujis oTxkuTxa cxauri CarCoTi 500X500</t>
  </si>
  <si>
    <t>23-23-1</t>
  </si>
  <si>
    <t>rk.betonis Webis gadaxurva Tujis cxauriT 500X500</t>
  </si>
  <si>
    <t>saerTaSoriso mniSvnelobis senaki-foTi(asaqcevi)-sarfis (TurqeTis respublikis sazRvari) saavtomobilo gzis Caqvi-maxinjauris monakveTze, saavtomobilo gvirabis mimdebared, mosabrunebeli saavtomobilo gzis mowyobis samuSaoebi</t>
  </si>
  <si>
    <t>saerTaSoriso mniSvnelobis senaki-foTi (asaqcevi)-sarfis (TurqeTis respublikis sazRvari) s/gzis Caqvi-maxinjauris monakveTze, saavtomobilo gvirabis mimdebared, mosabrunebeli saavtomobilo gzis mowyoba</t>
  </si>
  <si>
    <t>gabionis sayrdeni kedlebis mowyobis samuSaoTa moculobebis uwyisi #6</t>
  </si>
  <si>
    <t>sagzao samosis mowyobis uwyisi #7</t>
  </si>
  <si>
    <t>mierTebebis adgilmdebareoba da farTis piketuri 
daTvlis uwyisi #8</t>
  </si>
  <si>
    <t>liTonis Tvalamridebis mowyobis uwyisi #9</t>
  </si>
  <si>
    <t>axali saniaRvre Wis oTxkuTxa cxauris montaJi CarCoTi 600X600</t>
  </si>
  <si>
    <t>Tujis oTxkuTxa cxauri CarCoTi 600X600</t>
  </si>
  <si>
    <r>
      <t xml:space="preserve">wyalgamtari liTonis milebis mowyoba </t>
    </r>
    <r>
      <rPr>
        <sz val="12"/>
        <rFont val="Arial"/>
        <family val="2"/>
        <charset val="204"/>
      </rPr>
      <t>d</t>
    </r>
    <r>
      <rPr>
        <sz val="12"/>
        <rFont val="AcadNusx"/>
      </rPr>
      <t>-0.5m 
1grZ.m-62.4kg 2 adgilze</t>
    </r>
  </si>
  <si>
    <t>5.11</t>
  </si>
  <si>
    <t>1-52-3/6</t>
  </si>
  <si>
    <t>22-5-11</t>
  </si>
  <si>
    <t>15-164-8</t>
  </si>
  <si>
    <t>8-574-58</t>
  </si>
  <si>
    <t xml:space="preserve">гэсн 01-02-094-01
снип 4-6-82 1-11-5 </t>
  </si>
  <si>
    <t>eqskavatori</t>
  </si>
  <si>
    <t>0.0132</t>
  </si>
  <si>
    <t>1-80-3
k=1.2</t>
  </si>
  <si>
    <t>912*1.6</t>
  </si>
  <si>
    <t>310*1,6</t>
  </si>
  <si>
    <t>95*1,6</t>
  </si>
  <si>
    <t>6-16-13</t>
  </si>
  <si>
    <r>
      <t>m</t>
    </r>
    <r>
      <rPr>
        <vertAlign val="superscript"/>
        <sz val="12"/>
        <color indexed="8"/>
        <rFont val="AcadNusx"/>
      </rPr>
      <t>2</t>
    </r>
  </si>
  <si>
    <t>yalibis farebi</t>
  </si>
  <si>
    <t>Casayolebeli detalebi</t>
  </si>
  <si>
    <t>100 tn</t>
  </si>
  <si>
    <t>9-17-5</t>
  </si>
  <si>
    <t>liTonis konstruqcia</t>
  </si>
  <si>
    <r>
      <t xml:space="preserve">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>-18.5</t>
    </r>
  </si>
  <si>
    <t>34*1.6</t>
  </si>
  <si>
    <r>
      <t>ganaTebis boZebis mosawyobad III jg gruntebis damuSaveba eqskavatoriT V-1.0 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datvirTviT avtoTviTmcvlelebze</t>
    </r>
  </si>
  <si>
    <t>eleqtro sadguri moZravi 30kv</t>
  </si>
  <si>
    <t>kompresori</t>
  </si>
  <si>
    <t>33-124-1.4</t>
  </si>
  <si>
    <t>1 kompleqti</t>
  </si>
  <si>
    <t xml:space="preserve">eqskavatori V=0.25 m3 </t>
  </si>
  <si>
    <t>mowyobiloba eleqtrodis CasaRmavleblad</t>
  </si>
  <si>
    <t>SeduRebis aparati</t>
  </si>
  <si>
    <t>foladi 12 mm</t>
  </si>
  <si>
    <t>foladi 8 mm</t>
  </si>
  <si>
    <t>eqskavatori moSandakebis</t>
  </si>
  <si>
    <t>vibraciuli satkepni</t>
  </si>
  <si>
    <t>eleqtro burRi</t>
  </si>
  <si>
    <t>mravalwlovani balaxis daTesva</t>
  </si>
  <si>
    <t xml:space="preserve">ГЭСН 27-08-003-01
1-122-3
</t>
  </si>
  <si>
    <t xml:space="preserve">33-252-2
33-251-6
</t>
  </si>
  <si>
    <t>mburRavi manqana</t>
  </si>
  <si>
    <t>krani saavtomobilo svlaze</t>
  </si>
  <si>
    <t>1 sayrdeni</t>
  </si>
  <si>
    <t>1-112-1.4.7</t>
  </si>
  <si>
    <t xml:space="preserve">gzis ganTvisebis zolis gaTavisufleba xe-buCqnarisagan, xis fesvebis amoZirkva da gatana  </t>
  </si>
  <si>
    <t>savali nawilis horizontaluri moniSvna erTkomponentiani (TeTri) sagzao niSansadebi saRebaviT damzadebuli meTilmeTakrilatis safuZvelze, gaumjobesebuli Ramis xilvadobis Suqdamabrunebeli minis burTulakebiT  zomiT 100-600 m-mde, uwyveti xazebi siganiT 100mm</t>
  </si>
  <si>
    <t>saRebavi Suqdambrunebeli burTulebiT</t>
  </si>
  <si>
    <t>avtomaturi amomrTveli 16ა</t>
  </si>
  <si>
    <t>სნ და წ. 
IV-6-82 
ტ-6. 
ცხ.8-149-1</t>
  </si>
  <si>
    <t>sn da w  IV-2-82 t-5 cx.34-103</t>
  </si>
  <si>
    <t xml:space="preserve">მზა არხში დ-100მმ პნ-8 პლასტმასის გოფრირებული მილის ჩადება </t>
  </si>
  <si>
    <t>კაც.სთ</t>
  </si>
  <si>
    <t>2.6-111</t>
  </si>
  <si>
    <t>პლასტმასის  გოფრირებული მილი დ-100 მმ პნ-8</t>
  </si>
  <si>
    <t>გრ.მ</t>
  </si>
  <si>
    <t>21-17-1</t>
  </si>
  <si>
    <t>amwe</t>
  </si>
  <si>
    <t>სნ და წ. IV-6-82  ტ-6 ცხ.8-142-1</t>
  </si>
  <si>
    <t>შრომითი დანახარჯი 1,5*0,05</t>
  </si>
  <si>
    <t>მანქანები</t>
  </si>
  <si>
    <t>ლარი</t>
  </si>
  <si>
    <t>ქვიშა</t>
  </si>
  <si>
    <t>კუბ.მ</t>
  </si>
  <si>
    <t>კაბელის მანიშნებელი ლენტი</t>
  </si>
  <si>
    <t>სხვა მასალები</t>
  </si>
  <si>
    <t>არხში კაბელის ქვიშის საფენის და საფარის და კაბელის მაჩვენებელი ლენტის მოწყობა</t>
  </si>
  <si>
    <t>12.11</t>
  </si>
  <si>
    <t>12.12</t>
  </si>
  <si>
    <t>xis mWreli traqtori 79kvt(108cx.Z)</t>
  </si>
  <si>
    <t>focxi</t>
  </si>
  <si>
    <t>fleTili qva 35km</t>
  </si>
  <si>
    <t>kldovani qanebis balasti 35km</t>
  </si>
  <si>
    <t>ВНиР Сб13                                                                                                                                                                                                                    В 12-3-63
ЭСНиЕРр-01-03-012.1</t>
  </si>
  <si>
    <t>kldovani gruntis gafxviereba eqskavatoris bazaze damontaJebuli sangrevi CaquCebiT "kodala"</t>
  </si>
  <si>
    <t>376*1.6</t>
  </si>
  <si>
    <t>gabionebis mowyoba, gabionis yuTebi zomiT 2X1X1m 3954.0c, 1,5X1X1 2488.0c Sesakravi mavTuli 5.05tn</t>
  </si>
  <si>
    <t>Sedgina:                     p. miqelaZe</t>
  </si>
  <si>
    <r>
      <t xml:space="preserve">monoliTuri rkinabetonis milis mowyoba, 
betoni </t>
    </r>
    <r>
      <rPr>
        <sz val="12"/>
        <rFont val="Arial"/>
        <family val="2"/>
        <charset val="204"/>
      </rPr>
      <t>B30  F200 W6</t>
    </r>
  </si>
  <si>
    <t>maT Soris kldovani gruntis gafxviereba eqskavatoris bazaze damontaJebuli sangrevi CaquCebiT "kodala"</t>
  </si>
  <si>
    <r>
      <t>damuSavebuli gruntis eqskavatoriT muxluxa svlaze V-1.0m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datvirTva avtoTviTmclelebze</t>
    </r>
  </si>
  <si>
    <t>miwis vakisis datkepna satkepniT 30 sm-ian fenebad 
vibrosatkepnis 6 gavliT kvalze (k=1.22)</t>
  </si>
  <si>
    <t>anakrebi rk.betonis arxis mowyoba kveTiT 0.8X1.2m</t>
  </si>
  <si>
    <t>gadaxurvis rk.betonis monoliTuri filis mowyoba</t>
  </si>
  <si>
    <r>
      <t xml:space="preserve">liTonis milebis </t>
    </r>
    <r>
      <rPr>
        <b/>
        <sz val="11"/>
        <rFont val="AcadNusx"/>
      </rPr>
      <t xml:space="preserve">mowyoba </t>
    </r>
  </si>
  <si>
    <t>liTonis milebis mowyobis samuSaoTa moculobebis uwyisi #4</t>
  </si>
  <si>
    <t>gauTvaliswinebeli samuSaoebi 5.0%</t>
  </si>
  <si>
    <t>mosamzadebeli samuSaoebi</t>
  </si>
  <si>
    <t>gauTvaliswinebeli samuSaoebi 5%</t>
  </si>
  <si>
    <r>
      <t>Wrilis mowyoba III jg. gruntebSi eqskavatoriT muxluxa svlaze V-1.0m</t>
    </r>
    <r>
      <rPr>
        <vertAlign val="superscript"/>
        <sz val="12"/>
        <rFont val="AcadNusx"/>
      </rPr>
      <t>3</t>
    </r>
    <r>
      <rPr>
        <sz val="12"/>
        <rFont val="AcadNusx"/>
      </rPr>
      <t xml:space="preserve"> </t>
    </r>
  </si>
  <si>
    <t>qviSa-xreSovani narevi 35km</t>
  </si>
  <si>
    <t>RorRi 35km</t>
  </si>
  <si>
    <t>მათ შორის: შრომითი რესურსი</t>
  </si>
  <si>
    <t>zednadebi xarjebi (შრომითი რესურსიდან)B     75%</t>
  </si>
  <si>
    <t>liTonis milebis mowyoba</t>
  </si>
  <si>
    <t>63823*1,6</t>
  </si>
  <si>
    <t>gadaxurvis rk.betonis monoliTuri filis montaJi</t>
  </si>
  <si>
    <t>pk5+00-pk5+70</t>
  </si>
  <si>
    <t>70/5</t>
  </si>
  <si>
    <t>5+80</t>
  </si>
  <si>
    <t>5+90</t>
  </si>
  <si>
    <t>jami Tavi 1-12</t>
  </si>
  <si>
    <t>d.R.g 18 %</t>
  </si>
  <si>
    <t>jami d.R.g-s CaTvliT</t>
  </si>
  <si>
    <t>xarjTaRricxva</t>
  </si>
  <si>
    <t>saerTaSoriso mniSvnelobis senaki-foTi(asaqcevi)-sarfis (TurqeTis respublikis sazRvari) s/gzis Caqvi-maxinjauris monakveTze, saavtomobilo gvirabis mimdebared, mosabrunebeli saavtomobilo gzis mowyobis samuSaoebi (II etapi)</t>
  </si>
  <si>
    <t>დანართი N4</t>
  </si>
  <si>
    <t>* aRniSnuli Tanxis gamoyeneba moxdeba mxolod damkveTis (Semsyidvelis) nebarTviT, misive iniciativiT da/an mimwodeblis mier dasabuTebuli da argumentirebuli winadadebebis ganxilvisa da SeTanxmebis safuZvelze damkveTis (Semsyidvelis) saTanado gadawyvetilebebis miRebis Semdeg</t>
  </si>
  <si>
    <t>** fasebi iangariSeba saqarTvelos kanonmdeblobiT dadgenili yvela gadasaxadis gaTvaliswinebiT</t>
  </si>
  <si>
    <t>*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</si>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</sst>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0.00000"/>
  </numFmts>
  <fonts count="67">
    <font>
      <sz val="10"/>
      <name val="Arial Cyr"/>
      <charset val="204"/>
    </font>
    <font>
      <sz val="10"/>
      <name val="Arial Cyr"/>
      <charset val="204"/>
    </font>
    <font>
      <sz val="12"/>
      <name val="GEOWIN_SMALL"/>
      <family val="1"/>
      <charset val="204"/>
    </font>
    <font>
      <sz val="12"/>
      <name val="AcadNusx"/>
    </font>
    <font>
      <sz val="10"/>
      <name val="Arial Cyr"/>
      <charset val="204"/>
    </font>
    <font>
      <sz val="11"/>
      <name val="AcadNusx"/>
    </font>
    <font>
      <sz val="12"/>
      <color indexed="8"/>
      <name val="AcadNusx"/>
    </font>
    <font>
      <sz val="10"/>
      <name val="Arial"/>
      <family val="2"/>
      <charset val="204"/>
    </font>
    <font>
      <b/>
      <sz val="12"/>
      <name val="AcadNusx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vertAlign val="superscript"/>
      <sz val="12"/>
      <name val="AcadNusx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GEOWIN_SMALL"/>
      <family val="1"/>
      <charset val="204"/>
    </font>
    <font>
      <sz val="8"/>
      <name val="Arial"/>
      <family val="2"/>
      <charset val="204"/>
    </font>
    <font>
      <sz val="12"/>
      <name val="AcadMtavr"/>
    </font>
    <font>
      <sz val="12"/>
      <name val="GEO-Grigolia"/>
      <family val="2"/>
    </font>
    <font>
      <sz val="12"/>
      <name val="Arial"/>
      <family val="2"/>
      <charset val="204"/>
    </font>
    <font>
      <sz val="10"/>
      <name val="Acad Nusx Geo"/>
      <family val="2"/>
    </font>
    <font>
      <sz val="14"/>
      <name val="Acad Nusx Geo"/>
      <family val="2"/>
    </font>
    <font>
      <b/>
      <sz val="14"/>
      <name val="Acad Nusx Geo"/>
      <family val="2"/>
    </font>
    <font>
      <sz val="10"/>
      <name val="Arial"/>
      <family val="2"/>
      <charset val="204"/>
    </font>
    <font>
      <sz val="10"/>
      <name val="AcadNusx"/>
    </font>
    <font>
      <sz val="14"/>
      <name val="AcadNusx"/>
    </font>
    <font>
      <sz val="11"/>
      <name val="Arial"/>
      <family val="2"/>
      <charset val="204"/>
    </font>
    <font>
      <b/>
      <sz val="12"/>
      <name val="AcadMtavr"/>
    </font>
    <font>
      <vertAlign val="superscript"/>
      <sz val="11"/>
      <name val="AcadNusx"/>
    </font>
    <font>
      <sz val="12"/>
      <color indexed="8"/>
      <name val="GEOWIN_SMALL"/>
      <family val="1"/>
      <charset val="204"/>
    </font>
    <font>
      <vertAlign val="superscript"/>
      <sz val="12"/>
      <color indexed="8"/>
      <name val="AcadNusx"/>
    </font>
    <font>
      <sz val="11"/>
      <color indexed="8"/>
      <name val="AcadNusx"/>
    </font>
    <font>
      <sz val="10"/>
      <color indexed="8"/>
      <name val="AcadNusx"/>
    </font>
    <font>
      <vertAlign val="superscript"/>
      <sz val="11"/>
      <color indexed="8"/>
      <name val="AcadNusx"/>
    </font>
    <font>
      <vertAlign val="superscript"/>
      <sz val="10"/>
      <color indexed="8"/>
      <name val="AcadNusx"/>
    </font>
    <font>
      <sz val="11"/>
      <name val="AcadMtavr"/>
    </font>
    <font>
      <sz val="12"/>
      <color indexed="8"/>
      <name val="Arial"/>
      <family val="2"/>
      <charset val="204"/>
    </font>
    <font>
      <b/>
      <sz val="12"/>
      <color indexed="8"/>
      <name val="AcadMtavr"/>
    </font>
    <font>
      <b/>
      <sz val="11"/>
      <name val="AcadNusx"/>
    </font>
    <font>
      <sz val="12"/>
      <name val="Times New Roman"/>
      <family val="1"/>
      <charset val="204"/>
    </font>
    <font>
      <vertAlign val="superscript"/>
      <sz val="10"/>
      <name val="AcadNusx"/>
    </font>
    <font>
      <sz val="10"/>
      <name val="Arial"/>
      <family val="2"/>
      <charset val="204"/>
    </font>
    <font>
      <sz val="12"/>
      <name val="Arial Cyr"/>
      <charset val="204"/>
    </font>
    <font>
      <sz val="10"/>
      <name val="AcadMtavr"/>
    </font>
    <font>
      <sz val="10"/>
      <name val="Times New Roman"/>
      <family val="1"/>
      <charset val="204"/>
    </font>
    <font>
      <vertAlign val="superscript"/>
      <sz val="10"/>
      <name val="AcadMtavr"/>
    </font>
    <font>
      <sz val="10"/>
      <name val="Arial Cyr"/>
      <charset val="1"/>
    </font>
    <font>
      <b/>
      <sz val="11"/>
      <name val="AcadMtavr"/>
    </font>
    <font>
      <sz val="13"/>
      <name val="AcadNusx"/>
    </font>
    <font>
      <sz val="11"/>
      <name val="Times New Roman"/>
      <family val="1"/>
      <charset val="204"/>
    </font>
    <font>
      <sz val="11"/>
      <name val="Cambria"/>
      <family val="1"/>
      <charset val="204"/>
    </font>
    <font>
      <vertAlign val="superscript"/>
      <sz val="11"/>
      <name val="AcadMtavr"/>
    </font>
    <font>
      <sz val="9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cadNusx"/>
    </font>
    <font>
      <sz val="11"/>
      <color theme="1"/>
      <name val="AcadNusx"/>
    </font>
    <font>
      <sz val="10"/>
      <color theme="1"/>
      <name val="AcadNusx"/>
    </font>
    <font>
      <sz val="10"/>
      <color rgb="FF000000"/>
      <name val="AcadNusx"/>
    </font>
    <font>
      <sz val="12"/>
      <color theme="1"/>
      <name val="Sylfaen"/>
      <family val="1"/>
    </font>
    <font>
      <b/>
      <sz val="12"/>
      <color rgb="FF000000"/>
      <name val="AcadMtavr"/>
    </font>
    <font>
      <b/>
      <sz val="11"/>
      <color theme="1"/>
      <name val="AcadNusx"/>
    </font>
    <font>
      <b/>
      <sz val="12"/>
      <color theme="1"/>
      <name val="AcadMtavr"/>
    </font>
    <font>
      <b/>
      <sz val="11"/>
      <color theme="1"/>
      <name val="AcadMtav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9"/>
      <color theme="1"/>
      <name val="AcadNusx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2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0" fillId="0" borderId="0"/>
    <xf numFmtId="0" fontId="12" fillId="0" borderId="0"/>
    <xf numFmtId="0" fontId="13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10" fillId="0" borderId="0"/>
    <xf numFmtId="0" fontId="53" fillId="0" borderId="0"/>
    <xf numFmtId="0" fontId="40" fillId="0" borderId="0"/>
    <xf numFmtId="0" fontId="7" fillId="0" borderId="0"/>
    <xf numFmtId="0" fontId="13" fillId="0" borderId="0"/>
    <xf numFmtId="0" fontId="7" fillId="0" borderId="0"/>
    <xf numFmtId="0" fontId="10" fillId="0" borderId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130">
    <xf numFmtId="0" fontId="0" fillId="0" borderId="0" xfId="0"/>
    <xf numFmtId="2" fontId="5" fillId="0" borderId="1" xfId="8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23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2" fontId="5" fillId="0" borderId="4" xfId="20" applyNumberFormat="1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25" applyFont="1" applyAlignment="1">
      <alignment horizontal="center"/>
    </xf>
    <xf numFmtId="0" fontId="13" fillId="0" borderId="0" xfId="25"/>
    <xf numFmtId="0" fontId="16" fillId="0" borderId="0" xfId="25" applyFont="1" applyAlignment="1">
      <alignment horizontal="center"/>
    </xf>
    <xf numFmtId="0" fontId="3" fillId="0" borderId="4" xfId="25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3" xfId="25" applyFont="1" applyBorder="1" applyAlignment="1">
      <alignment horizontal="center" vertical="center"/>
    </xf>
    <xf numFmtId="0" fontId="3" fillId="0" borderId="4" xfId="25" applyFont="1" applyBorder="1" applyAlignment="1">
      <alignment horizontal="center" vertical="top"/>
    </xf>
    <xf numFmtId="0" fontId="3" fillId="0" borderId="4" xfId="25" applyFont="1" applyBorder="1" applyAlignment="1">
      <alignment horizontal="left" vertical="center" wrapText="1"/>
    </xf>
    <xf numFmtId="0" fontId="3" fillId="0" borderId="3" xfId="25" applyFont="1" applyBorder="1" applyAlignment="1">
      <alignment horizontal="center" vertical="top"/>
    </xf>
    <xf numFmtId="49" fontId="3" fillId="0" borderId="3" xfId="25" applyNumberFormat="1" applyFont="1" applyBorder="1" applyAlignment="1">
      <alignment horizontal="center" vertical="top"/>
    </xf>
    <xf numFmtId="0" fontId="3" fillId="0" borderId="3" xfId="25" applyFont="1" applyBorder="1" applyAlignment="1">
      <alignment horizontal="left" vertical="center"/>
    </xf>
    <xf numFmtId="2" fontId="3" fillId="0" borderId="3" xfId="25" applyNumberFormat="1" applyFont="1" applyBorder="1" applyAlignment="1">
      <alignment horizontal="center" vertical="center"/>
    </xf>
    <xf numFmtId="49" fontId="17" fillId="0" borderId="3" xfId="25" applyNumberFormat="1" applyFont="1" applyBorder="1" applyAlignment="1">
      <alignment horizontal="center" vertical="top"/>
    </xf>
    <xf numFmtId="0" fontId="3" fillId="0" borderId="2" xfId="25" applyFont="1" applyBorder="1" applyAlignment="1">
      <alignment horizontal="center" vertical="top"/>
    </xf>
    <xf numFmtId="0" fontId="3" fillId="0" borderId="2" xfId="25" applyFont="1" applyBorder="1" applyAlignment="1">
      <alignment vertical="center"/>
    </xf>
    <xf numFmtId="0" fontId="3" fillId="0" borderId="2" xfId="25" applyFont="1" applyBorder="1" applyAlignment="1">
      <alignment horizontal="center"/>
    </xf>
    <xf numFmtId="0" fontId="3" fillId="0" borderId="3" xfId="25" applyFont="1" applyBorder="1" applyAlignment="1">
      <alignment vertical="center"/>
    </xf>
    <xf numFmtId="0" fontId="3" fillId="0" borderId="3" xfId="25" applyFont="1" applyBorder="1" applyAlignment="1">
      <alignment horizontal="center"/>
    </xf>
    <xf numFmtId="0" fontId="13" fillId="0" borderId="0" xfId="25" applyAlignment="1">
      <alignment horizontal="center"/>
    </xf>
    <xf numFmtId="0" fontId="3" fillId="0" borderId="4" xfId="25" applyFont="1" applyBorder="1" applyAlignment="1">
      <alignment horizontal="center"/>
    </xf>
    <xf numFmtId="0" fontId="3" fillId="0" borderId="3" xfId="25" applyNumberFormat="1" applyFont="1" applyBorder="1" applyAlignment="1">
      <alignment horizontal="center" vertical="top"/>
    </xf>
    <xf numFmtId="0" fontId="3" fillId="0" borderId="0" xfId="25" applyFont="1" applyBorder="1" applyAlignment="1">
      <alignment horizontal="center"/>
    </xf>
    <xf numFmtId="0" fontId="3" fillId="0" borderId="0" xfId="25" applyFont="1"/>
    <xf numFmtId="0" fontId="13" fillId="0" borderId="0" xfId="25" applyBorder="1"/>
    <xf numFmtId="0" fontId="3" fillId="0" borderId="0" xfId="25" applyFont="1" applyAlignment="1"/>
    <xf numFmtId="0" fontId="5" fillId="0" borderId="4" xfId="25" applyFont="1" applyBorder="1" applyAlignment="1">
      <alignment horizontal="center"/>
    </xf>
    <xf numFmtId="0" fontId="3" fillId="0" borderId="0" xfId="25" applyFont="1" applyBorder="1"/>
    <xf numFmtId="0" fontId="5" fillId="0" borderId="3" xfId="25" applyFont="1" applyBorder="1" applyAlignment="1">
      <alignment horizontal="center"/>
    </xf>
    <xf numFmtId="0" fontId="5" fillId="0" borderId="2" xfId="25" applyFont="1" applyBorder="1" applyAlignment="1">
      <alignment horizontal="center"/>
    </xf>
    <xf numFmtId="0" fontId="3" fillId="0" borderId="3" xfId="25" applyFont="1" applyBorder="1" applyAlignment="1">
      <alignment horizontal="left"/>
    </xf>
    <xf numFmtId="2" fontId="3" fillId="0" borderId="3" xfId="25" applyNumberFormat="1" applyFont="1" applyBorder="1" applyAlignment="1">
      <alignment horizontal="center"/>
    </xf>
    <xf numFmtId="2" fontId="8" fillId="0" borderId="3" xfId="25" applyNumberFormat="1" applyFont="1" applyBorder="1" applyAlignment="1">
      <alignment horizontal="center"/>
    </xf>
    <xf numFmtId="0" fontId="3" fillId="0" borderId="2" xfId="25" applyFont="1" applyBorder="1" applyAlignment="1">
      <alignment horizontal="left"/>
    </xf>
    <xf numFmtId="2" fontId="8" fillId="0" borderId="2" xfId="25" applyNumberFormat="1" applyFont="1" applyBorder="1" applyAlignment="1">
      <alignment horizontal="center"/>
    </xf>
    <xf numFmtId="2" fontId="3" fillId="0" borderId="2" xfId="25" applyNumberFormat="1" applyFont="1" applyBorder="1" applyAlignment="1">
      <alignment horizontal="center"/>
    </xf>
    <xf numFmtId="0" fontId="3" fillId="0" borderId="3" xfId="25" applyFont="1" applyBorder="1"/>
    <xf numFmtId="0" fontId="18" fillId="0" borderId="0" xfId="25" applyFont="1" applyBorder="1"/>
    <xf numFmtId="9" fontId="3" fillId="0" borderId="3" xfId="25" applyNumberFormat="1" applyFont="1" applyBorder="1" applyAlignment="1">
      <alignment horizontal="left"/>
    </xf>
    <xf numFmtId="167" fontId="3" fillId="0" borderId="3" xfId="25" applyNumberFormat="1" applyFont="1" applyBorder="1" applyAlignment="1">
      <alignment horizontal="center"/>
    </xf>
    <xf numFmtId="0" fontId="3" fillId="0" borderId="2" xfId="25" applyFont="1" applyBorder="1"/>
    <xf numFmtId="10" fontId="3" fillId="0" borderId="3" xfId="25" applyNumberFormat="1" applyFont="1" applyBorder="1" applyAlignment="1">
      <alignment horizontal="left"/>
    </xf>
    <xf numFmtId="0" fontId="18" fillId="0" borderId="0" xfId="25" applyFont="1"/>
    <xf numFmtId="10" fontId="3" fillId="0" borderId="2" xfId="25" applyNumberFormat="1" applyFont="1" applyBorder="1" applyAlignment="1">
      <alignment horizontal="left"/>
    </xf>
    <xf numFmtId="0" fontId="3" fillId="0" borderId="0" xfId="25" applyFont="1" applyBorder="1" applyAlignment="1"/>
    <xf numFmtId="0" fontId="3" fillId="0" borderId="7" xfId="25" applyFont="1" applyBorder="1" applyAlignment="1">
      <alignment horizontal="left"/>
    </xf>
    <xf numFmtId="0" fontId="3" fillId="0" borderId="8" xfId="25" applyFont="1" applyBorder="1" applyAlignment="1">
      <alignment horizontal="left"/>
    </xf>
    <xf numFmtId="0" fontId="3" fillId="0" borderId="9" xfId="25" applyFont="1" applyBorder="1" applyAlignment="1">
      <alignment horizontal="center"/>
    </xf>
    <xf numFmtId="0" fontId="3" fillId="0" borderId="8" xfId="25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 applyBorder="1"/>
    <xf numFmtId="0" fontId="20" fillId="0" borderId="0" xfId="0" applyFont="1" applyBorder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4" xfId="26" applyFont="1" applyBorder="1" applyAlignment="1">
      <alignment horizontal="center" vertical="top"/>
    </xf>
    <xf numFmtId="49" fontId="3" fillId="0" borderId="4" xfId="26" applyNumberFormat="1" applyFont="1" applyBorder="1" applyAlignment="1">
      <alignment horizontal="center" vertical="top"/>
    </xf>
    <xf numFmtId="0" fontId="3" fillId="0" borderId="4" xfId="26" applyFont="1" applyBorder="1" applyAlignment="1">
      <alignment horizontal="left" vertical="center" wrapText="1"/>
    </xf>
    <xf numFmtId="0" fontId="3" fillId="0" borderId="4" xfId="26" applyFont="1" applyBorder="1" applyAlignment="1">
      <alignment horizontal="center" vertical="center"/>
    </xf>
    <xf numFmtId="165" fontId="3" fillId="0" borderId="4" xfId="26" applyNumberFormat="1" applyFont="1" applyBorder="1" applyAlignment="1">
      <alignment horizontal="center" vertical="center"/>
    </xf>
    <xf numFmtId="2" fontId="3" fillId="0" borderId="4" xfId="26" applyNumberFormat="1" applyFont="1" applyBorder="1" applyAlignment="1">
      <alignment horizontal="center" vertical="center"/>
    </xf>
    <xf numFmtId="0" fontId="3" fillId="0" borderId="3" xfId="26" applyFont="1" applyBorder="1" applyAlignment="1">
      <alignment horizontal="center" vertical="top"/>
    </xf>
    <xf numFmtId="49" fontId="3" fillId="0" borderId="3" xfId="26" applyNumberFormat="1" applyFont="1" applyBorder="1" applyAlignment="1">
      <alignment horizontal="center" vertical="top"/>
    </xf>
    <xf numFmtId="0" fontId="3" fillId="0" borderId="3" xfId="26" applyFont="1" applyBorder="1" applyAlignment="1">
      <alignment horizontal="left" vertical="center"/>
    </xf>
    <xf numFmtId="0" fontId="3" fillId="0" borderId="3" xfId="26" applyFont="1" applyBorder="1" applyAlignment="1">
      <alignment horizontal="center" vertical="center"/>
    </xf>
    <xf numFmtId="2" fontId="3" fillId="0" borderId="3" xfId="26" applyNumberFormat="1" applyFont="1" applyBorder="1" applyAlignment="1">
      <alignment horizontal="center" vertical="center"/>
    </xf>
    <xf numFmtId="49" fontId="17" fillId="0" borderId="3" xfId="26" applyNumberFormat="1" applyFont="1" applyBorder="1" applyAlignment="1">
      <alignment horizontal="center" vertical="top"/>
    </xf>
    <xf numFmtId="0" fontId="3" fillId="0" borderId="2" xfId="26" applyFont="1" applyBorder="1" applyAlignment="1">
      <alignment horizontal="center" vertical="top"/>
    </xf>
    <xf numFmtId="0" fontId="3" fillId="0" borderId="2" xfId="26" applyFont="1" applyBorder="1" applyAlignment="1">
      <alignment vertical="center"/>
    </xf>
    <xf numFmtId="0" fontId="3" fillId="0" borderId="2" xfId="26" applyFont="1" applyBorder="1" applyAlignment="1">
      <alignment horizontal="center" vertical="center"/>
    </xf>
    <xf numFmtId="2" fontId="3" fillId="0" borderId="2" xfId="26" applyNumberFormat="1" applyFont="1" applyBorder="1" applyAlignment="1">
      <alignment horizontal="center" vertical="center"/>
    </xf>
    <xf numFmtId="0" fontId="3" fillId="0" borderId="2" xfId="26" applyFont="1" applyBorder="1" applyAlignment="1">
      <alignment horizontal="center"/>
    </xf>
    <xf numFmtId="0" fontId="3" fillId="0" borderId="1" xfId="26" applyFont="1" applyBorder="1" applyAlignment="1">
      <alignment horizontal="center" vertical="center"/>
    </xf>
    <xf numFmtId="0" fontId="7" fillId="0" borderId="0" xfId="26"/>
    <xf numFmtId="0" fontId="3" fillId="0" borderId="4" xfId="26" applyFont="1" applyBorder="1" applyAlignment="1">
      <alignment horizontal="center" vertical="center" wrapText="1"/>
    </xf>
    <xf numFmtId="2" fontId="3" fillId="0" borderId="8" xfId="26" applyNumberFormat="1" applyFont="1" applyBorder="1" applyAlignment="1">
      <alignment horizontal="center" vertical="center"/>
    </xf>
    <xf numFmtId="0" fontId="7" fillId="0" borderId="0" xfId="26" applyNumberFormat="1"/>
    <xf numFmtId="0" fontId="7" fillId="0" borderId="0" xfId="26" applyNumberFormat="1" applyAlignment="1">
      <alignment horizontal="left"/>
    </xf>
    <xf numFmtId="0" fontId="7" fillId="0" borderId="0" xfId="26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23" fillId="0" borderId="0" xfId="0" applyFont="1" applyBorder="1"/>
    <xf numFmtId="0" fontId="3" fillId="0" borderId="4" xfId="25" applyFont="1" applyBorder="1" applyAlignment="1">
      <alignment horizontal="left"/>
    </xf>
    <xf numFmtId="2" fontId="3" fillId="0" borderId="4" xfId="25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26" applyFont="1" applyAlignment="1"/>
    <xf numFmtId="0" fontId="5" fillId="0" borderId="1" xfId="20" applyFont="1" applyBorder="1" applyAlignment="1">
      <alignment horizontal="center" vertical="center" wrapText="1"/>
    </xf>
    <xf numFmtId="2" fontId="3" fillId="0" borderId="0" xfId="25" applyNumberFormat="1" applyFont="1" applyBorder="1" applyAlignment="1"/>
    <xf numFmtId="0" fontId="5" fillId="0" borderId="4" xfId="25" applyFont="1" applyBorder="1" applyAlignment="1">
      <alignment horizontal="center" vertical="center"/>
    </xf>
    <xf numFmtId="0" fontId="5" fillId="0" borderId="1" xfId="25" applyFont="1" applyBorder="1" applyAlignment="1">
      <alignment horizontal="center" vertical="center"/>
    </xf>
    <xf numFmtId="2" fontId="3" fillId="0" borderId="0" xfId="25" applyNumberFormat="1" applyFont="1" applyAlignment="1">
      <alignment horizontal="left"/>
    </xf>
    <xf numFmtId="2" fontId="3" fillId="0" borderId="0" xfId="25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4" xfId="26" applyNumberFormat="1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23" fillId="0" borderId="1" xfId="20" applyFont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25" applyFont="1" applyBorder="1" applyAlignment="1">
      <alignment vertical="center"/>
    </xf>
    <xf numFmtId="0" fontId="3" fillId="0" borderId="12" xfId="25" applyNumberFormat="1" applyFont="1" applyBorder="1" applyAlignment="1">
      <alignment horizontal="center" vertical="top"/>
    </xf>
    <xf numFmtId="0" fontId="3" fillId="0" borderId="5" xfId="25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11" xfId="25" applyNumberFormat="1" applyFont="1" applyBorder="1" applyAlignment="1">
      <alignment horizontal="center" vertical="top"/>
    </xf>
    <xf numFmtId="0" fontId="3" fillId="0" borderId="10" xfId="25" applyNumberFormat="1" applyFont="1" applyBorder="1" applyAlignment="1">
      <alignment horizontal="center" vertical="top"/>
    </xf>
    <xf numFmtId="0" fontId="3" fillId="0" borderId="6" xfId="25" applyFont="1" applyBorder="1" applyAlignment="1">
      <alignment vertical="center"/>
    </xf>
    <xf numFmtId="0" fontId="5" fillId="0" borderId="4" xfId="26" applyFont="1" applyBorder="1" applyAlignment="1">
      <alignment horizontal="left" vertical="center" wrapText="1"/>
    </xf>
    <xf numFmtId="0" fontId="5" fillId="0" borderId="1" xfId="26" applyFont="1" applyBorder="1" applyAlignment="1">
      <alignment horizontal="left" vertical="center" wrapText="1"/>
    </xf>
    <xf numFmtId="0" fontId="5" fillId="0" borderId="1" xfId="26" applyFont="1" applyBorder="1" applyAlignment="1">
      <alignment vertical="center" wrapText="1"/>
    </xf>
    <xf numFmtId="0" fontId="5" fillId="0" borderId="1" xfId="26" applyFont="1" applyBorder="1" applyAlignment="1">
      <alignment horizontal="center" vertical="center"/>
    </xf>
    <xf numFmtId="0" fontId="3" fillId="0" borderId="3" xfId="26" applyFont="1" applyBorder="1" applyAlignment="1">
      <alignment horizontal="center"/>
    </xf>
    <xf numFmtId="10" fontId="3" fillId="0" borderId="3" xfId="26" applyNumberFormat="1" applyFont="1" applyBorder="1" applyAlignment="1">
      <alignment horizontal="left"/>
    </xf>
    <xf numFmtId="2" fontId="3" fillId="0" borderId="3" xfId="26" applyNumberFormat="1" applyFont="1" applyBorder="1" applyAlignment="1">
      <alignment horizontal="center"/>
    </xf>
    <xf numFmtId="0" fontId="3" fillId="0" borderId="3" xfId="26" applyFont="1" applyBorder="1" applyAlignment="1">
      <alignment horizontal="left"/>
    </xf>
    <xf numFmtId="0" fontId="5" fillId="0" borderId="7" xfId="26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12" xfId="25" applyFont="1" applyBorder="1" applyAlignment="1">
      <alignment horizontal="center"/>
    </xf>
    <xf numFmtId="0" fontId="3" fillId="0" borderId="11" xfId="25" applyFont="1" applyBorder="1" applyAlignment="1">
      <alignment horizontal="center"/>
    </xf>
    <xf numFmtId="0" fontId="3" fillId="0" borderId="10" xfId="25" applyFont="1" applyBorder="1" applyAlignment="1">
      <alignment horizontal="center"/>
    </xf>
    <xf numFmtId="0" fontId="3" fillId="0" borderId="5" xfId="25" applyFont="1" applyBorder="1" applyAlignment="1">
      <alignment horizontal="center"/>
    </xf>
    <xf numFmtId="2" fontId="8" fillId="0" borderId="7" xfId="25" applyNumberFormat="1" applyFont="1" applyBorder="1" applyAlignment="1">
      <alignment horizontal="center"/>
    </xf>
    <xf numFmtId="2" fontId="8" fillId="0" borderId="9" xfId="25" applyNumberFormat="1" applyFont="1" applyBorder="1" applyAlignment="1">
      <alignment horizontal="center"/>
    </xf>
    <xf numFmtId="2" fontId="3" fillId="0" borderId="9" xfId="25" applyNumberFormat="1" applyFont="1" applyBorder="1" applyAlignment="1">
      <alignment horizontal="center"/>
    </xf>
    <xf numFmtId="2" fontId="3" fillId="0" borderId="8" xfId="25" applyNumberFormat="1" applyFont="1" applyBorder="1" applyAlignment="1">
      <alignment horizontal="center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4" xfId="17" applyFont="1" applyFill="1" applyBorder="1" applyAlignment="1">
      <alignment horizontal="center" vertical="center" wrapText="1"/>
    </xf>
    <xf numFmtId="0" fontId="3" fillId="3" borderId="11" xfId="17" applyFont="1" applyFill="1" applyBorder="1" applyAlignment="1">
      <alignment vertical="center" wrapText="1"/>
    </xf>
    <xf numFmtId="0" fontId="3" fillId="3" borderId="3" xfId="17" applyFont="1" applyFill="1" applyBorder="1" applyAlignment="1">
      <alignment horizontal="center" vertical="center" wrapText="1"/>
    </xf>
    <xf numFmtId="0" fontId="3" fillId="3" borderId="0" xfId="17" applyFont="1" applyFill="1" applyBorder="1" applyAlignment="1">
      <alignment horizontal="center" vertical="center" wrapText="1"/>
    </xf>
    <xf numFmtId="165" fontId="3" fillId="3" borderId="3" xfId="17" applyNumberFormat="1" applyFont="1" applyFill="1" applyBorder="1" applyAlignment="1">
      <alignment horizontal="center" vertical="center" wrapText="1"/>
    </xf>
    <xf numFmtId="2" fontId="3" fillId="3" borderId="0" xfId="17" applyNumberFormat="1" applyFont="1" applyFill="1" applyBorder="1" applyAlignment="1">
      <alignment horizontal="center" vertical="center" wrapText="1"/>
    </xf>
    <xf numFmtId="2" fontId="3" fillId="3" borderId="3" xfId="17" applyNumberFormat="1" applyFont="1" applyFill="1" applyBorder="1" applyAlignment="1">
      <alignment horizontal="center" vertical="center" wrapText="1"/>
    </xf>
    <xf numFmtId="0" fontId="6" fillId="3" borderId="11" xfId="17" applyFont="1" applyFill="1" applyBorder="1" applyAlignment="1">
      <alignment horizontal="left" vertical="center" wrapText="1"/>
    </xf>
    <xf numFmtId="0" fontId="3" fillId="3" borderId="6" xfId="26" applyFont="1" applyFill="1" applyBorder="1" applyAlignment="1">
      <alignment vertical="center"/>
    </xf>
    <xf numFmtId="0" fontId="3" fillId="3" borderId="2" xfId="26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2" fontId="3" fillId="3" borderId="2" xfId="26" applyNumberFormat="1" applyFont="1" applyFill="1" applyBorder="1" applyAlignment="1">
      <alignment horizontal="center" vertical="center"/>
    </xf>
    <xf numFmtId="2" fontId="3" fillId="3" borderId="2" xfId="17" applyNumberFormat="1" applyFont="1" applyFill="1" applyBorder="1" applyAlignment="1">
      <alignment horizontal="center" vertical="center" wrapText="1"/>
    </xf>
    <xf numFmtId="0" fontId="3" fillId="0" borderId="0" xfId="25" applyFont="1" applyBorder="1" applyAlignment="1">
      <alignment horizontal="center" vertical="center"/>
    </xf>
    <xf numFmtId="0" fontId="3" fillId="0" borderId="3" xfId="25" applyFont="1" applyBorder="1" applyAlignment="1">
      <alignment horizontal="left" vertical="center" wrapText="1"/>
    </xf>
    <xf numFmtId="165" fontId="54" fillId="0" borderId="4" xfId="0" applyNumberFormat="1" applyFont="1" applyFill="1" applyBorder="1" applyAlignment="1">
      <alignment horizontal="center" vertical="center" wrapText="1"/>
    </xf>
    <xf numFmtId="0" fontId="3" fillId="0" borderId="7" xfId="26" applyFont="1" applyBorder="1" applyAlignment="1">
      <alignment vertical="center" wrapText="1"/>
    </xf>
    <xf numFmtId="0" fontId="3" fillId="0" borderId="9" xfId="26" applyFont="1" applyBorder="1" applyAlignment="1">
      <alignment vertical="center"/>
    </xf>
    <xf numFmtId="0" fontId="3" fillId="0" borderId="11" xfId="25" applyFont="1" applyBorder="1" applyAlignment="1">
      <alignment horizontal="left"/>
    </xf>
    <xf numFmtId="0" fontId="3" fillId="0" borderId="5" xfId="26" applyFont="1" applyBorder="1" applyAlignment="1">
      <alignment vertical="center" wrapText="1"/>
    </xf>
    <xf numFmtId="0" fontId="5" fillId="0" borderId="14" xfId="26" applyFont="1" applyBorder="1" applyAlignment="1">
      <alignment horizontal="left" vertical="center" wrapText="1"/>
    </xf>
    <xf numFmtId="0" fontId="3" fillId="0" borderId="4" xfId="26" applyFont="1" applyBorder="1" applyAlignment="1">
      <alignment vertical="center" wrapText="1"/>
    </xf>
    <xf numFmtId="0" fontId="5" fillId="0" borderId="1" xfId="8" applyFont="1" applyBorder="1" applyAlignment="1">
      <alignment horizontal="center" vertical="center" wrapText="1"/>
    </xf>
    <xf numFmtId="2" fontId="3" fillId="0" borderId="0" xfId="26" applyNumberFormat="1" applyFont="1" applyAlignment="1">
      <alignment horizontal="center" vertical="center"/>
    </xf>
    <xf numFmtId="0" fontId="3" fillId="0" borderId="0" xfId="26" applyFont="1" applyAlignment="1">
      <alignment vertical="center"/>
    </xf>
    <xf numFmtId="0" fontId="3" fillId="0" borderId="2" xfId="25" applyFont="1" applyBorder="1" applyAlignment="1">
      <alignment horizontal="left" vertical="center" wrapText="1"/>
    </xf>
    <xf numFmtId="2" fontId="5" fillId="0" borderId="1" xfId="20" applyNumberFormat="1" applyFont="1" applyBorder="1" applyAlignment="1">
      <alignment horizontal="center" vertical="center" wrapText="1"/>
    </xf>
    <xf numFmtId="0" fontId="5" fillId="0" borderId="7" xfId="25" applyFont="1" applyBorder="1" applyAlignment="1">
      <alignment horizontal="left" vertical="center" wrapText="1"/>
    </xf>
    <xf numFmtId="0" fontId="5" fillId="0" borderId="7" xfId="26" applyFont="1" applyBorder="1" applyAlignment="1">
      <alignment vertical="center" wrapText="1"/>
    </xf>
    <xf numFmtId="0" fontId="5" fillId="0" borderId="14" xfId="26" applyFont="1" applyBorder="1" applyAlignment="1">
      <alignment vertical="center"/>
    </xf>
    <xf numFmtId="2" fontId="3" fillId="0" borderId="1" xfId="25" applyNumberFormat="1" applyFont="1" applyBorder="1" applyAlignment="1">
      <alignment horizontal="center"/>
    </xf>
    <xf numFmtId="0" fontId="3" fillId="0" borderId="6" xfId="25" applyFont="1" applyBorder="1" applyAlignment="1">
      <alignment horizontal="center"/>
    </xf>
    <xf numFmtId="0" fontId="5" fillId="0" borderId="14" xfId="26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 wrapText="1"/>
    </xf>
    <xf numFmtId="167" fontId="55" fillId="0" borderId="1" xfId="0" applyNumberFormat="1" applyFont="1" applyBorder="1" applyAlignment="1">
      <alignment horizontal="center" vertical="center" wrapText="1"/>
    </xf>
    <xf numFmtId="167" fontId="55" fillId="0" borderId="1" xfId="0" applyNumberFormat="1" applyFont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2" fontId="56" fillId="3" borderId="1" xfId="0" applyNumberFormat="1" applyFont="1" applyFill="1" applyBorder="1" applyAlignment="1">
      <alignment horizontal="center" vertical="center"/>
    </xf>
    <xf numFmtId="165" fontId="56" fillId="3" borderId="1" xfId="0" applyNumberFormat="1" applyFont="1" applyFill="1" applyBorder="1" applyAlignment="1">
      <alignment horizontal="center" vertical="center"/>
    </xf>
    <xf numFmtId="167" fontId="56" fillId="3" borderId="1" xfId="0" applyNumberFormat="1" applyFont="1" applyFill="1" applyBorder="1" applyAlignment="1">
      <alignment horizontal="center" vertical="center"/>
    </xf>
    <xf numFmtId="167" fontId="54" fillId="0" borderId="0" xfId="0" applyNumberFormat="1" applyFont="1" applyAlignment="1">
      <alignment horizontal="center" vertical="center"/>
    </xf>
    <xf numFmtId="2" fontId="54" fillId="0" borderId="0" xfId="0" applyNumberFormat="1" applyFont="1" applyAlignment="1">
      <alignment horizontal="center" vertical="center"/>
    </xf>
    <xf numFmtId="0" fontId="2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right" vertical="center" wrapText="1"/>
    </xf>
    <xf numFmtId="2" fontId="3" fillId="0" borderId="6" xfId="8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center" vertical="center" wrapText="1"/>
    </xf>
    <xf numFmtId="2" fontId="5" fillId="0" borderId="1" xfId="26" applyNumberFormat="1" applyFont="1" applyBorder="1" applyAlignment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3" fillId="0" borderId="4" xfId="26" applyNumberFormat="1" applyFont="1" applyBorder="1" applyAlignment="1">
      <alignment horizontal="center" vertical="top"/>
    </xf>
    <xf numFmtId="0" fontId="3" fillId="0" borderId="3" xfId="26" applyNumberFormat="1" applyFont="1" applyBorder="1" applyAlignment="1">
      <alignment horizontal="center" vertical="top"/>
    </xf>
    <xf numFmtId="0" fontId="56" fillId="3" borderId="1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 wrapText="1"/>
    </xf>
    <xf numFmtId="0" fontId="3" fillId="0" borderId="3" xfId="26" applyFont="1" applyBorder="1" applyAlignment="1">
      <alignment vertical="center"/>
    </xf>
    <xf numFmtId="0" fontId="3" fillId="0" borderId="3" xfId="26" applyNumberFormat="1" applyFont="1" applyBorder="1" applyAlignment="1">
      <alignment horizontal="center"/>
    </xf>
    <xf numFmtId="49" fontId="3" fillId="0" borderId="3" xfId="26" applyNumberFormat="1" applyFont="1" applyBorder="1" applyAlignment="1">
      <alignment horizontal="center"/>
    </xf>
    <xf numFmtId="0" fontId="3" fillId="0" borderId="2" xfId="26" applyNumberFormat="1" applyFont="1" applyBorder="1" applyAlignment="1">
      <alignment horizontal="center"/>
    </xf>
    <xf numFmtId="49" fontId="3" fillId="0" borderId="2" xfId="26" applyNumberFormat="1" applyFont="1" applyBorder="1" applyAlignment="1">
      <alignment horizontal="center"/>
    </xf>
    <xf numFmtId="0" fontId="5" fillId="0" borderId="1" xfId="26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1" xfId="25" applyFont="1" applyBorder="1" applyAlignment="1">
      <alignment horizontal="left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5" fillId="3" borderId="0" xfId="17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vertical="center" wrapText="1"/>
    </xf>
    <xf numFmtId="0" fontId="3" fillId="0" borderId="3" xfId="26" applyFont="1" applyFill="1" applyBorder="1" applyAlignment="1">
      <alignment horizontal="left" vertical="center"/>
    </xf>
    <xf numFmtId="0" fontId="6" fillId="0" borderId="11" xfId="17" applyFont="1" applyFill="1" applyBorder="1" applyAlignment="1">
      <alignment horizontal="left" vertical="center" wrapText="1"/>
    </xf>
    <xf numFmtId="0" fontId="3" fillId="0" borderId="2" xfId="26" applyFont="1" applyFill="1" applyBorder="1" applyAlignment="1">
      <alignment vertical="center"/>
    </xf>
    <xf numFmtId="1" fontId="57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16" fillId="0" borderId="0" xfId="17" applyFont="1" applyAlignment="1"/>
    <xf numFmtId="0" fontId="3" fillId="0" borderId="0" xfId="17" applyFont="1" applyAlignment="1">
      <alignment horizontal="center" vertical="center"/>
    </xf>
    <xf numFmtId="0" fontId="8" fillId="0" borderId="0" xfId="17" applyFont="1" applyAlignment="1">
      <alignment horizontal="center" vertical="center"/>
    </xf>
    <xf numFmtId="0" fontId="16" fillId="0" borderId="0" xfId="17" applyFont="1" applyAlignment="1">
      <alignment horizontal="center"/>
    </xf>
    <xf numFmtId="0" fontId="16" fillId="0" borderId="0" xfId="17" applyFont="1" applyAlignment="1">
      <alignment horizontal="center" vertical="center"/>
    </xf>
    <xf numFmtId="2" fontId="3" fillId="0" borderId="6" xfId="17" applyNumberFormat="1" applyFont="1" applyBorder="1" applyAlignment="1">
      <alignment horizontal="center" vertical="center"/>
    </xf>
    <xf numFmtId="0" fontId="3" fillId="0" borderId="6" xfId="17" applyFont="1" applyBorder="1" applyAlignment="1">
      <alignment vertical="center"/>
    </xf>
    <xf numFmtId="0" fontId="3" fillId="0" borderId="0" xfId="17" applyFont="1" applyAlignment="1"/>
    <xf numFmtId="0" fontId="9" fillId="0" borderId="0" xfId="17" applyFont="1"/>
    <xf numFmtId="0" fontId="3" fillId="0" borderId="1" xfId="17" applyFont="1" applyFill="1" applyBorder="1" applyAlignment="1">
      <alignment horizontal="center" vertical="center" wrapText="1"/>
    </xf>
    <xf numFmtId="0" fontId="3" fillId="0" borderId="4" xfId="17" applyFont="1" applyFill="1" applyBorder="1" applyAlignment="1">
      <alignment horizontal="center" vertical="center" wrapText="1"/>
    </xf>
    <xf numFmtId="2" fontId="3" fillId="0" borderId="4" xfId="17" applyNumberFormat="1" applyFont="1" applyFill="1" applyBorder="1" applyAlignment="1">
      <alignment horizontal="center" vertical="center" wrapText="1"/>
    </xf>
    <xf numFmtId="0" fontId="3" fillId="0" borderId="3" xfId="17" applyFont="1" applyFill="1" applyBorder="1" applyAlignment="1">
      <alignment horizontal="center" vertical="top" wrapText="1"/>
    </xf>
    <xf numFmtId="0" fontId="3" fillId="0" borderId="3" xfId="17" applyFont="1" applyFill="1" applyBorder="1" applyAlignment="1">
      <alignment horizontal="center" vertical="center" wrapText="1"/>
    </xf>
    <xf numFmtId="2" fontId="3" fillId="0" borderId="3" xfId="17" applyNumberFormat="1" applyFont="1" applyFill="1" applyBorder="1" applyAlignment="1">
      <alignment horizontal="center" vertical="center" wrapText="1"/>
    </xf>
    <xf numFmtId="0" fontId="3" fillId="0" borderId="3" xfId="17" applyFont="1" applyBorder="1" applyAlignment="1">
      <alignment horizontal="center" vertical="center" wrapText="1"/>
    </xf>
    <xf numFmtId="167" fontId="3" fillId="0" borderId="3" xfId="17" applyNumberFormat="1" applyFont="1" applyFill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center" vertical="top" wrapText="1"/>
    </xf>
    <xf numFmtId="0" fontId="3" fillId="0" borderId="2" xfId="17" applyFont="1" applyBorder="1" applyAlignment="1">
      <alignment horizontal="center" vertical="center" wrapText="1"/>
    </xf>
    <xf numFmtId="0" fontId="3" fillId="0" borderId="2" xfId="17" applyFont="1" applyFill="1" applyBorder="1" applyAlignment="1">
      <alignment horizontal="center" vertical="center" wrapText="1"/>
    </xf>
    <xf numFmtId="2" fontId="3" fillId="0" borderId="2" xfId="17" applyNumberFormat="1" applyFont="1" applyFill="1" applyBorder="1" applyAlignment="1">
      <alignment horizontal="center" vertical="center" wrapText="1"/>
    </xf>
    <xf numFmtId="0" fontId="3" fillId="0" borderId="12" xfId="17" applyFont="1" applyBorder="1" applyAlignment="1">
      <alignment vertical="center" wrapText="1"/>
    </xf>
    <xf numFmtId="0" fontId="3" fillId="0" borderId="10" xfId="17" applyFont="1" applyBorder="1" applyAlignment="1">
      <alignment vertical="center" wrapText="1"/>
    </xf>
    <xf numFmtId="0" fontId="3" fillId="0" borderId="6" xfId="17" applyFont="1" applyFill="1" applyBorder="1" applyAlignment="1">
      <alignment horizontal="center" vertical="center" wrapText="1"/>
    </xf>
    <xf numFmtId="0" fontId="3" fillId="0" borderId="11" xfId="17" applyFont="1" applyBorder="1" applyAlignment="1">
      <alignment vertical="center" wrapText="1"/>
    </xf>
    <xf numFmtId="0" fontId="3" fillId="0" borderId="0" xfId="17" applyFont="1" applyFill="1" applyBorder="1" applyAlignment="1">
      <alignment horizontal="center" vertical="center" wrapText="1"/>
    </xf>
    <xf numFmtId="0" fontId="2" fillId="0" borderId="0" xfId="17" applyFont="1" applyFill="1" applyBorder="1" applyAlignment="1">
      <alignment horizontal="center" vertical="center" wrapText="1"/>
    </xf>
    <xf numFmtId="0" fontId="2" fillId="0" borderId="0" xfId="17" applyFont="1" applyFill="1" applyAlignment="1">
      <alignment horizontal="center" vertical="center"/>
    </xf>
    <xf numFmtId="0" fontId="2" fillId="0" borderId="0" xfId="17" applyFont="1" applyFill="1" applyBorder="1" applyAlignment="1">
      <alignment vertical="center" wrapText="1"/>
    </xf>
    <xf numFmtId="0" fontId="3" fillId="0" borderId="0" xfId="17" applyNumberFormat="1" applyFont="1" applyBorder="1" applyAlignment="1"/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3" fillId="0" borderId="4" xfId="26" applyFont="1" applyBorder="1" applyAlignment="1">
      <alignment vertical="center"/>
    </xf>
    <xf numFmtId="165" fontId="5" fillId="0" borderId="1" xfId="2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 wrapText="1"/>
    </xf>
    <xf numFmtId="0" fontId="23" fillId="0" borderId="1" xfId="26" applyFont="1" applyFill="1" applyBorder="1" applyAlignment="1">
      <alignment horizontal="center" vertical="center"/>
    </xf>
    <xf numFmtId="0" fontId="23" fillId="0" borderId="4" xfId="26" applyFont="1" applyFill="1" applyBorder="1" applyAlignment="1">
      <alignment horizontal="left" vertical="center" wrapText="1"/>
    </xf>
    <xf numFmtId="0" fontId="23" fillId="0" borderId="1" xfId="26" applyFont="1" applyFill="1" applyBorder="1" applyAlignment="1">
      <alignment vertical="center" wrapText="1"/>
    </xf>
    <xf numFmtId="0" fontId="23" fillId="0" borderId="1" xfId="26" applyFont="1" applyFill="1" applyBorder="1" applyAlignment="1">
      <alignment vertical="center"/>
    </xf>
    <xf numFmtId="0" fontId="23" fillId="0" borderId="1" xfId="8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0" fillId="0" borderId="0" xfId="0" applyFill="1"/>
    <xf numFmtId="0" fontId="56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7" fontId="57" fillId="0" borderId="1" xfId="0" applyNumberFormat="1" applyFont="1" applyFill="1" applyBorder="1" applyAlignment="1">
      <alignment horizontal="center" vertical="center"/>
    </xf>
    <xf numFmtId="2" fontId="5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6" fillId="0" borderId="0" xfId="0" applyFont="1" applyFill="1" applyAlignment="1">
      <alignment horizontal="center" vertical="center"/>
    </xf>
    <xf numFmtId="0" fontId="0" fillId="0" borderId="1" xfId="0" applyFill="1" applyBorder="1"/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2" fontId="28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center" wrapText="1"/>
    </xf>
    <xf numFmtId="2" fontId="54" fillId="0" borderId="4" xfId="0" applyNumberFormat="1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left" vertical="center" wrapText="1"/>
    </xf>
    <xf numFmtId="2" fontId="23" fillId="0" borderId="1" xfId="26" applyNumberFormat="1" applyFont="1" applyFill="1" applyBorder="1" applyAlignment="1">
      <alignment horizontal="center" vertical="center"/>
    </xf>
    <xf numFmtId="2" fontId="23" fillId="0" borderId="1" xfId="8" applyNumberFormat="1" applyFont="1" applyFill="1" applyBorder="1" applyAlignment="1">
      <alignment horizontal="center" vertical="center"/>
    </xf>
    <xf numFmtId="0" fontId="23" fillId="0" borderId="2" xfId="26" applyFont="1" applyFill="1" applyBorder="1" applyAlignment="1">
      <alignment horizontal="center" vertical="top"/>
    </xf>
    <xf numFmtId="2" fontId="23" fillId="0" borderId="1" xfId="8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0" fontId="4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23" fillId="0" borderId="4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41" fillId="0" borderId="5" xfId="0" applyFont="1" applyFill="1" applyBorder="1"/>
    <xf numFmtId="0" fontId="0" fillId="0" borderId="0" xfId="0" applyFont="1" applyFill="1" applyBorder="1"/>
    <xf numFmtId="0" fontId="23" fillId="0" borderId="1" xfId="26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center"/>
    </xf>
    <xf numFmtId="0" fontId="42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58" fillId="0" borderId="0" xfId="0" applyFont="1" applyBorder="1" applyAlignment="1">
      <alignment horizontal="justify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/>
    <xf numFmtId="2" fontId="3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top" wrapText="1"/>
    </xf>
    <xf numFmtId="0" fontId="3" fillId="0" borderId="0" xfId="26" applyFont="1" applyFill="1" applyAlignment="1">
      <alignment horizontal="center"/>
    </xf>
    <xf numFmtId="0" fontId="3" fillId="0" borderId="0" xfId="26" applyFont="1" applyFill="1"/>
    <xf numFmtId="0" fontId="24" fillId="0" borderId="0" xfId="0" applyFont="1" applyFill="1" applyAlignment="1">
      <alignment horizontal="center" vertical="center"/>
    </xf>
    <xf numFmtId="0" fontId="3" fillId="0" borderId="4" xfId="26" applyFont="1" applyFill="1" applyBorder="1" applyAlignment="1">
      <alignment horizontal="center" vertical="top"/>
    </xf>
    <xf numFmtId="49" fontId="3" fillId="0" borderId="4" xfId="26" applyNumberFormat="1" applyFont="1" applyFill="1" applyBorder="1" applyAlignment="1">
      <alignment horizontal="center" vertical="top"/>
    </xf>
    <xf numFmtId="0" fontId="3" fillId="0" borderId="4" xfId="26" applyFont="1" applyFill="1" applyBorder="1" applyAlignment="1">
      <alignment horizontal="left" vertical="center" wrapText="1"/>
    </xf>
    <xf numFmtId="0" fontId="3" fillId="0" borderId="4" xfId="26" applyFont="1" applyFill="1" applyBorder="1" applyAlignment="1">
      <alignment horizontal="center" vertical="center"/>
    </xf>
    <xf numFmtId="2" fontId="3" fillId="0" borderId="4" xfId="26" applyNumberFormat="1" applyFont="1" applyFill="1" applyBorder="1" applyAlignment="1">
      <alignment horizontal="center" vertical="center"/>
    </xf>
    <xf numFmtId="0" fontId="3" fillId="0" borderId="3" xfId="26" applyFont="1" applyFill="1" applyBorder="1" applyAlignment="1">
      <alignment horizontal="center" vertical="top"/>
    </xf>
    <xf numFmtId="49" fontId="3" fillId="0" borderId="3" xfId="26" applyNumberFormat="1" applyFont="1" applyFill="1" applyBorder="1" applyAlignment="1">
      <alignment horizontal="center" vertical="top"/>
    </xf>
    <xf numFmtId="0" fontId="3" fillId="0" borderId="3" xfId="26" applyFont="1" applyFill="1" applyBorder="1" applyAlignment="1">
      <alignment horizontal="center" vertical="center"/>
    </xf>
    <xf numFmtId="0" fontId="5" fillId="0" borderId="3" xfId="26" applyFont="1" applyFill="1" applyBorder="1" applyAlignment="1">
      <alignment horizontal="center" vertical="center"/>
    </xf>
    <xf numFmtId="2" fontId="5" fillId="0" borderId="3" xfId="26" applyNumberFormat="1" applyFont="1" applyFill="1" applyBorder="1" applyAlignment="1">
      <alignment horizontal="center" vertical="center"/>
    </xf>
    <xf numFmtId="2" fontId="3" fillId="0" borderId="3" xfId="26" applyNumberFormat="1" applyFont="1" applyFill="1" applyBorder="1" applyAlignment="1">
      <alignment horizontal="center" vertical="center"/>
    </xf>
    <xf numFmtId="49" fontId="17" fillId="0" borderId="3" xfId="26" applyNumberFormat="1" applyFont="1" applyFill="1" applyBorder="1" applyAlignment="1">
      <alignment horizontal="center" vertical="top"/>
    </xf>
    <xf numFmtId="2" fontId="5" fillId="0" borderId="0" xfId="17" applyNumberFormat="1" applyFont="1" applyFill="1" applyBorder="1" applyAlignment="1">
      <alignment horizontal="center" vertical="center" wrapText="1"/>
    </xf>
    <xf numFmtId="0" fontId="3" fillId="0" borderId="2" xfId="26" applyFont="1" applyFill="1" applyBorder="1" applyAlignment="1">
      <alignment horizontal="center" vertical="top"/>
    </xf>
    <xf numFmtId="0" fontId="3" fillId="0" borderId="2" xfId="26" applyFont="1" applyFill="1" applyBorder="1" applyAlignment="1">
      <alignment horizontal="center" vertical="center"/>
    </xf>
    <xf numFmtId="0" fontId="5" fillId="0" borderId="2" xfId="26" applyFont="1" applyFill="1" applyBorder="1" applyAlignment="1">
      <alignment horizontal="center" vertical="center"/>
    </xf>
    <xf numFmtId="2" fontId="5" fillId="0" borderId="2" xfId="26" applyNumberFormat="1" applyFont="1" applyFill="1" applyBorder="1" applyAlignment="1">
      <alignment horizontal="center" vertical="center"/>
    </xf>
    <xf numFmtId="0" fontId="3" fillId="0" borderId="2" xfId="26" applyFont="1" applyFill="1" applyBorder="1" applyAlignment="1">
      <alignment horizontal="center"/>
    </xf>
    <xf numFmtId="2" fontId="3" fillId="0" borderId="2" xfId="26" applyNumberFormat="1" applyFont="1" applyFill="1" applyBorder="1" applyAlignment="1">
      <alignment horizontal="center" vertical="center"/>
    </xf>
    <xf numFmtId="0" fontId="3" fillId="0" borderId="1" xfId="26" applyFont="1" applyFill="1" applyBorder="1" applyAlignment="1">
      <alignment horizontal="center" vertical="top"/>
    </xf>
    <xf numFmtId="49" fontId="3" fillId="0" borderId="1" xfId="26" applyNumberFormat="1" applyFont="1" applyFill="1" applyBorder="1" applyAlignment="1">
      <alignment horizontal="center" vertical="top"/>
    </xf>
    <xf numFmtId="0" fontId="3" fillId="0" borderId="1" xfId="26" applyFont="1" applyFill="1" applyBorder="1" applyAlignment="1">
      <alignment vertical="center"/>
    </xf>
    <xf numFmtId="0" fontId="3" fillId="0" borderId="1" xfId="26" applyFont="1" applyFill="1" applyBorder="1" applyAlignment="1">
      <alignment horizontal="center" vertical="center"/>
    </xf>
    <xf numFmtId="2" fontId="3" fillId="0" borderId="1" xfId="26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5" xfId="23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3" applyFont="1" applyFill="1" applyBorder="1" applyAlignment="1">
      <alignment vertical="center" wrapText="1"/>
    </xf>
    <xf numFmtId="0" fontId="3" fillId="0" borderId="4" xfId="23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5" xfId="23" applyFont="1" applyFill="1" applyBorder="1" applyAlignment="1">
      <alignment horizontal="left" vertical="center"/>
    </xf>
    <xf numFmtId="0" fontId="3" fillId="0" borderId="0" xfId="23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/>
    </xf>
    <xf numFmtId="0" fontId="3" fillId="0" borderId="10" xfId="17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14" xfId="27" applyFont="1" applyFill="1" applyBorder="1" applyAlignment="1">
      <alignment vertical="center" wrapText="1"/>
    </xf>
    <xf numFmtId="0" fontId="3" fillId="0" borderId="3" xfId="23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22" applyFont="1" applyFill="1" applyBorder="1" applyAlignment="1">
      <alignment horizontal="center" vertical="center"/>
    </xf>
    <xf numFmtId="0" fontId="5" fillId="0" borderId="14" xfId="23" applyFont="1" applyFill="1" applyBorder="1" applyAlignment="1">
      <alignment vertical="center" wrapText="1"/>
    </xf>
    <xf numFmtId="0" fontId="3" fillId="0" borderId="8" xfId="26" applyFont="1" applyBorder="1" applyAlignment="1">
      <alignment vertical="center"/>
    </xf>
    <xf numFmtId="0" fontId="5" fillId="0" borderId="15" xfId="8" applyFont="1" applyFill="1" applyBorder="1" applyAlignment="1">
      <alignment horizontal="center" vertical="center" wrapText="1"/>
    </xf>
    <xf numFmtId="0" fontId="5" fillId="3" borderId="1" xfId="26" applyFont="1" applyFill="1" applyBorder="1" applyAlignment="1">
      <alignment horizontal="center" vertical="top"/>
    </xf>
    <xf numFmtId="0" fontId="5" fillId="3" borderId="1" xfId="26" applyFont="1" applyFill="1" applyBorder="1" applyAlignment="1">
      <alignment horizontal="left" vertical="center" wrapText="1"/>
    </xf>
    <xf numFmtId="0" fontId="5" fillId="3" borderId="1" xfId="26" applyFont="1" applyFill="1" applyBorder="1" applyAlignment="1">
      <alignment horizontal="center" vertical="center"/>
    </xf>
    <xf numFmtId="167" fontId="5" fillId="0" borderId="1" xfId="8" applyNumberFormat="1" applyFont="1" applyFill="1" applyBorder="1" applyAlignment="1">
      <alignment horizontal="center" vertical="center" wrapText="1"/>
    </xf>
    <xf numFmtId="167" fontId="5" fillId="0" borderId="1" xfId="26" applyNumberFormat="1" applyFont="1" applyFill="1" applyBorder="1" applyAlignment="1">
      <alignment horizontal="center" vertical="center"/>
    </xf>
    <xf numFmtId="2" fontId="5" fillId="0" borderId="1" xfId="8" applyNumberFormat="1" applyFont="1" applyFill="1" applyBorder="1" applyAlignment="1">
      <alignment horizontal="center" vertical="center" wrapText="1"/>
    </xf>
    <xf numFmtId="2" fontId="5" fillId="0" borderId="1" xfId="26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8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2" fontId="3" fillId="0" borderId="7" xfId="26" applyNumberFormat="1" applyFont="1" applyBorder="1" applyAlignment="1">
      <alignment horizontal="center" vertical="center"/>
    </xf>
    <xf numFmtId="0" fontId="3" fillId="0" borderId="11" xfId="4" applyFont="1" applyFill="1" applyBorder="1" applyAlignment="1">
      <alignment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9" xfId="4" applyNumberFormat="1" applyFont="1" applyFill="1" applyBorder="1" applyAlignment="1">
      <alignment horizontal="center" vertical="center" wrapText="1"/>
    </xf>
    <xf numFmtId="2" fontId="3" fillId="0" borderId="9" xfId="26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2" xfId="4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1" xfId="26" applyFont="1" applyBorder="1" applyAlignment="1">
      <alignment horizontal="center" vertical="top"/>
    </xf>
    <xf numFmtId="49" fontId="3" fillId="0" borderId="1" xfId="26" applyNumberFormat="1" applyFont="1" applyBorder="1" applyAlignment="1">
      <alignment horizontal="center" vertical="top"/>
    </xf>
    <xf numFmtId="0" fontId="3" fillId="0" borderId="1" xfId="26" applyFont="1" applyBorder="1" applyAlignment="1">
      <alignment vertical="center"/>
    </xf>
    <xf numFmtId="2" fontId="3" fillId="0" borderId="1" xfId="26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vertical="center" wrapText="1"/>
    </xf>
    <xf numFmtId="2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26" applyFont="1" applyBorder="1" applyAlignment="1">
      <alignment vertical="center"/>
    </xf>
    <xf numFmtId="0" fontId="3" fillId="0" borderId="6" xfId="26" applyFont="1" applyBorder="1" applyAlignment="1">
      <alignment vertical="center"/>
    </xf>
    <xf numFmtId="0" fontId="8" fillId="0" borderId="2" xfId="8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3" fillId="3" borderId="0" xfId="17" applyFont="1" applyFill="1" applyBorder="1" applyAlignment="1">
      <alignment vertical="center" wrapText="1"/>
    </xf>
    <xf numFmtId="0" fontId="6" fillId="3" borderId="0" xfId="17" applyFont="1" applyFill="1" applyBorder="1" applyAlignment="1">
      <alignment horizontal="left" vertical="center" wrapText="1"/>
    </xf>
    <xf numFmtId="0" fontId="3" fillId="0" borderId="0" xfId="26" applyFont="1" applyAlignment="1">
      <alignment horizontal="center"/>
    </xf>
    <xf numFmtId="0" fontId="3" fillId="0" borderId="6" xfId="26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9" fillId="0" borderId="0" xfId="26" applyFont="1"/>
    <xf numFmtId="0" fontId="9" fillId="0" borderId="0" xfId="26" applyFont="1" applyAlignment="1">
      <alignment horizontal="center"/>
    </xf>
    <xf numFmtId="0" fontId="3" fillId="0" borderId="0" xfId="26" applyFont="1"/>
    <xf numFmtId="2" fontId="3" fillId="0" borderId="0" xfId="26" applyNumberFormat="1" applyFont="1" applyAlignment="1">
      <alignment horizontal="center"/>
    </xf>
    <xf numFmtId="0" fontId="3" fillId="0" borderId="12" xfId="26" applyFont="1" applyBorder="1" applyAlignment="1">
      <alignment horizontal="center" vertical="top"/>
    </xf>
    <xf numFmtId="0" fontId="3" fillId="0" borderId="5" xfId="26" applyFont="1" applyBorder="1" applyAlignment="1">
      <alignment horizontal="center" vertical="center"/>
    </xf>
    <xf numFmtId="0" fontId="3" fillId="0" borderId="11" xfId="26" applyFont="1" applyBorder="1" applyAlignment="1">
      <alignment horizontal="center" vertical="top"/>
    </xf>
    <xf numFmtId="0" fontId="3" fillId="0" borderId="0" xfId="26" applyFont="1" applyBorder="1" applyAlignment="1">
      <alignment horizontal="center" vertical="center"/>
    </xf>
    <xf numFmtId="0" fontId="3" fillId="0" borderId="10" xfId="26" applyFont="1" applyBorder="1" applyAlignment="1">
      <alignment horizontal="center" vertical="top"/>
    </xf>
    <xf numFmtId="0" fontId="6" fillId="0" borderId="0" xfId="27" applyFont="1" applyBorder="1" applyAlignment="1">
      <alignment horizontal="center" vertical="center" wrapText="1"/>
    </xf>
    <xf numFmtId="0" fontId="3" fillId="0" borderId="4" xfId="26" applyFont="1" applyBorder="1" applyAlignment="1">
      <alignment horizontal="left" vertical="center"/>
    </xf>
    <xf numFmtId="0" fontId="5" fillId="0" borderId="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49" fontId="5" fillId="0" borderId="4" xfId="26" applyNumberFormat="1" applyFont="1" applyBorder="1" applyAlignment="1">
      <alignment horizontal="left" vertical="center" wrapText="1"/>
    </xf>
    <xf numFmtId="0" fontId="5" fillId="2" borderId="7" xfId="20" applyFont="1" applyFill="1" applyBorder="1" applyAlignment="1">
      <alignment horizontal="center" vertical="center" wrapText="1"/>
    </xf>
    <xf numFmtId="0" fontId="25" fillId="0" borderId="0" xfId="20" applyFont="1"/>
    <xf numFmtId="0" fontId="5" fillId="0" borderId="0" xfId="20" applyFont="1"/>
    <xf numFmtId="2" fontId="5" fillId="2" borderId="4" xfId="20" applyNumberFormat="1" applyFont="1" applyFill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37" fillId="0" borderId="4" xfId="20" applyFont="1" applyBorder="1" applyAlignment="1">
      <alignment horizontal="center" vertical="center" wrapText="1"/>
    </xf>
    <xf numFmtId="0" fontId="5" fillId="0" borderId="7" xfId="20" applyFont="1" applyBorder="1" applyAlignment="1">
      <alignment vertical="center" wrapText="1"/>
    </xf>
    <xf numFmtId="0" fontId="5" fillId="0" borderId="11" xfId="20" applyFont="1" applyBorder="1" applyAlignment="1">
      <alignment horizontal="center" vertical="top" wrapText="1"/>
    </xf>
    <xf numFmtId="0" fontId="5" fillId="0" borderId="2" xfId="20" applyFont="1" applyBorder="1" applyAlignment="1">
      <alignment horizontal="center" vertical="top" wrapText="1"/>
    </xf>
    <xf numFmtId="2" fontId="25" fillId="0" borderId="0" xfId="20" applyNumberFormat="1" applyFont="1"/>
    <xf numFmtId="0" fontId="34" fillId="0" borderId="4" xfId="20" applyFont="1" applyBorder="1" applyAlignment="1">
      <alignment horizontal="center" vertical="center" wrapText="1"/>
    </xf>
    <xf numFmtId="0" fontId="46" fillId="0" borderId="1" xfId="20" applyFont="1" applyBorder="1" applyAlignment="1">
      <alignment horizontal="center" vertical="center" wrapText="1"/>
    </xf>
    <xf numFmtId="0" fontId="34" fillId="0" borderId="3" xfId="20" applyFont="1" applyBorder="1" applyAlignment="1">
      <alignment horizontal="center" vertical="center" wrapText="1"/>
    </xf>
    <xf numFmtId="0" fontId="3" fillId="0" borderId="0" xfId="17" applyFont="1" applyAlignment="1">
      <alignment horizontal="center"/>
    </xf>
    <xf numFmtId="0" fontId="9" fillId="0" borderId="0" xfId="17" applyFont="1" applyAlignment="1">
      <alignment horizontal="center"/>
    </xf>
    <xf numFmtId="0" fontId="5" fillId="0" borderId="14" xfId="20" applyFont="1" applyBorder="1" applyAlignment="1">
      <alignment horizontal="center" vertical="center" wrapText="1"/>
    </xf>
    <xf numFmtId="0" fontId="5" fillId="0" borderId="7" xfId="17" applyFont="1" applyBorder="1" applyAlignment="1">
      <alignment vertical="center" wrapText="1"/>
    </xf>
    <xf numFmtId="0" fontId="5" fillId="0" borderId="14" xfId="17" applyFont="1" applyBorder="1" applyAlignment="1">
      <alignment vertical="center" wrapText="1"/>
    </xf>
    <xf numFmtId="0" fontId="5" fillId="0" borderId="0" xfId="20" applyFont="1" applyBorder="1" applyAlignment="1">
      <alignment horizontal="center" vertical="center" wrapText="1"/>
    </xf>
    <xf numFmtId="0" fontId="3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top" wrapText="1"/>
    </xf>
    <xf numFmtId="0" fontId="34" fillId="0" borderId="0" xfId="20" applyFont="1" applyBorder="1" applyAlignment="1">
      <alignment horizontal="center" vertical="top" wrapText="1"/>
    </xf>
    <xf numFmtId="0" fontId="37" fillId="0" borderId="0" xfId="26" applyFont="1" applyBorder="1" applyAlignment="1">
      <alignment horizontal="left" vertical="center" wrapText="1"/>
    </xf>
    <xf numFmtId="2" fontId="5" fillId="0" borderId="0" xfId="20" applyNumberFormat="1" applyFont="1" applyBorder="1" applyAlignment="1">
      <alignment horizontal="center" vertical="center" wrapText="1"/>
    </xf>
    <xf numFmtId="0" fontId="23" fillId="0" borderId="4" xfId="26" applyFont="1" applyFill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3" fillId="0" borderId="1" xfId="8" applyFont="1" applyBorder="1" applyAlignment="1">
      <alignment vertical="center" wrapText="1"/>
    </xf>
    <xf numFmtId="0" fontId="23" fillId="0" borderId="1" xfId="26" applyFont="1" applyBorder="1" applyAlignment="1">
      <alignment vertical="center" wrapText="1"/>
    </xf>
    <xf numFmtId="0" fontId="3" fillId="0" borderId="3" xfId="10" applyFont="1" applyBorder="1" applyAlignment="1">
      <alignment vertical="center" wrapText="1"/>
    </xf>
    <xf numFmtId="0" fontId="3" fillId="0" borderId="3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16" fillId="0" borderId="0" xfId="26" applyFont="1" applyAlignment="1">
      <alignment horizontal="center"/>
    </xf>
    <xf numFmtId="0" fontId="3" fillId="0" borderId="4" xfId="26" applyFont="1" applyBorder="1" applyAlignment="1">
      <alignment horizontal="center"/>
    </xf>
    <xf numFmtId="0" fontId="5" fillId="0" borderId="4" xfId="26" applyFont="1" applyBorder="1" applyAlignment="1">
      <alignment horizontal="center" vertical="center"/>
    </xf>
    <xf numFmtId="0" fontId="5" fillId="0" borderId="5" xfId="26" applyFont="1" applyBorder="1" applyAlignment="1">
      <alignment horizontal="center" vertical="center"/>
    </xf>
    <xf numFmtId="2" fontId="5" fillId="0" borderId="8" xfId="26" applyNumberFormat="1" applyFont="1" applyBorder="1" applyAlignment="1">
      <alignment horizontal="center" vertical="center"/>
    </xf>
    <xf numFmtId="0" fontId="5" fillId="0" borderId="12" xfId="26" applyFont="1" applyBorder="1" applyAlignment="1">
      <alignment horizontal="center" vertical="center"/>
    </xf>
    <xf numFmtId="2" fontId="5" fillId="0" borderId="4" xfId="26" applyNumberFormat="1" applyFont="1" applyBorder="1" applyAlignment="1">
      <alignment horizontal="center" vertical="center"/>
    </xf>
    <xf numFmtId="0" fontId="5" fillId="0" borderId="0" xfId="26" applyFont="1" applyBorder="1" applyAlignment="1">
      <alignment horizontal="center" vertical="center"/>
    </xf>
    <xf numFmtId="2" fontId="5" fillId="0" borderId="0" xfId="26" applyNumberFormat="1" applyFont="1" applyBorder="1" applyAlignment="1">
      <alignment horizontal="center" vertical="center"/>
    </xf>
    <xf numFmtId="0" fontId="3" fillId="0" borderId="9" xfId="26" applyFont="1" applyBorder="1" applyAlignment="1">
      <alignment vertical="center" wrapText="1"/>
    </xf>
    <xf numFmtId="0" fontId="3" fillId="0" borderId="11" xfId="26" applyFont="1" applyBorder="1" applyAlignment="1">
      <alignment horizontal="center" vertical="center"/>
    </xf>
    <xf numFmtId="165" fontId="3" fillId="0" borderId="12" xfId="26" applyNumberFormat="1" applyFont="1" applyBorder="1" applyAlignment="1">
      <alignment horizontal="center" vertical="center"/>
    </xf>
    <xf numFmtId="165" fontId="3" fillId="0" borderId="5" xfId="26" applyNumberFormat="1" applyFont="1" applyBorder="1" applyAlignment="1">
      <alignment horizontal="center" vertical="center"/>
    </xf>
    <xf numFmtId="2" fontId="3" fillId="0" borderId="11" xfId="26" applyNumberFormat="1" applyFont="1" applyBorder="1" applyAlignment="1">
      <alignment horizontal="center" vertical="center"/>
    </xf>
    <xf numFmtId="2" fontId="3" fillId="0" borderId="0" xfId="26" applyNumberFormat="1" applyFont="1" applyBorder="1" applyAlignment="1">
      <alignment horizontal="center" vertical="center"/>
    </xf>
    <xf numFmtId="2" fontId="3" fillId="0" borderId="10" xfId="26" applyNumberFormat="1" applyFont="1" applyBorder="1" applyAlignment="1">
      <alignment horizontal="center" vertical="center"/>
    </xf>
    <xf numFmtId="2" fontId="3" fillId="0" borderId="6" xfId="26" applyNumberFormat="1" applyFont="1" applyBorder="1" applyAlignment="1">
      <alignment horizontal="center" vertical="center"/>
    </xf>
    <xf numFmtId="0" fontId="3" fillId="0" borderId="12" xfId="26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3" fillId="0" borderId="11" xfId="26" applyNumberFormat="1" applyFont="1" applyBorder="1" applyAlignment="1">
      <alignment horizontal="center" vertical="top"/>
    </xf>
    <xf numFmtId="0" fontId="3" fillId="0" borderId="3" xfId="26" applyFont="1" applyBorder="1" applyAlignment="1">
      <alignment horizontal="center" vertical="center" wrapText="1"/>
    </xf>
    <xf numFmtId="0" fontId="3" fillId="0" borderId="5" xfId="26" applyFont="1" applyBorder="1" applyAlignment="1">
      <alignment vertical="center"/>
    </xf>
    <xf numFmtId="0" fontId="3" fillId="0" borderId="10" xfId="25" applyFont="1" applyBorder="1" applyAlignment="1">
      <alignment horizontal="left"/>
    </xf>
    <xf numFmtId="0" fontId="23" fillId="0" borderId="0" xfId="0" applyFont="1" applyFill="1" applyBorder="1"/>
    <xf numFmtId="0" fontId="3" fillId="0" borderId="12" xfId="0" applyFont="1" applyBorder="1" applyAlignment="1">
      <alignment horizontal="left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3" fillId="0" borderId="3" xfId="12" applyFont="1" applyFill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4" xfId="12" applyFont="1" applyBorder="1" applyAlignment="1">
      <alignment horizontal="center" vertical="center" wrapText="1"/>
    </xf>
    <xf numFmtId="0" fontId="3" fillId="0" borderId="3" xfId="12" applyFont="1" applyBorder="1" applyAlignment="1">
      <alignment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5" fillId="0" borderId="1" xfId="23" applyFont="1" applyFill="1" applyBorder="1" applyAlignment="1">
      <alignment vertical="center" wrapText="1"/>
    </xf>
    <xf numFmtId="2" fontId="5" fillId="0" borderId="4" xfId="20" applyNumberFormat="1" applyFont="1" applyBorder="1" applyAlignment="1">
      <alignment vertical="center" wrapText="1"/>
    </xf>
    <xf numFmtId="0" fontId="5" fillId="0" borderId="0" xfId="26" applyFont="1" applyBorder="1" applyAlignment="1">
      <alignment horizontal="left" vertical="center" wrapText="1"/>
    </xf>
    <xf numFmtId="0" fontId="5" fillId="0" borderId="1" xfId="26" applyFont="1" applyBorder="1" applyAlignment="1">
      <alignment horizontal="center" vertical="center" wrapText="1"/>
    </xf>
    <xf numFmtId="2" fontId="5" fillId="0" borderId="5" xfId="20" applyNumberFormat="1" applyFont="1" applyBorder="1" applyAlignment="1">
      <alignment horizontal="center" vertical="center" wrapText="1"/>
    </xf>
    <xf numFmtId="0" fontId="3" fillId="0" borderId="10" xfId="26" applyFont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0" xfId="26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center" wrapText="1"/>
    </xf>
    <xf numFmtId="167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/>
    </xf>
    <xf numFmtId="2" fontId="5" fillId="0" borderId="1" xfId="20" applyNumberFormat="1" applyFont="1" applyBorder="1" applyAlignment="1">
      <alignment horizontal="center" vertical="center"/>
    </xf>
    <xf numFmtId="0" fontId="5" fillId="0" borderId="0" xfId="2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20" applyFont="1" applyBorder="1" applyAlignment="1">
      <alignment horizontal="center" vertical="center"/>
    </xf>
    <xf numFmtId="2" fontId="5" fillId="0" borderId="0" xfId="8" applyNumberFormat="1" applyFont="1" applyFill="1" applyBorder="1" applyAlignment="1">
      <alignment horizontal="center" vertical="center" wrapText="1"/>
    </xf>
    <xf numFmtId="2" fontId="3" fillId="0" borderId="5" xfId="26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center"/>
    </xf>
    <xf numFmtId="0" fontId="37" fillId="0" borderId="7" xfId="2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top" wrapText="1"/>
    </xf>
    <xf numFmtId="0" fontId="5" fillId="0" borderId="1" xfId="20" applyFont="1" applyFill="1" applyBorder="1" applyAlignment="1">
      <alignment horizontal="left" vertical="center" wrapText="1"/>
    </xf>
    <xf numFmtId="2" fontId="5" fillId="0" borderId="1" xfId="20" applyNumberFormat="1" applyFont="1" applyFill="1" applyBorder="1" applyAlignment="1">
      <alignment horizontal="center" vertical="center" wrapText="1"/>
    </xf>
    <xf numFmtId="0" fontId="5" fillId="0" borderId="1" xfId="26" applyFont="1" applyFill="1" applyBorder="1" applyAlignment="1">
      <alignment horizontal="left" vertical="center" wrapText="1"/>
    </xf>
    <xf numFmtId="0" fontId="37" fillId="0" borderId="1" xfId="26" applyFont="1" applyFill="1" applyBorder="1" applyAlignment="1">
      <alignment horizontal="left" vertical="center" wrapText="1"/>
    </xf>
    <xf numFmtId="0" fontId="37" fillId="0" borderId="1" xfId="20" applyFont="1" applyFill="1" applyBorder="1" applyAlignment="1">
      <alignment vertical="center" wrapText="1"/>
    </xf>
    <xf numFmtId="0" fontId="5" fillId="0" borderId="1" xfId="26" applyNumberFormat="1" applyFont="1" applyFill="1" applyBorder="1" applyAlignment="1">
      <alignment horizontal="left" vertical="center" wrapText="1"/>
    </xf>
    <xf numFmtId="165" fontId="5" fillId="0" borderId="1" xfId="20" applyNumberFormat="1" applyFont="1" applyFill="1" applyBorder="1" applyAlignment="1">
      <alignment horizontal="center" vertical="center" wrapText="1"/>
    </xf>
    <xf numFmtId="0" fontId="5" fillId="0" borderId="1" xfId="25" applyFont="1" applyFill="1" applyBorder="1" applyAlignment="1">
      <alignment horizontal="left" vertical="center" wrapText="1"/>
    </xf>
    <xf numFmtId="0" fontId="5" fillId="0" borderId="1" xfId="26" applyFont="1" applyFill="1" applyBorder="1" applyAlignment="1">
      <alignment vertical="center" wrapText="1"/>
    </xf>
    <xf numFmtId="0" fontId="5" fillId="0" borderId="1" xfId="26" applyFont="1" applyFill="1" applyBorder="1" applyAlignment="1">
      <alignment vertical="center"/>
    </xf>
    <xf numFmtId="0" fontId="34" fillId="0" borderId="1" xfId="2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vertical="center" wrapText="1"/>
    </xf>
    <xf numFmtId="0" fontId="34" fillId="0" borderId="1" xfId="20" applyFont="1" applyFill="1" applyBorder="1" applyAlignment="1">
      <alignment horizontal="center" vertical="top" wrapText="1"/>
    </xf>
    <xf numFmtId="0" fontId="3" fillId="0" borderId="1" xfId="8" applyFont="1" applyFill="1" applyBorder="1" applyAlignment="1">
      <alignment horizontal="center" vertical="justify"/>
    </xf>
    <xf numFmtId="0" fontId="3" fillId="0" borderId="2" xfId="8" applyFont="1" applyFill="1" applyBorder="1" applyAlignment="1">
      <alignment horizontal="center" vertical="center"/>
    </xf>
    <xf numFmtId="0" fontId="23" fillId="0" borderId="2" xfId="8" applyFont="1" applyFill="1" applyBorder="1" applyAlignment="1">
      <alignment horizontal="center" vertical="center"/>
    </xf>
    <xf numFmtId="2" fontId="3" fillId="0" borderId="1" xfId="8" applyNumberFormat="1" applyFont="1" applyFill="1" applyBorder="1" applyAlignment="1">
      <alignment horizontal="center" vertical="center"/>
    </xf>
    <xf numFmtId="0" fontId="23" fillId="0" borderId="0" xfId="8" applyFont="1" applyFill="1" applyBorder="1" applyAlignment="1">
      <alignment horizontal="center" vertical="center"/>
    </xf>
    <xf numFmtId="0" fontId="3" fillId="0" borderId="0" xfId="8" applyFont="1" applyFill="1" applyBorder="1" applyAlignment="1">
      <alignment horizontal="center" vertical="center"/>
    </xf>
    <xf numFmtId="2" fontId="3" fillId="0" borderId="0" xfId="8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" xfId="26" applyNumberFormat="1" applyFont="1" applyFill="1" applyBorder="1" applyAlignment="1">
      <alignment horizontal="left" vertical="center" wrapText="1"/>
    </xf>
    <xf numFmtId="49" fontId="34" fillId="0" borderId="1" xfId="20" applyNumberFormat="1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>
      <alignment horizontal="center" vertical="top" wrapText="1"/>
    </xf>
    <xf numFmtId="0" fontId="5" fillId="0" borderId="1" xfId="17" applyFont="1" applyFill="1" applyBorder="1" applyAlignment="1">
      <alignment vertical="center" wrapText="1"/>
    </xf>
    <xf numFmtId="0" fontId="23" fillId="0" borderId="1" xfId="26" applyFont="1" applyFill="1" applyBorder="1" applyAlignment="1">
      <alignment horizontal="center" vertical="top"/>
    </xf>
    <xf numFmtId="0" fontId="5" fillId="4" borderId="1" xfId="20" applyFont="1" applyFill="1" applyBorder="1" applyAlignment="1">
      <alignment horizontal="center" vertical="center" wrapText="1"/>
    </xf>
    <xf numFmtId="0" fontId="5" fillId="4" borderId="7" xfId="20" applyFont="1" applyFill="1" applyBorder="1" applyAlignment="1">
      <alignment horizontal="center" vertical="center" wrapText="1"/>
    </xf>
    <xf numFmtId="0" fontId="5" fillId="4" borderId="4" xfId="2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top"/>
    </xf>
    <xf numFmtId="0" fontId="42" fillId="0" borderId="15" xfId="0" applyFont="1" applyFill="1" applyBorder="1" applyAlignment="1">
      <alignment horizontal="center" vertical="top"/>
    </xf>
    <xf numFmtId="1" fontId="5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3" fillId="0" borderId="2" xfId="12" applyFont="1" applyBorder="1" applyAlignment="1">
      <alignment horizontal="center" vertical="center" wrapText="1"/>
    </xf>
    <xf numFmtId="2" fontId="5" fillId="0" borderId="1" xfId="2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/>
    <xf numFmtId="0" fontId="5" fillId="3" borderId="2" xfId="26" applyFont="1" applyFill="1" applyBorder="1" applyAlignment="1">
      <alignment horizontal="center" vertical="top"/>
    </xf>
    <xf numFmtId="0" fontId="5" fillId="0" borderId="5" xfId="0" applyFont="1" applyBorder="1" applyAlignment="1">
      <alignment vertical="center" wrapText="1"/>
    </xf>
    <xf numFmtId="165" fontId="54" fillId="0" borderId="3" xfId="0" applyNumberFormat="1" applyFont="1" applyFill="1" applyBorder="1" applyAlignment="1">
      <alignment horizontal="center" vertical="center" wrapText="1"/>
    </xf>
    <xf numFmtId="0" fontId="54" fillId="0" borderId="4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2" xfId="0" applyFont="1" applyFill="1" applyBorder="1" applyAlignment="1">
      <alignment horizontal="left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/>
    </xf>
    <xf numFmtId="0" fontId="54" fillId="0" borderId="2" xfId="0" applyFont="1" applyFill="1" applyBorder="1" applyAlignment="1">
      <alignment horizontal="center" vertical="center" wrapText="1"/>
    </xf>
    <xf numFmtId="165" fontId="54" fillId="0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2" xfId="26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6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0" xfId="26" applyFont="1" applyFill="1" applyBorder="1" applyAlignment="1">
      <alignment horizontal="center" vertical="center"/>
    </xf>
    <xf numFmtId="0" fontId="3" fillId="3" borderId="7" xfId="17" applyFont="1" applyFill="1" applyBorder="1" applyAlignment="1">
      <alignment horizontal="center" vertical="center" wrapText="1"/>
    </xf>
    <xf numFmtId="0" fontId="3" fillId="3" borderId="9" xfId="17" applyFont="1" applyFill="1" applyBorder="1" applyAlignment="1">
      <alignment horizontal="center" vertical="center" wrapText="1"/>
    </xf>
    <xf numFmtId="0" fontId="3" fillId="3" borderId="8" xfId="26" applyFont="1" applyFill="1" applyBorder="1" applyAlignment="1">
      <alignment horizontal="center" vertical="center"/>
    </xf>
    <xf numFmtId="0" fontId="3" fillId="3" borderId="2" xfId="26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165" fontId="3" fillId="0" borderId="4" xfId="26" applyNumberFormat="1" applyFont="1" applyFill="1" applyBorder="1" applyAlignment="1">
      <alignment horizontal="center" vertical="center"/>
    </xf>
    <xf numFmtId="2" fontId="3" fillId="0" borderId="7" xfId="26" applyNumberFormat="1" applyFont="1" applyFill="1" applyBorder="1" applyAlignment="1">
      <alignment horizontal="center" vertical="center"/>
    </xf>
    <xf numFmtId="2" fontId="3" fillId="0" borderId="9" xfId="26" applyNumberFormat="1" applyFont="1" applyFill="1" applyBorder="1" applyAlignment="1">
      <alignment horizontal="center" vertical="center"/>
    </xf>
    <xf numFmtId="2" fontId="3" fillId="0" borderId="8" xfId="26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168" fontId="6" fillId="0" borderId="4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3" fillId="0" borderId="0" xfId="12" applyFont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top"/>
    </xf>
    <xf numFmtId="2" fontId="3" fillId="0" borderId="3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/>
    </xf>
    <xf numFmtId="0" fontId="5" fillId="0" borderId="11" xfId="26" applyFont="1" applyFill="1" applyBorder="1" applyAlignment="1">
      <alignment horizontal="center" vertical="center"/>
    </xf>
    <xf numFmtId="0" fontId="5" fillId="0" borderId="3" xfId="26" applyFont="1" applyBorder="1" applyAlignment="1">
      <alignment horizontal="center" vertical="center"/>
    </xf>
    <xf numFmtId="49" fontId="3" fillId="0" borderId="4" xfId="26" applyNumberFormat="1" applyFont="1" applyFill="1" applyBorder="1" applyAlignment="1">
      <alignment horizontal="center" vertical="top" wrapText="1"/>
    </xf>
    <xf numFmtId="165" fontId="3" fillId="0" borderId="3" xfId="17" applyNumberFormat="1" applyFont="1" applyFill="1" applyBorder="1" applyAlignment="1">
      <alignment horizontal="center" vertical="center" wrapText="1"/>
    </xf>
    <xf numFmtId="0" fontId="38" fillId="0" borderId="2" xfId="17" applyFont="1" applyFill="1" applyBorder="1" applyAlignment="1">
      <alignment horizontal="center" vertical="top" wrapText="1"/>
    </xf>
    <xf numFmtId="0" fontId="3" fillId="0" borderId="3" xfId="25" applyFont="1" applyFill="1" applyBorder="1" applyAlignment="1">
      <alignment vertical="center"/>
    </xf>
    <xf numFmtId="0" fontId="3" fillId="0" borderId="3" xfId="25" applyFont="1" applyFill="1" applyBorder="1" applyAlignment="1">
      <alignment horizontal="center" vertical="center"/>
    </xf>
    <xf numFmtId="0" fontId="3" fillId="0" borderId="12" xfId="16" applyFont="1" applyFill="1" applyBorder="1" applyAlignment="1">
      <alignment vertical="center" wrapText="1"/>
    </xf>
    <xf numFmtId="0" fontId="3" fillId="0" borderId="11" xfId="26" applyFont="1" applyBorder="1" applyAlignment="1">
      <alignment horizontal="left" vertical="center"/>
    </xf>
    <xf numFmtId="0" fontId="3" fillId="0" borderId="11" xfId="16" applyFont="1" applyFill="1" applyBorder="1" applyAlignment="1">
      <alignment vertical="center" wrapText="1"/>
    </xf>
    <xf numFmtId="0" fontId="3" fillId="0" borderId="10" xfId="16" applyFont="1" applyFill="1" applyBorder="1" applyAlignment="1">
      <alignment vertical="center" wrapText="1"/>
    </xf>
    <xf numFmtId="0" fontId="3" fillId="0" borderId="12" xfId="16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4" xfId="26" applyNumberFormat="1" applyFont="1" applyFill="1" applyBorder="1" applyAlignment="1">
      <alignment horizontal="center" vertical="top"/>
    </xf>
    <xf numFmtId="0" fontId="3" fillId="0" borderId="3" xfId="26" applyNumberFormat="1" applyFont="1" applyFill="1" applyBorder="1" applyAlignment="1">
      <alignment horizontal="center" vertical="top"/>
    </xf>
    <xf numFmtId="0" fontId="3" fillId="0" borderId="2" xfId="26" applyNumberFormat="1" applyFont="1" applyFill="1" applyBorder="1" applyAlignment="1">
      <alignment horizontal="center" vertical="top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 wrapText="1"/>
    </xf>
    <xf numFmtId="0" fontId="3" fillId="0" borderId="7" xfId="26" applyFont="1" applyFill="1" applyBorder="1" applyAlignment="1">
      <alignment horizontal="center" vertical="center"/>
    </xf>
    <xf numFmtId="0" fontId="3" fillId="0" borderId="9" xfId="26" applyFont="1" applyFill="1" applyBorder="1" applyAlignment="1">
      <alignment horizontal="center" vertical="center"/>
    </xf>
    <xf numFmtId="2" fontId="3" fillId="0" borderId="0" xfId="26" applyNumberFormat="1" applyFont="1" applyFill="1" applyBorder="1" applyAlignment="1">
      <alignment horizontal="center" vertical="center"/>
    </xf>
    <xf numFmtId="0" fontId="3" fillId="0" borderId="12" xfId="26" applyFont="1" applyFill="1" applyBorder="1" applyAlignment="1">
      <alignment vertical="center" wrapText="1"/>
    </xf>
    <xf numFmtId="0" fontId="3" fillId="0" borderId="11" xfId="26" applyFont="1" applyFill="1" applyBorder="1" applyAlignment="1">
      <alignment vertical="center"/>
    </xf>
    <xf numFmtId="0" fontId="3" fillId="0" borderId="10" xfId="26" applyFont="1" applyFill="1" applyBorder="1" applyAlignment="1">
      <alignment vertical="center"/>
    </xf>
    <xf numFmtId="49" fontId="3" fillId="0" borderId="12" xfId="26" applyNumberFormat="1" applyFont="1" applyFill="1" applyBorder="1" applyAlignment="1">
      <alignment horizontal="center" vertical="top"/>
    </xf>
    <xf numFmtId="49" fontId="3" fillId="0" borderId="11" xfId="26" applyNumberFormat="1" applyFont="1" applyFill="1" applyBorder="1" applyAlignment="1">
      <alignment horizontal="center" vertical="top"/>
    </xf>
    <xf numFmtId="2" fontId="3" fillId="0" borderId="6" xfId="26" applyNumberFormat="1" applyFont="1" applyFill="1" applyBorder="1" applyAlignment="1">
      <alignment horizontal="center" vertical="center"/>
    </xf>
    <xf numFmtId="0" fontId="3" fillId="0" borderId="0" xfId="24" applyFont="1" applyFill="1" applyBorder="1" applyAlignment="1">
      <alignment vertical="center" wrapText="1"/>
    </xf>
    <xf numFmtId="1" fontId="3" fillId="3" borderId="12" xfId="0" applyNumberFormat="1" applyFont="1" applyFill="1" applyBorder="1" applyAlignment="1">
      <alignment horizontal="center" vertical="top" wrapText="1"/>
    </xf>
    <xf numFmtId="0" fontId="3" fillId="0" borderId="0" xfId="17" applyFont="1" applyFill="1" applyBorder="1" applyAlignment="1">
      <alignment horizontal="center" vertical="top" wrapText="1"/>
    </xf>
    <xf numFmtId="2" fontId="3" fillId="0" borderId="0" xfId="17" applyNumberFormat="1" applyFont="1" applyFill="1" applyBorder="1" applyAlignment="1">
      <alignment horizontal="center" vertical="center" wrapText="1"/>
    </xf>
    <xf numFmtId="0" fontId="3" fillId="0" borderId="5" xfId="17" applyFont="1" applyFill="1" applyBorder="1" applyAlignment="1">
      <alignment horizontal="center" vertical="top" wrapText="1"/>
    </xf>
    <xf numFmtId="0" fontId="3" fillId="0" borderId="11" xfId="17" applyFont="1" applyBorder="1" applyAlignment="1">
      <alignment wrapText="1"/>
    </xf>
    <xf numFmtId="2" fontId="3" fillId="0" borderId="6" xfId="17" applyNumberFormat="1" applyFont="1" applyFill="1" applyBorder="1" applyAlignment="1">
      <alignment horizontal="center" vertical="center" wrapText="1"/>
    </xf>
    <xf numFmtId="0" fontId="38" fillId="0" borderId="11" xfId="17" applyFont="1" applyFill="1" applyBorder="1" applyAlignment="1">
      <alignment horizontal="center" vertical="top" wrapText="1"/>
    </xf>
    <xf numFmtId="0" fontId="38" fillId="0" borderId="10" xfId="17" applyFont="1" applyFill="1" applyBorder="1" applyAlignment="1">
      <alignment horizontal="center" vertical="top" wrapText="1"/>
    </xf>
    <xf numFmtId="0" fontId="3" fillId="0" borderId="9" xfId="17" applyFont="1" applyFill="1" applyBorder="1" applyAlignment="1">
      <alignment horizontal="center" vertical="top" wrapText="1"/>
    </xf>
    <xf numFmtId="0" fontId="3" fillId="0" borderId="9" xfId="17" applyFont="1" applyFill="1" applyBorder="1" applyAlignment="1">
      <alignment horizontal="center" vertical="center" wrapText="1"/>
    </xf>
    <xf numFmtId="0" fontId="34" fillId="0" borderId="4" xfId="20" applyFont="1" applyBorder="1" applyAlignment="1">
      <alignment horizontal="center" vertical="top" wrapText="1"/>
    </xf>
    <xf numFmtId="0" fontId="3" fillId="0" borderId="2" xfId="26" applyNumberFormat="1" applyFont="1" applyBorder="1" applyAlignment="1">
      <alignment horizontal="center" vertical="top"/>
    </xf>
    <xf numFmtId="0" fontId="2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1" xfId="20" applyFont="1" applyBorder="1" applyAlignment="1">
      <alignment horizontal="center" vertical="center" wrapText="1"/>
    </xf>
    <xf numFmtId="0" fontId="46" fillId="0" borderId="7" xfId="20" applyFont="1" applyBorder="1" applyAlignment="1">
      <alignment horizontal="center" vertical="center" wrapText="1"/>
    </xf>
    <xf numFmtId="0" fontId="34" fillId="0" borderId="3" xfId="20" applyFont="1" applyBorder="1" applyAlignment="1">
      <alignment horizontal="center" vertical="top" wrapText="1"/>
    </xf>
    <xf numFmtId="0" fontId="25" fillId="0" borderId="3" xfId="20" applyFont="1" applyBorder="1"/>
    <xf numFmtId="0" fontId="5" fillId="0" borderId="14" xfId="20" applyFont="1" applyBorder="1" applyAlignment="1">
      <alignment vertical="center" wrapText="1"/>
    </xf>
    <xf numFmtId="0" fontId="3" fillId="0" borderId="12" xfId="12" applyFont="1" applyBorder="1" applyAlignment="1">
      <alignment vertical="center" wrapText="1"/>
    </xf>
    <xf numFmtId="0" fontId="3" fillId="0" borderId="10" xfId="12" applyFont="1" applyBorder="1" applyAlignment="1">
      <alignment vertical="center" wrapText="1"/>
    </xf>
    <xf numFmtId="0" fontId="6" fillId="3" borderId="0" xfId="17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5" fillId="0" borderId="4" xfId="26" applyFont="1" applyFill="1" applyBorder="1" applyAlignment="1">
      <alignment horizontal="left" vertical="center" wrapText="1"/>
    </xf>
    <xf numFmtId="0" fontId="5" fillId="0" borderId="14" xfId="26" applyFont="1" applyBorder="1" applyAlignment="1">
      <alignment horizontal="center" vertical="center"/>
    </xf>
    <xf numFmtId="0" fontId="3" fillId="0" borderId="12" xfId="26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20" applyFont="1" applyAlignment="1"/>
    <xf numFmtId="0" fontId="3" fillId="0" borderId="10" xfId="26" applyNumberFormat="1" applyFont="1" applyBorder="1" applyAlignment="1">
      <alignment horizontal="center" vertical="top"/>
    </xf>
    <xf numFmtId="0" fontId="5" fillId="0" borderId="4" xfId="8" applyFont="1" applyFill="1" applyBorder="1" applyAlignment="1">
      <alignment horizontal="center" vertical="center" wrapText="1"/>
    </xf>
    <xf numFmtId="0" fontId="5" fillId="3" borderId="2" xfId="26" applyFont="1" applyFill="1" applyBorder="1" applyAlignment="1">
      <alignment horizontal="center" vertical="top"/>
    </xf>
    <xf numFmtId="0" fontId="56" fillId="3" borderId="1" xfId="0" applyFont="1" applyFill="1" applyBorder="1" applyAlignment="1">
      <alignment horizontal="center" vertical="center"/>
    </xf>
    <xf numFmtId="2" fontId="2" fillId="0" borderId="0" xfId="8" applyNumberFormat="1" applyFont="1" applyFill="1" applyBorder="1" applyAlignment="1">
      <alignment horizontal="center" vertical="center" wrapText="1"/>
    </xf>
    <xf numFmtId="2" fontId="2" fillId="0" borderId="0" xfId="8" applyNumberFormat="1" applyFont="1" applyFill="1" applyAlignment="1">
      <alignment horizontal="center" vertical="center" wrapText="1"/>
    </xf>
    <xf numFmtId="167" fontId="0" fillId="0" borderId="0" xfId="0" applyNumberFormat="1" applyFill="1"/>
    <xf numFmtId="0" fontId="25" fillId="0" borderId="2" xfId="20" applyFont="1" applyBorder="1"/>
    <xf numFmtId="167" fontId="5" fillId="0" borderId="1" xfId="20" applyNumberFormat="1" applyFont="1" applyFill="1" applyBorder="1" applyAlignment="1">
      <alignment horizontal="center" vertical="center" wrapText="1"/>
    </xf>
    <xf numFmtId="11" fontId="65" fillId="0" borderId="0" xfId="0" applyNumberFormat="1" applyFont="1" applyFill="1" applyAlignment="1">
      <alignment horizontal="left" vertical="center" wrapText="1"/>
    </xf>
    <xf numFmtId="0" fontId="46" fillId="0" borderId="0" xfId="20" applyFont="1" applyAlignment="1">
      <alignment horizontal="center" wrapText="1"/>
    </xf>
    <xf numFmtId="0" fontId="46" fillId="0" borderId="0" xfId="20" applyFont="1" applyAlignment="1">
      <alignment horizontal="center"/>
    </xf>
    <xf numFmtId="0" fontId="46" fillId="0" borderId="0" xfId="20" applyFont="1" applyAlignment="1">
      <alignment horizontal="center" vertical="center"/>
    </xf>
    <xf numFmtId="0" fontId="34" fillId="0" borderId="0" xfId="20" applyFont="1" applyAlignment="1">
      <alignment horizontal="center" vertical="center" wrapText="1"/>
    </xf>
    <xf numFmtId="0" fontId="34" fillId="0" borderId="0" xfId="20" applyFont="1" applyAlignment="1">
      <alignment horizontal="center" vertical="center"/>
    </xf>
    <xf numFmtId="0" fontId="37" fillId="0" borderId="1" xfId="2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11" fontId="65" fillId="0" borderId="0" xfId="0" applyNumberFormat="1" applyFont="1" applyFill="1" applyAlignment="1">
      <alignment horizontal="left" vertical="center" wrapText="1"/>
    </xf>
    <xf numFmtId="0" fontId="34" fillId="0" borderId="3" xfId="20" applyFont="1" applyBorder="1" applyAlignment="1">
      <alignment horizontal="center" vertical="top" wrapText="1"/>
    </xf>
    <xf numFmtId="0" fontId="34" fillId="0" borderId="2" xfId="20" applyFont="1" applyBorder="1" applyAlignment="1">
      <alignment horizontal="center" vertical="top" wrapText="1"/>
    </xf>
    <xf numFmtId="0" fontId="37" fillId="0" borderId="15" xfId="20" applyFont="1" applyBorder="1" applyAlignment="1">
      <alignment horizontal="left" vertical="center" wrapText="1"/>
    </xf>
    <xf numFmtId="0" fontId="37" fillId="0" borderId="13" xfId="20" applyFont="1" applyBorder="1" applyAlignment="1">
      <alignment horizontal="left" vertical="center" wrapText="1"/>
    </xf>
    <xf numFmtId="0" fontId="37" fillId="0" borderId="1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2" fontId="5" fillId="0" borderId="4" xfId="20" applyNumberFormat="1" applyFont="1" applyBorder="1" applyAlignment="1">
      <alignment horizontal="center" vertical="center" wrapText="1"/>
    </xf>
    <xf numFmtId="2" fontId="5" fillId="0" borderId="3" xfId="20" applyNumberFormat="1" applyFont="1" applyBorder="1" applyAlignment="1">
      <alignment horizontal="center" vertical="center" wrapText="1"/>
    </xf>
    <xf numFmtId="2" fontId="5" fillId="0" borderId="2" xfId="20" applyNumberFormat="1" applyFont="1" applyBorder="1" applyAlignment="1">
      <alignment horizontal="center" vertical="center" wrapText="1"/>
    </xf>
    <xf numFmtId="0" fontId="46" fillId="0" borderId="0" xfId="20" applyFont="1" applyAlignment="1">
      <alignment horizontal="center" vertical="center" wrapText="1"/>
    </xf>
    <xf numFmtId="0" fontId="37" fillId="0" borderId="1" xfId="20" applyFont="1" applyBorder="1" applyAlignment="1">
      <alignment horizontal="left" vertical="center" wrapText="1"/>
    </xf>
    <xf numFmtId="0" fontId="0" fillId="0" borderId="2" xfId="0" applyBorder="1"/>
    <xf numFmtId="0" fontId="5" fillId="0" borderId="0" xfId="20" applyFont="1" applyAlignment="1">
      <alignment horizontal="center"/>
    </xf>
    <xf numFmtId="0" fontId="5" fillId="0" borderId="4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center" vertical="top" wrapText="1"/>
    </xf>
    <xf numFmtId="0" fontId="34" fillId="0" borderId="1" xfId="20" applyFont="1" applyBorder="1" applyAlignment="1">
      <alignment horizontal="center" vertical="top" wrapText="1"/>
    </xf>
    <xf numFmtId="0" fontId="34" fillId="0" borderId="4" xfId="20" applyFont="1" applyBorder="1" applyAlignment="1">
      <alignment horizontal="center" vertical="top" wrapText="1"/>
    </xf>
    <xf numFmtId="2" fontId="5" fillId="0" borderId="1" xfId="8" applyNumberFormat="1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2" xfId="8" applyFont="1" applyFill="1" applyBorder="1" applyAlignment="1">
      <alignment horizontal="center" vertical="center"/>
    </xf>
    <xf numFmtId="0" fontId="5" fillId="0" borderId="4" xfId="8" applyFont="1" applyFill="1" applyBorder="1" applyAlignment="1">
      <alignment horizontal="center" vertical="top"/>
    </xf>
    <xf numFmtId="0" fontId="5" fillId="0" borderId="2" xfId="8" applyFont="1" applyFill="1" applyBorder="1" applyAlignment="1">
      <alignment horizontal="center" vertical="top"/>
    </xf>
    <xf numFmtId="0" fontId="5" fillId="0" borderId="1" xfId="8" applyFont="1" applyFill="1" applyBorder="1" applyAlignment="1">
      <alignment horizontal="center" vertical="top"/>
    </xf>
    <xf numFmtId="0" fontId="5" fillId="0" borderId="1" xfId="8" applyFont="1" applyFill="1" applyBorder="1" applyAlignment="1">
      <alignment horizontal="center" vertical="center" wrapText="1"/>
    </xf>
    <xf numFmtId="0" fontId="5" fillId="0" borderId="4" xfId="8" applyFont="1" applyFill="1" applyBorder="1" applyAlignment="1">
      <alignment horizontal="center" vertical="top" wrapText="1"/>
    </xf>
    <xf numFmtId="0" fontId="5" fillId="0" borderId="2" xfId="8" applyFont="1" applyFill="1" applyBorder="1" applyAlignment="1">
      <alignment horizontal="center" vertical="top" wrapText="1"/>
    </xf>
    <xf numFmtId="0" fontId="5" fillId="0" borderId="4" xfId="8" applyFont="1" applyFill="1" applyBorder="1" applyAlignment="1">
      <alignment horizontal="center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23" fillId="0" borderId="0" xfId="8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left" vertical="center"/>
    </xf>
    <xf numFmtId="0" fontId="3" fillId="0" borderId="0" xfId="8" applyFont="1" applyFill="1" applyAlignment="1">
      <alignment horizontal="center" vertical="center"/>
    </xf>
    <xf numFmtId="2" fontId="5" fillId="0" borderId="4" xfId="8" applyNumberFormat="1" applyFont="1" applyFill="1" applyBorder="1" applyAlignment="1">
      <alignment horizontal="center" vertical="center"/>
    </xf>
    <xf numFmtId="2" fontId="5" fillId="0" borderId="2" xfId="8" applyNumberFormat="1" applyFont="1" applyFill="1" applyBorder="1" applyAlignment="1">
      <alignment horizontal="center" vertical="center"/>
    </xf>
    <xf numFmtId="0" fontId="47" fillId="0" borderId="6" xfId="8" applyFont="1" applyFill="1" applyBorder="1" applyAlignment="1">
      <alignment horizontal="center" vertical="center" wrapText="1"/>
    </xf>
    <xf numFmtId="0" fontId="2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 wrapText="1"/>
    </xf>
    <xf numFmtId="0" fontId="47" fillId="0" borderId="15" xfId="8" applyFont="1" applyFill="1" applyBorder="1" applyAlignment="1">
      <alignment horizontal="center" vertical="center" wrapText="1"/>
    </xf>
    <xf numFmtId="0" fontId="47" fillId="0" borderId="14" xfId="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9" fillId="0" borderId="0" xfId="26" applyFont="1" applyAlignment="1">
      <alignment horizontal="center" vertical="center" wrapText="1"/>
    </xf>
    <xf numFmtId="0" fontId="8" fillId="0" borderId="0" xfId="26" applyFont="1" applyAlignment="1">
      <alignment horizontal="center" vertical="center" wrapText="1"/>
    </xf>
    <xf numFmtId="0" fontId="59" fillId="0" borderId="0" xfId="26" applyFont="1" applyFill="1" applyAlignment="1">
      <alignment horizontal="center" vertical="center" wrapText="1"/>
    </xf>
    <xf numFmtId="0" fontId="8" fillId="0" borderId="0" xfId="26" applyFont="1" applyFill="1" applyAlignment="1">
      <alignment horizontal="center" vertical="center" wrapText="1"/>
    </xf>
    <xf numFmtId="0" fontId="3" fillId="0" borderId="0" xfId="8" applyFont="1" applyFill="1" applyAlignment="1">
      <alignment horizontal="right" vertical="center" wrapText="1"/>
    </xf>
    <xf numFmtId="0" fontId="5" fillId="3" borderId="4" xfId="26" applyFont="1" applyFill="1" applyBorder="1" applyAlignment="1">
      <alignment horizontal="center" vertical="top"/>
    </xf>
    <xf numFmtId="0" fontId="5" fillId="3" borderId="3" xfId="26" applyFont="1" applyFill="1" applyBorder="1" applyAlignment="1">
      <alignment horizontal="center" vertical="top"/>
    </xf>
    <xf numFmtId="0" fontId="5" fillId="3" borderId="2" xfId="26" applyFont="1" applyFill="1" applyBorder="1" applyAlignment="1">
      <alignment horizontal="center" vertical="top"/>
    </xf>
    <xf numFmtId="0" fontId="23" fillId="0" borderId="4" xfId="26" applyFont="1" applyFill="1" applyBorder="1" applyAlignment="1">
      <alignment horizontal="center" vertical="top"/>
    </xf>
    <xf numFmtId="0" fontId="23" fillId="0" borderId="3" xfId="26" applyFont="1" applyFill="1" applyBorder="1" applyAlignment="1">
      <alignment horizontal="center" vertical="top"/>
    </xf>
    <xf numFmtId="0" fontId="23" fillId="0" borderId="2" xfId="26" applyFont="1" applyFill="1" applyBorder="1" applyAlignment="1">
      <alignment horizontal="center" vertical="top"/>
    </xf>
    <xf numFmtId="0" fontId="5" fillId="0" borderId="2" xfId="2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6" fillId="0" borderId="0" xfId="26" applyFont="1" applyFill="1" applyAlignment="1">
      <alignment horizontal="center" vertical="center" wrapText="1"/>
    </xf>
    <xf numFmtId="0" fontId="26" fillId="0" borderId="0" xfId="26" applyFont="1" applyFill="1" applyAlignment="1">
      <alignment horizontal="center" vertical="center"/>
    </xf>
    <xf numFmtId="0" fontId="3" fillId="0" borderId="4" xfId="8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2" xfId="0" applyFill="1" applyBorder="1"/>
    <xf numFmtId="0" fontId="23" fillId="0" borderId="4" xfId="8" applyFont="1" applyFill="1" applyBorder="1" applyAlignment="1">
      <alignment horizontal="center" vertical="center" wrapText="1"/>
    </xf>
    <xf numFmtId="0" fontId="23" fillId="0" borderId="3" xfId="8" applyFont="1" applyFill="1" applyBorder="1" applyAlignment="1">
      <alignment horizontal="center" vertical="center" wrapText="1"/>
    </xf>
    <xf numFmtId="0" fontId="23" fillId="0" borderId="2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center" vertical="center" wrapText="1"/>
    </xf>
    <xf numFmtId="0" fontId="23" fillId="0" borderId="1" xfId="26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/>
    <xf numFmtId="0" fontId="5" fillId="0" borderId="12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top"/>
    </xf>
    <xf numFmtId="0" fontId="42" fillId="0" borderId="3" xfId="0" applyFont="1" applyFill="1" applyBorder="1" applyAlignment="1">
      <alignment horizontal="center" vertical="top"/>
    </xf>
    <xf numFmtId="0" fontId="42" fillId="0" borderId="2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7" fontId="37" fillId="0" borderId="0" xfId="26" applyNumberFormat="1" applyFont="1" applyFill="1" applyBorder="1" applyAlignment="1">
      <alignment horizontal="center" vertical="center" wrapText="1"/>
    </xf>
    <xf numFmtId="167" fontId="37" fillId="0" borderId="6" xfId="2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/>
    </xf>
    <xf numFmtId="0" fontId="56" fillId="0" borderId="4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/>
    </xf>
    <xf numFmtId="0" fontId="56" fillId="3" borderId="2" xfId="0" applyFont="1" applyFill="1" applyBorder="1" applyAlignment="1">
      <alignment horizontal="center" vertical="center"/>
    </xf>
    <xf numFmtId="0" fontId="56" fillId="3" borderId="15" xfId="0" applyFont="1" applyFill="1" applyBorder="1" applyAlignment="1">
      <alignment horizontal="center" vertical="center" wrapText="1"/>
    </xf>
    <xf numFmtId="0" fontId="56" fillId="3" borderId="14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 vertical="center"/>
    </xf>
    <xf numFmtId="0" fontId="56" fillId="3" borderId="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6" fillId="3" borderId="15" xfId="0" applyFont="1" applyFill="1" applyBorder="1" applyAlignment="1">
      <alignment horizontal="center" vertical="center"/>
    </xf>
    <xf numFmtId="0" fontId="56" fillId="3" borderId="3" xfId="0" applyFont="1" applyFill="1" applyBorder="1" applyAlignment="1">
      <alignment horizontal="center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13" xfId="0" applyFont="1" applyFill="1" applyBorder="1" applyAlignment="1">
      <alignment horizontal="center" vertical="center" wrapText="1"/>
    </xf>
    <xf numFmtId="0" fontId="56" fillId="3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3" fillId="0" borderId="14" xfId="0" applyFont="1" applyBorder="1" applyAlignment="1">
      <alignment horizontal="left" vertical="center"/>
    </xf>
    <xf numFmtId="0" fontId="3" fillId="0" borderId="0" xfId="26" applyFont="1" applyAlignment="1">
      <alignment horizontal="center" vertical="center" wrapText="1"/>
    </xf>
    <xf numFmtId="0" fontId="3" fillId="0" borderId="0" xfId="26" applyFont="1" applyAlignment="1">
      <alignment horizontal="center" vertical="center"/>
    </xf>
    <xf numFmtId="0" fontId="3" fillId="0" borderId="0" xfId="25" applyFont="1" applyBorder="1" applyAlignment="1">
      <alignment horizontal="center"/>
    </xf>
    <xf numFmtId="0" fontId="3" fillId="0" borderId="0" xfId="25" applyFont="1" applyAlignment="1">
      <alignment horizontal="center"/>
    </xf>
    <xf numFmtId="0" fontId="5" fillId="0" borderId="15" xfId="25" applyFont="1" applyBorder="1" applyAlignment="1">
      <alignment horizontal="center" vertical="center"/>
    </xf>
    <xf numFmtId="0" fontId="5" fillId="0" borderId="13" xfId="25" applyFont="1" applyBorder="1" applyAlignment="1">
      <alignment horizontal="center" vertical="center"/>
    </xf>
    <xf numFmtId="0" fontId="5" fillId="0" borderId="14" xfId="25" applyFont="1" applyBorder="1" applyAlignment="1">
      <alignment horizontal="center" vertical="center"/>
    </xf>
    <xf numFmtId="0" fontId="8" fillId="0" borderId="0" xfId="25" applyFont="1" applyAlignment="1">
      <alignment horizontal="center"/>
    </xf>
    <xf numFmtId="0" fontId="3" fillId="0" borderId="0" xfId="25" applyFont="1" applyAlignment="1">
      <alignment horizontal="left" vertical="center"/>
    </xf>
    <xf numFmtId="0" fontId="8" fillId="0" borderId="0" xfId="25" applyFont="1" applyAlignment="1">
      <alignment horizontal="left"/>
    </xf>
    <xf numFmtId="0" fontId="3" fillId="0" borderId="1" xfId="26" applyFont="1" applyBorder="1" applyAlignment="1">
      <alignment horizontal="center" vertical="center"/>
    </xf>
    <xf numFmtId="0" fontId="3" fillId="0" borderId="10" xfId="26" applyFont="1" applyBorder="1" applyAlignment="1">
      <alignment horizontal="center" vertical="center"/>
    </xf>
    <xf numFmtId="0" fontId="3" fillId="0" borderId="6" xfId="26" applyFont="1" applyBorder="1" applyAlignment="1">
      <alignment horizontal="center" vertical="center"/>
    </xf>
    <xf numFmtId="0" fontId="3" fillId="0" borderId="8" xfId="26" applyFont="1" applyBorder="1" applyAlignment="1">
      <alignment horizontal="center" vertical="center"/>
    </xf>
    <xf numFmtId="0" fontId="3" fillId="3" borderId="0" xfId="26" applyFont="1" applyFill="1" applyAlignment="1">
      <alignment horizontal="center" vertical="center" wrapText="1"/>
    </xf>
    <xf numFmtId="0" fontId="3" fillId="3" borderId="0" xfId="26" applyFont="1" applyFill="1" applyAlignment="1">
      <alignment horizontal="center" vertical="center"/>
    </xf>
    <xf numFmtId="0" fontId="3" fillId="0" borderId="0" xfId="26" applyFont="1" applyAlignment="1">
      <alignment horizontal="center"/>
    </xf>
    <xf numFmtId="0" fontId="3" fillId="0" borderId="6" xfId="26" applyFont="1" applyBorder="1" applyAlignment="1">
      <alignment horizontal="left" vertical="center"/>
    </xf>
    <xf numFmtId="0" fontId="3" fillId="0" borderId="6" xfId="26" applyFont="1" applyBorder="1" applyAlignment="1">
      <alignment horizontal="center"/>
    </xf>
    <xf numFmtId="0" fontId="3" fillId="0" borderId="4" xfId="26" applyFont="1" applyBorder="1" applyAlignment="1">
      <alignment horizontal="center" vertical="top"/>
    </xf>
    <xf numFmtId="0" fontId="3" fillId="0" borderId="3" xfId="26" applyFont="1" applyBorder="1" applyAlignment="1">
      <alignment horizontal="center" vertical="top"/>
    </xf>
    <xf numFmtId="0" fontId="3" fillId="0" borderId="2" xfId="26" applyFont="1" applyBorder="1" applyAlignment="1">
      <alignment horizontal="center" vertical="top"/>
    </xf>
    <xf numFmtId="49" fontId="3" fillId="0" borderId="12" xfId="26" applyNumberFormat="1" applyFont="1" applyFill="1" applyBorder="1" applyAlignment="1">
      <alignment horizontal="center" vertical="top" wrapText="1"/>
    </xf>
    <xf numFmtId="49" fontId="3" fillId="0" borderId="11" xfId="26" applyNumberFormat="1" applyFont="1" applyFill="1" applyBorder="1" applyAlignment="1">
      <alignment horizontal="center" vertical="top" wrapText="1"/>
    </xf>
    <xf numFmtId="49" fontId="3" fillId="0" borderId="10" xfId="26" applyNumberFormat="1" applyFont="1" applyFill="1" applyBorder="1" applyAlignment="1">
      <alignment horizontal="center" vertical="top" wrapText="1"/>
    </xf>
    <xf numFmtId="0" fontId="6" fillId="0" borderId="15" xfId="27" applyFont="1" applyBorder="1" applyAlignment="1">
      <alignment horizontal="center" vertical="center" wrapText="1"/>
    </xf>
    <xf numFmtId="0" fontId="6" fillId="0" borderId="13" xfId="27" applyFont="1" applyBorder="1" applyAlignment="1">
      <alignment horizontal="center" vertical="center" wrapText="1"/>
    </xf>
    <xf numFmtId="0" fontId="6" fillId="0" borderId="14" xfId="27" applyFont="1" applyBorder="1" applyAlignment="1">
      <alignment horizontal="center" vertical="center" wrapText="1"/>
    </xf>
    <xf numFmtId="0" fontId="3" fillId="0" borderId="4" xfId="26" applyFont="1" applyBorder="1" applyAlignment="1">
      <alignment horizontal="center" vertical="center"/>
    </xf>
    <xf numFmtId="0" fontId="3" fillId="0" borderId="2" xfId="26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26" applyFont="1" applyBorder="1" applyAlignment="1">
      <alignment horizontal="center" vertical="center"/>
    </xf>
    <xf numFmtId="0" fontId="3" fillId="0" borderId="14" xfId="26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9" fontId="3" fillId="0" borderId="5" xfId="17" applyNumberFormat="1" applyFont="1" applyFill="1" applyBorder="1" applyAlignment="1">
      <alignment horizontal="center" vertical="top" wrapText="1"/>
    </xf>
    <xf numFmtId="49" fontId="3" fillId="0" borderId="0" xfId="17" applyNumberFormat="1" applyFont="1" applyFill="1" applyBorder="1" applyAlignment="1">
      <alignment horizontal="center" vertical="top" wrapText="1"/>
    </xf>
    <xf numFmtId="49" fontId="3" fillId="0" borderId="6" xfId="17" applyNumberFormat="1" applyFont="1" applyFill="1" applyBorder="1" applyAlignment="1">
      <alignment horizontal="center" vertical="top" wrapText="1"/>
    </xf>
    <xf numFmtId="49" fontId="3" fillId="3" borderId="4" xfId="17" applyNumberFormat="1" applyFont="1" applyFill="1" applyBorder="1" applyAlignment="1">
      <alignment horizontal="center" vertical="top" wrapText="1"/>
    </xf>
    <xf numFmtId="49" fontId="3" fillId="3" borderId="3" xfId="17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8" fillId="0" borderId="4" xfId="17" applyFont="1" applyFill="1" applyBorder="1" applyAlignment="1">
      <alignment horizontal="center" vertical="top" wrapText="1"/>
    </xf>
    <xf numFmtId="0" fontId="48" fillId="0" borderId="3" xfId="17" applyFont="1" applyFill="1" applyBorder="1" applyAlignment="1">
      <alignment horizontal="center" vertical="top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14" xfId="8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3" borderId="7" xfId="17" applyNumberFormat="1" applyFont="1" applyFill="1" applyBorder="1" applyAlignment="1">
      <alignment horizontal="center" vertical="top" wrapText="1"/>
    </xf>
    <xf numFmtId="49" fontId="3" fillId="3" borderId="9" xfId="17" applyNumberFormat="1" applyFont="1" applyFill="1" applyBorder="1" applyAlignment="1">
      <alignment horizontal="center" vertical="top" wrapText="1"/>
    </xf>
    <xf numFmtId="49" fontId="3" fillId="3" borderId="8" xfId="17" applyNumberFormat="1" applyFont="1" applyFill="1" applyBorder="1" applyAlignment="1">
      <alignment horizontal="center" vertical="top" wrapText="1"/>
    </xf>
    <xf numFmtId="0" fontId="3" fillId="0" borderId="10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3" fillId="0" borderId="8" xfId="8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top" wrapText="1"/>
    </xf>
    <xf numFmtId="0" fontId="64" fillId="0" borderId="3" xfId="0" applyFont="1" applyFill="1" applyBorder="1" applyAlignment="1">
      <alignment horizontal="center" vertical="top" wrapText="1"/>
    </xf>
    <xf numFmtId="0" fontId="64" fillId="0" borderId="2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4" xfId="26" applyFont="1" applyFill="1" applyBorder="1" applyAlignment="1">
      <alignment horizontal="center" vertical="top" wrapText="1"/>
    </xf>
    <xf numFmtId="0" fontId="3" fillId="0" borderId="2" xfId="26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4" fontId="6" fillId="0" borderId="4" xfId="0" applyNumberFormat="1" applyFont="1" applyFill="1" applyBorder="1" applyAlignment="1">
      <alignment horizontal="center" vertical="top" wrapText="1"/>
    </xf>
    <xf numFmtId="14" fontId="6" fillId="0" borderId="3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0" xfId="26" applyFont="1" applyFill="1" applyAlignment="1">
      <alignment horizontal="center" vertical="center" wrapText="1"/>
    </xf>
    <xf numFmtId="0" fontId="3" fillId="0" borderId="0" xfId="26" applyFont="1" applyFill="1" applyAlignment="1">
      <alignment horizontal="center" vertical="center"/>
    </xf>
    <xf numFmtId="0" fontId="3" fillId="0" borderId="0" xfId="26" applyFont="1" applyFill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4" xfId="17" applyNumberFormat="1" applyFont="1" applyFill="1" applyBorder="1" applyAlignment="1">
      <alignment horizontal="center" vertical="top" wrapText="1"/>
    </xf>
    <xf numFmtId="49" fontId="3" fillId="0" borderId="3" xfId="17" applyNumberFormat="1" applyFont="1" applyFill="1" applyBorder="1" applyAlignment="1">
      <alignment horizontal="center" vertical="top" wrapText="1"/>
    </xf>
    <xf numFmtId="49" fontId="3" fillId="0" borderId="2" xfId="17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3" fillId="0" borderId="0" xfId="17" applyFont="1" applyAlignment="1">
      <alignment horizontal="center" vertical="center"/>
    </xf>
    <xf numFmtId="0" fontId="3" fillId="3" borderId="0" xfId="17" applyFont="1" applyFill="1" applyAlignment="1">
      <alignment horizontal="center" vertical="center" wrapText="1"/>
    </xf>
    <xf numFmtId="0" fontId="3" fillId="0" borderId="6" xfId="17" applyFont="1" applyBorder="1" applyAlignment="1">
      <alignment horizontal="right" vertical="center"/>
    </xf>
    <xf numFmtId="0" fontId="3" fillId="0" borderId="1" xfId="17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3" fillId="0" borderId="7" xfId="17" applyNumberFormat="1" applyFont="1" applyFill="1" applyBorder="1" applyAlignment="1">
      <alignment horizontal="center" vertical="top" wrapText="1"/>
    </xf>
    <xf numFmtId="49" fontId="3" fillId="0" borderId="9" xfId="17" applyNumberFormat="1" applyFont="1" applyFill="1" applyBorder="1" applyAlignment="1">
      <alignment horizontal="center" vertical="top" wrapText="1"/>
    </xf>
    <xf numFmtId="49" fontId="3" fillId="0" borderId="8" xfId="17" applyNumberFormat="1" applyFont="1" applyFill="1" applyBorder="1" applyAlignment="1">
      <alignment horizontal="center" vertical="top" wrapText="1"/>
    </xf>
    <xf numFmtId="0" fontId="3" fillId="0" borderId="15" xfId="17" applyFont="1" applyFill="1" applyBorder="1" applyAlignment="1">
      <alignment horizontal="center" vertical="center" wrapText="1"/>
    </xf>
    <xf numFmtId="0" fontId="3" fillId="0" borderId="13" xfId="17" applyFont="1" applyFill="1" applyBorder="1" applyAlignment="1">
      <alignment horizontal="center" vertical="center" wrapText="1"/>
    </xf>
    <xf numFmtId="0" fontId="3" fillId="0" borderId="14" xfId="17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center" wrapText="1"/>
    </xf>
    <xf numFmtId="0" fontId="2" fillId="0" borderId="5" xfId="17" applyFont="1" applyFill="1" applyBorder="1" applyAlignment="1">
      <alignment horizontal="center" vertical="center"/>
    </xf>
    <xf numFmtId="0" fontId="3" fillId="0" borderId="4" xfId="17" applyFont="1" applyFill="1" applyBorder="1" applyAlignment="1">
      <alignment horizontal="center" vertical="top" wrapText="1"/>
    </xf>
    <xf numFmtId="0" fontId="3" fillId="0" borderId="3" xfId="17" applyFont="1" applyFill="1" applyBorder="1" applyAlignment="1">
      <alignment horizontal="center" vertical="top" wrapText="1"/>
    </xf>
    <xf numFmtId="0" fontId="38" fillId="0" borderId="12" xfId="17" applyFont="1" applyFill="1" applyBorder="1" applyAlignment="1">
      <alignment horizontal="center" vertical="top" wrapText="1"/>
    </xf>
    <xf numFmtId="0" fontId="38" fillId="0" borderId="11" xfId="17" applyFont="1" applyFill="1" applyBorder="1" applyAlignment="1">
      <alignment horizontal="center" vertical="top" wrapText="1"/>
    </xf>
    <xf numFmtId="49" fontId="3" fillId="0" borderId="4" xfId="26" applyNumberFormat="1" applyFont="1" applyBorder="1" applyAlignment="1">
      <alignment horizontal="center" vertical="top"/>
    </xf>
    <xf numFmtId="49" fontId="3" fillId="0" borderId="3" xfId="26" applyNumberFormat="1" applyFont="1" applyBorder="1" applyAlignment="1">
      <alignment horizontal="center" vertical="top"/>
    </xf>
    <xf numFmtId="49" fontId="3" fillId="0" borderId="2" xfId="26" applyNumberFormat="1" applyFont="1" applyBorder="1" applyAlignment="1">
      <alignment horizontal="center" vertical="top"/>
    </xf>
    <xf numFmtId="0" fontId="3" fillId="0" borderId="4" xfId="26" applyNumberFormat="1" applyFont="1" applyBorder="1" applyAlignment="1">
      <alignment horizontal="center" vertical="top"/>
    </xf>
    <xf numFmtId="0" fontId="3" fillId="0" borderId="3" xfId="26" applyNumberFormat="1" applyFont="1" applyBorder="1" applyAlignment="1">
      <alignment horizontal="center" vertical="top"/>
    </xf>
    <xf numFmtId="0" fontId="3" fillId="0" borderId="2" xfId="26" applyNumberFormat="1" applyFont="1" applyBorder="1" applyAlignment="1">
      <alignment horizontal="center" vertical="top"/>
    </xf>
    <xf numFmtId="49" fontId="3" fillId="0" borderId="4" xfId="25" applyNumberFormat="1" applyFont="1" applyFill="1" applyBorder="1" applyAlignment="1">
      <alignment horizontal="center" vertical="top" wrapText="1"/>
    </xf>
    <xf numFmtId="49" fontId="3" fillId="0" borderId="3" xfId="25" applyNumberFormat="1" applyFont="1" applyFill="1" applyBorder="1" applyAlignment="1">
      <alignment horizontal="center" vertical="top" wrapText="1"/>
    </xf>
    <xf numFmtId="49" fontId="3" fillId="0" borderId="2" xfId="25" applyNumberFormat="1" applyFont="1" applyFill="1" applyBorder="1" applyAlignment="1">
      <alignment horizontal="center" vertical="top" wrapText="1"/>
    </xf>
    <xf numFmtId="0" fontId="3" fillId="0" borderId="15" xfId="25" applyFont="1" applyBorder="1" applyAlignment="1">
      <alignment horizontal="center" vertical="center"/>
    </xf>
    <xf numFmtId="0" fontId="3" fillId="0" borderId="14" xfId="25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25" applyFont="1" applyBorder="1" applyAlignment="1">
      <alignment horizontal="center" vertical="center"/>
    </xf>
    <xf numFmtId="49" fontId="3" fillId="0" borderId="4" xfId="26" applyNumberFormat="1" applyFont="1" applyBorder="1" applyAlignment="1">
      <alignment horizontal="center" vertical="top" wrapText="1"/>
    </xf>
    <xf numFmtId="49" fontId="3" fillId="0" borderId="3" xfId="26" applyNumberFormat="1" applyFont="1" applyBorder="1" applyAlignment="1">
      <alignment horizontal="center" vertical="top" wrapText="1"/>
    </xf>
    <xf numFmtId="49" fontId="3" fillId="0" borderId="2" xfId="26" applyNumberFormat="1" applyFont="1" applyBorder="1" applyAlignment="1">
      <alignment horizontal="center" vertical="top" wrapText="1"/>
    </xf>
    <xf numFmtId="49" fontId="3" fillId="0" borderId="4" xfId="25" applyNumberFormat="1" applyFont="1" applyBorder="1" applyAlignment="1">
      <alignment horizontal="center" vertical="top" wrapText="1"/>
    </xf>
    <xf numFmtId="49" fontId="3" fillId="0" borderId="3" xfId="25" applyNumberFormat="1" applyFont="1" applyBorder="1" applyAlignment="1">
      <alignment horizontal="center" vertical="top" wrapText="1"/>
    </xf>
    <xf numFmtId="49" fontId="3" fillId="0" borderId="2" xfId="25" applyNumberFormat="1" applyFont="1" applyBorder="1" applyAlignment="1">
      <alignment horizontal="center" vertical="top" wrapText="1"/>
    </xf>
    <xf numFmtId="49" fontId="3" fillId="0" borderId="4" xfId="25" applyNumberFormat="1" applyFont="1" applyBorder="1" applyAlignment="1">
      <alignment horizontal="center" vertical="top"/>
    </xf>
    <xf numFmtId="49" fontId="3" fillId="0" borderId="3" xfId="25" applyNumberFormat="1" applyFont="1" applyBorder="1" applyAlignment="1">
      <alignment horizontal="center" vertical="top"/>
    </xf>
    <xf numFmtId="49" fontId="3" fillId="0" borderId="2" xfId="25" applyNumberFormat="1" applyFont="1" applyBorder="1" applyAlignment="1">
      <alignment horizontal="center" vertical="top"/>
    </xf>
    <xf numFmtId="0" fontId="3" fillId="0" borderId="13" xfId="26" applyFon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0" fontId="5" fillId="0" borderId="4" xfId="26" applyFont="1" applyBorder="1" applyAlignment="1">
      <alignment horizontal="center" vertical="top"/>
    </xf>
    <xf numFmtId="0" fontId="5" fillId="0" borderId="3" xfId="26" applyFont="1" applyBorder="1" applyAlignment="1">
      <alignment horizontal="center" vertical="top"/>
    </xf>
    <xf numFmtId="0" fontId="5" fillId="0" borderId="2" xfId="26" applyFont="1" applyBorder="1" applyAlignment="1">
      <alignment horizontal="center" vertical="top"/>
    </xf>
    <xf numFmtId="49" fontId="3" fillId="0" borderId="12" xfId="26" applyNumberFormat="1" applyFont="1" applyFill="1" applyBorder="1" applyAlignment="1">
      <alignment horizontal="center" vertical="top"/>
    </xf>
    <xf numFmtId="49" fontId="3" fillId="0" borderId="11" xfId="26" applyNumberFormat="1" applyFont="1" applyFill="1" applyBorder="1" applyAlignment="1">
      <alignment horizontal="center" vertical="top"/>
    </xf>
    <xf numFmtId="49" fontId="3" fillId="0" borderId="10" xfId="26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6" fillId="0" borderId="10" xfId="27" applyFont="1" applyBorder="1" applyAlignment="1">
      <alignment horizontal="center" vertical="center" wrapText="1"/>
    </xf>
    <xf numFmtId="0" fontId="6" fillId="0" borderId="6" xfId="27" applyFont="1" applyBorder="1" applyAlignment="1">
      <alignment horizontal="center" vertical="center" wrapText="1"/>
    </xf>
    <xf numFmtId="0" fontId="6" fillId="0" borderId="8" xfId="27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6" fillId="0" borderId="0" xfId="20" applyFont="1" applyAlignment="1">
      <alignment horizontal="right" vertical="center"/>
    </xf>
  </cellXfs>
  <cellStyles count="31">
    <cellStyle name="Normal" xfId="0" builtinId="0"/>
    <cellStyle name="Normal 10" xfId="1"/>
    <cellStyle name="Normal 2" xfId="2"/>
    <cellStyle name="Normal 2 2" xfId="3"/>
    <cellStyle name="Normal 2 3" xfId="4"/>
    <cellStyle name="Normal 7" xfId="5"/>
    <cellStyle name="Normal 8" xfId="6"/>
    <cellStyle name="Обычный 2" xfId="7"/>
    <cellStyle name="Обычный 2 2" xfId="8"/>
    <cellStyle name="Обычный 2 2 2" xfId="9"/>
    <cellStyle name="Обычный 2 2 3" xfId="10"/>
    <cellStyle name="Обычный 2 2_A BETONI1" xfId="11"/>
    <cellStyle name="Обычный 2 2_XIDI" xfId="12"/>
    <cellStyle name="Обычный 2 3" xfId="13"/>
    <cellStyle name="Обычный 2 4" xfId="14"/>
    <cellStyle name="Обычный 2_A.BETONI " xfId="15"/>
    <cellStyle name="Обычный 3" xfId="16"/>
    <cellStyle name="Обычный 3 2" xfId="17"/>
    <cellStyle name="Обычный 3_A BETONI1" xfId="18"/>
    <cellStyle name="Обычный 4" xfId="19"/>
    <cellStyle name="Обычный 5" xfId="20"/>
    <cellStyle name="Обычный 6" xfId="21"/>
    <cellStyle name="Обычный 6 2" xfId="22"/>
    <cellStyle name="Обычный 7" xfId="23"/>
    <cellStyle name="Обычный 7 2" xfId="24"/>
    <cellStyle name="Обычный_FERIIS~1" xfId="25"/>
    <cellStyle name="Обычный_FERIIS~1 2" xfId="26"/>
    <cellStyle name="Обычный_SPIKEROVIZI  forma 2 " xfId="27"/>
    <cellStyle name="Финансовый 2" xfId="28"/>
    <cellStyle name="Финансовый 3" xfId="29"/>
    <cellStyle name="მძიმე 2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6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6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7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7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7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7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7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7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7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7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7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7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8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8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8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8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8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8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8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8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8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8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9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9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9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9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9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9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9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9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199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199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0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0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0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0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04" name="Text Box 19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05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0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07" name="Text Box 194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08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0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1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11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1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1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14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1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1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1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1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1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2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2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2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2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2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2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2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2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2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2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3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3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3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3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3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3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3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3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3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3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4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4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4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4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4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4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4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47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4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49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0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1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2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3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4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5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56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5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5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5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6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6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62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063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6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6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6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6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6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6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7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7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7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7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7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7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7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7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7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7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8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8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8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8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8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8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8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8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8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8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9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9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9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9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9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9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9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09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09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09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0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2101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102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103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0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0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0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0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0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0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1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11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12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1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1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1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1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1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1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1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2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2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2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2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2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2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2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2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2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2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3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3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3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3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3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3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3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3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3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3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4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4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4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4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4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4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4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4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4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4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2150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5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5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53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54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5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5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5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5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5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6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6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6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6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6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6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6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6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6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6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7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7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7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7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7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7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7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7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7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7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8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8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8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8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8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8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8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8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8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8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9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9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2192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9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19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95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196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9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9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19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0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0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0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0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0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0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0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0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0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0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1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1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1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1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1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1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1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1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1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1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2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2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2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2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2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2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2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2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2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2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3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3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3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3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3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3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2236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3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3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39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40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4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4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4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4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4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4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4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4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4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5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5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5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5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5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5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5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5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5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5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6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6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6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6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6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6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6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6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6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6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7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7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7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7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7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7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7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7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7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7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2280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8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28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83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284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8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28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8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8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8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9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9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9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9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9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9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9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9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29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29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0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0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0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0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0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0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0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0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0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0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1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1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1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1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1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1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1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231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231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1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2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2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2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23" name="Text Box 19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2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2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26" name="Text Box 194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27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2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3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3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3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3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3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3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3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4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4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4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4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4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4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4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4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5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5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5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5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5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5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6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6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6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6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6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66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6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68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6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75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7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7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7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7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8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8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38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8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8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8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8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9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9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9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9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9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9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39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9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39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39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0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0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0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0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0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0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0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0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1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1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1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1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1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1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1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1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1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2420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42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242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2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2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2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2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2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2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2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30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31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3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3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3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3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3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3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3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3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4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4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4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4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4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4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4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4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4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5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5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5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5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5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5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5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5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5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5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6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6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6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6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6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6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6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6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6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246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7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7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72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73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7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7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7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7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7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8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8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8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8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8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9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9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9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9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9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9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49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49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49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0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0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0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0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0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0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0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1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2511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1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14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15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1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1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1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1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2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2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2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2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2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2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2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3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3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3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3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3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3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3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4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4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4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4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4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4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5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5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5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5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2555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5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58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59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6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6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6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6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6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6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6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6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6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6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7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7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7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7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7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7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7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8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8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8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8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8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9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9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9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9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59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9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59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59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259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60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26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602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2603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60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260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0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0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0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0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1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1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1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1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1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1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1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1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1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1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2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2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2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2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2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2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2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2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28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29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30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31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32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33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34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35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78</xdr:row>
      <xdr:rowOff>0</xdr:rowOff>
    </xdr:from>
    <xdr:to>
      <xdr:col>1</xdr:col>
      <xdr:colOff>57150</xdr:colOff>
      <xdr:row>78</xdr:row>
      <xdr:rowOff>47625</xdr:rowOff>
    </xdr:to>
    <xdr:sp macro="" textlink="">
      <xdr:nvSpPr>
        <xdr:cNvPr id="4342636" name="Text Box 1"/>
        <xdr:cNvSpPr txBox="1">
          <a:spLocks noChangeArrowheads="1"/>
        </xdr:cNvSpPr>
      </xdr:nvSpPr>
      <xdr:spPr bwMode="auto">
        <a:xfrm>
          <a:off x="352425" y="260699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78</xdr:row>
      <xdr:rowOff>0</xdr:rowOff>
    </xdr:from>
    <xdr:to>
      <xdr:col>1</xdr:col>
      <xdr:colOff>66675</xdr:colOff>
      <xdr:row>78</xdr:row>
      <xdr:rowOff>47625</xdr:rowOff>
    </xdr:to>
    <xdr:sp macro="" textlink="">
      <xdr:nvSpPr>
        <xdr:cNvPr id="4342637" name="Text Box 2"/>
        <xdr:cNvSpPr txBox="1">
          <a:spLocks noChangeArrowheads="1"/>
        </xdr:cNvSpPr>
      </xdr:nvSpPr>
      <xdr:spPr bwMode="auto">
        <a:xfrm>
          <a:off x="352425" y="260699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3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3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4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4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42" name="Text Box 19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43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78</xdr:row>
      <xdr:rowOff>0</xdr:rowOff>
    </xdr:from>
    <xdr:to>
      <xdr:col>8</xdr:col>
      <xdr:colOff>85725</xdr:colOff>
      <xdr:row>78</xdr:row>
      <xdr:rowOff>47625</xdr:rowOff>
    </xdr:to>
    <xdr:sp macro="" textlink="">
      <xdr:nvSpPr>
        <xdr:cNvPr id="4342644" name="Text Box 2"/>
        <xdr:cNvSpPr txBox="1">
          <a:spLocks noChangeArrowheads="1"/>
        </xdr:cNvSpPr>
      </xdr:nvSpPr>
      <xdr:spPr bwMode="auto">
        <a:xfrm>
          <a:off x="3162300" y="26069925"/>
          <a:ext cx="518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45" name="Text Box 194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46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78</xdr:row>
      <xdr:rowOff>0</xdr:rowOff>
    </xdr:from>
    <xdr:to>
      <xdr:col>1</xdr:col>
      <xdr:colOff>3714750</xdr:colOff>
      <xdr:row>78</xdr:row>
      <xdr:rowOff>47625</xdr:rowOff>
    </xdr:to>
    <xdr:sp macro="" textlink="">
      <xdr:nvSpPr>
        <xdr:cNvPr id="4342647" name="Text Box 2"/>
        <xdr:cNvSpPr txBox="1">
          <a:spLocks noChangeArrowheads="1"/>
        </xdr:cNvSpPr>
      </xdr:nvSpPr>
      <xdr:spPr bwMode="auto">
        <a:xfrm>
          <a:off x="1628775" y="26069925"/>
          <a:ext cx="24384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4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49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5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5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52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5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5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5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5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5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5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5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6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6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6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6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6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6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6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6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6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6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7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7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7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7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7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7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7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7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7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7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8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8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68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8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68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85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8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87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88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89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90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91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92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93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694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9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9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9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9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69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700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701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0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0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0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0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0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0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0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0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1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1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1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1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1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1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1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1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1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1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2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2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2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2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2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2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2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2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2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2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3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3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3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3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3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3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3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3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3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78</xdr:row>
      <xdr:rowOff>0</xdr:rowOff>
    </xdr:from>
    <xdr:to>
      <xdr:col>1</xdr:col>
      <xdr:colOff>2857500</xdr:colOff>
      <xdr:row>78</xdr:row>
      <xdr:rowOff>47625</xdr:rowOff>
    </xdr:to>
    <xdr:sp macro="" textlink="">
      <xdr:nvSpPr>
        <xdr:cNvPr id="4342739" name="Text Box 2"/>
        <xdr:cNvSpPr txBox="1">
          <a:spLocks noChangeArrowheads="1"/>
        </xdr:cNvSpPr>
      </xdr:nvSpPr>
      <xdr:spPr bwMode="auto">
        <a:xfrm>
          <a:off x="1333500" y="26069925"/>
          <a:ext cx="18764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740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78</xdr:row>
      <xdr:rowOff>0</xdr:rowOff>
    </xdr:from>
    <xdr:to>
      <xdr:col>4</xdr:col>
      <xdr:colOff>371475</xdr:colOff>
      <xdr:row>78</xdr:row>
      <xdr:rowOff>47625</xdr:rowOff>
    </xdr:to>
    <xdr:sp macro="" textlink="">
      <xdr:nvSpPr>
        <xdr:cNvPr id="4342741" name="Text Box 2"/>
        <xdr:cNvSpPr txBox="1">
          <a:spLocks noChangeArrowheads="1"/>
        </xdr:cNvSpPr>
      </xdr:nvSpPr>
      <xdr:spPr bwMode="auto">
        <a:xfrm>
          <a:off x="2409825" y="260699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4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4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4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4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4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4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4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49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50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5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5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5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5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5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5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5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5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5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6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6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6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6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6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6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6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6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6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6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7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7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7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7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7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7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7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7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7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7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278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8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278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278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0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0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0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0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7908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0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1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11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12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1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1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1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1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1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1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1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2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2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2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2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2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2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2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2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2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2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3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3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3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3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3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3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3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3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3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3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4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4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4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4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4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4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4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4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4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4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7950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5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5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53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54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55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5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57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5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5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6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6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6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6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6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6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6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6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6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6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7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71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72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7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7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7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7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7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7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7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8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8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8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8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8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8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8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8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8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8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9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9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9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9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78</xdr:row>
      <xdr:rowOff>0</xdr:rowOff>
    </xdr:from>
    <xdr:to>
      <xdr:col>1</xdr:col>
      <xdr:colOff>1019175</xdr:colOff>
      <xdr:row>78</xdr:row>
      <xdr:rowOff>47625</xdr:rowOff>
    </xdr:to>
    <xdr:sp macro="" textlink="">
      <xdr:nvSpPr>
        <xdr:cNvPr id="4347994" name="Text Box 2"/>
        <xdr:cNvSpPr txBox="1">
          <a:spLocks noChangeArrowheads="1"/>
        </xdr:cNvSpPr>
      </xdr:nvSpPr>
      <xdr:spPr bwMode="auto">
        <a:xfrm>
          <a:off x="685800" y="260699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9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799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97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7998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7999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0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01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0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03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04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0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0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0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08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0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1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1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1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1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1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15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16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1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18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19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20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2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22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2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24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2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26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27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28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2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30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31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32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33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34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35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36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37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78</xdr:row>
      <xdr:rowOff>0</xdr:rowOff>
    </xdr:from>
    <xdr:to>
      <xdr:col>3</xdr:col>
      <xdr:colOff>114300</xdr:colOff>
      <xdr:row>78</xdr:row>
      <xdr:rowOff>47625</xdr:rowOff>
    </xdr:to>
    <xdr:sp macro="" textlink="">
      <xdr:nvSpPr>
        <xdr:cNvPr id="4348038" name="Text Box 2"/>
        <xdr:cNvSpPr txBox="1">
          <a:spLocks noChangeArrowheads="1"/>
        </xdr:cNvSpPr>
      </xdr:nvSpPr>
      <xdr:spPr bwMode="auto">
        <a:xfrm>
          <a:off x="4629150" y="26069925"/>
          <a:ext cx="40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39" name="Text Box 1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78</xdr:row>
      <xdr:rowOff>0</xdr:rowOff>
    </xdr:from>
    <xdr:to>
      <xdr:col>5</xdr:col>
      <xdr:colOff>200025</xdr:colOff>
      <xdr:row>78</xdr:row>
      <xdr:rowOff>47625</xdr:rowOff>
    </xdr:to>
    <xdr:sp macro="" textlink="">
      <xdr:nvSpPr>
        <xdr:cNvPr id="4348040" name="Text Box 2"/>
        <xdr:cNvSpPr txBox="1">
          <a:spLocks noChangeArrowheads="1"/>
        </xdr:cNvSpPr>
      </xdr:nvSpPr>
      <xdr:spPr bwMode="auto">
        <a:xfrm>
          <a:off x="2447925" y="260699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41" name="Text Box 3155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78</xdr:row>
      <xdr:rowOff>0</xdr:rowOff>
    </xdr:from>
    <xdr:to>
      <xdr:col>2</xdr:col>
      <xdr:colOff>0</xdr:colOff>
      <xdr:row>78</xdr:row>
      <xdr:rowOff>47625</xdr:rowOff>
    </xdr:to>
    <xdr:sp macro="" textlink="">
      <xdr:nvSpPr>
        <xdr:cNvPr id="4348042" name="Text Box 3156"/>
        <xdr:cNvSpPr txBox="1">
          <a:spLocks noChangeArrowheads="1"/>
        </xdr:cNvSpPr>
      </xdr:nvSpPr>
      <xdr:spPr bwMode="auto">
        <a:xfrm>
          <a:off x="1828800" y="260699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78</xdr:row>
      <xdr:rowOff>0</xdr:rowOff>
    </xdr:from>
    <xdr:to>
      <xdr:col>1</xdr:col>
      <xdr:colOff>561975</xdr:colOff>
      <xdr:row>78</xdr:row>
      <xdr:rowOff>47625</xdr:rowOff>
    </xdr:to>
    <xdr:sp macro="" textlink="">
      <xdr:nvSpPr>
        <xdr:cNvPr id="4348043" name="Text Box 2"/>
        <xdr:cNvSpPr txBox="1">
          <a:spLocks noChangeArrowheads="1"/>
        </xdr:cNvSpPr>
      </xdr:nvSpPr>
      <xdr:spPr bwMode="auto">
        <a:xfrm>
          <a:off x="523875" y="260699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78</xdr:row>
      <xdr:rowOff>0</xdr:rowOff>
    </xdr:from>
    <xdr:to>
      <xdr:col>8</xdr:col>
      <xdr:colOff>161925</xdr:colOff>
      <xdr:row>78</xdr:row>
      <xdr:rowOff>47625</xdr:rowOff>
    </xdr:to>
    <xdr:sp macro="" textlink="">
      <xdr:nvSpPr>
        <xdr:cNvPr id="4348044" name="Text Box 2"/>
        <xdr:cNvSpPr txBox="1">
          <a:spLocks noChangeArrowheads="1"/>
        </xdr:cNvSpPr>
      </xdr:nvSpPr>
      <xdr:spPr bwMode="auto">
        <a:xfrm>
          <a:off x="3219450" y="26069925"/>
          <a:ext cx="52006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78</xdr:row>
      <xdr:rowOff>0</xdr:rowOff>
    </xdr:from>
    <xdr:to>
      <xdr:col>3</xdr:col>
      <xdr:colOff>114300</xdr:colOff>
      <xdr:row>78</xdr:row>
      <xdr:rowOff>47625</xdr:rowOff>
    </xdr:to>
    <xdr:sp macro="" textlink="">
      <xdr:nvSpPr>
        <xdr:cNvPr id="4348045" name="Text Box 2"/>
        <xdr:cNvSpPr txBox="1">
          <a:spLocks noChangeArrowheads="1"/>
        </xdr:cNvSpPr>
      </xdr:nvSpPr>
      <xdr:spPr bwMode="auto">
        <a:xfrm>
          <a:off x="4629150" y="26069925"/>
          <a:ext cx="40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4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4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4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4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5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5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5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5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5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5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5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5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5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5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6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6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6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6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6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6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6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6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6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6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7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7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7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7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7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7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07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07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07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8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08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82" name="Text Box 19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08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08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85" name="Text Box 194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086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0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08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09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9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09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09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9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09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09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0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09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0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0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0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0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0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1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1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1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1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1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1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1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1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1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1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2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2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2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2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2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25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2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27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28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2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3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3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3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3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3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3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3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3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3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4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4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4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4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4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4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4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5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5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5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5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5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5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5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5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6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6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6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6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6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6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6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6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7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7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7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7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7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7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7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817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4818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115</xdr:row>
      <xdr:rowOff>0</xdr:rowOff>
    </xdr:from>
    <xdr:to>
      <xdr:col>5</xdr:col>
      <xdr:colOff>238125</xdr:colOff>
      <xdr:row>115</xdr:row>
      <xdr:rowOff>38100</xdr:rowOff>
    </xdr:to>
    <xdr:sp macro="" textlink="">
      <xdr:nvSpPr>
        <xdr:cNvPr id="4348181" name="Text Box 2"/>
        <xdr:cNvSpPr txBox="1">
          <a:spLocks noChangeArrowheads="1"/>
        </xdr:cNvSpPr>
      </xdr:nvSpPr>
      <xdr:spPr bwMode="auto">
        <a:xfrm>
          <a:off x="2495550" y="40205025"/>
          <a:ext cx="3810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8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8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8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8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8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8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89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90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9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9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9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9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19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9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1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19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0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0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0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0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0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0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1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1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1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1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1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1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1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2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2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2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2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2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2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2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8228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3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31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32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3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3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3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3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3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4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4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4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4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4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4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4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4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5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5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5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5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5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5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5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6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6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6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6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6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6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6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6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8270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7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73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74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7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7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7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7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7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8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8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8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8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8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8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8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8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9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9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9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9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9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2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9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29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29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0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0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0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0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0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0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1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1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1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8314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1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1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17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18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1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2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2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2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2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2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2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2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2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2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2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3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3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3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3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3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3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4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4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4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4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4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4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4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4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5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5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5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5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5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5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48358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483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61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8362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6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4836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65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66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67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68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69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70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71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72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73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74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75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76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77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78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79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80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81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82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83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84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85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86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87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88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89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90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91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92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93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94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395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396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39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39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39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0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01" name="Text Box 19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02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74</xdr:row>
      <xdr:rowOff>0</xdr:rowOff>
    </xdr:from>
    <xdr:to>
      <xdr:col>7</xdr:col>
      <xdr:colOff>666750</xdr:colOff>
      <xdr:row>74</xdr:row>
      <xdr:rowOff>38100</xdr:rowOff>
    </xdr:to>
    <xdr:sp macro="" textlink="">
      <xdr:nvSpPr>
        <xdr:cNvPr id="4348403" name="Text Box 2"/>
        <xdr:cNvSpPr txBox="1">
          <a:spLocks noChangeArrowheads="1"/>
        </xdr:cNvSpPr>
      </xdr:nvSpPr>
      <xdr:spPr bwMode="auto">
        <a:xfrm>
          <a:off x="3162300" y="24688800"/>
          <a:ext cx="5048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04" name="Text Box 194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0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74</xdr:row>
      <xdr:rowOff>0</xdr:rowOff>
    </xdr:from>
    <xdr:to>
      <xdr:col>1</xdr:col>
      <xdr:colOff>3648075</xdr:colOff>
      <xdr:row>74</xdr:row>
      <xdr:rowOff>38100</xdr:rowOff>
    </xdr:to>
    <xdr:sp macro="" textlink="">
      <xdr:nvSpPr>
        <xdr:cNvPr id="4348406" name="Text Box 2"/>
        <xdr:cNvSpPr txBox="1">
          <a:spLocks noChangeArrowheads="1"/>
        </xdr:cNvSpPr>
      </xdr:nvSpPr>
      <xdr:spPr bwMode="auto">
        <a:xfrm>
          <a:off x="1628775" y="24688800"/>
          <a:ext cx="2371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0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0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0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1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11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1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1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1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1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1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1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1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2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2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2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2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2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2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2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2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2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2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3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3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3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3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3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3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3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3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3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3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4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4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4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4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44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4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4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4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4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4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50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51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52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53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5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5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5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5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5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60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6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6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6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6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6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6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6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6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6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7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7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7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7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7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7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7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7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7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7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8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8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8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8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8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8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8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8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9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9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9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9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49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9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49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49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74</xdr:row>
      <xdr:rowOff>0</xdr:rowOff>
    </xdr:from>
    <xdr:to>
      <xdr:col>1</xdr:col>
      <xdr:colOff>2809875</xdr:colOff>
      <xdr:row>74</xdr:row>
      <xdr:rowOff>38100</xdr:rowOff>
    </xdr:to>
    <xdr:sp macro="" textlink="">
      <xdr:nvSpPr>
        <xdr:cNvPr id="4348498" name="Text Box 2"/>
        <xdr:cNvSpPr txBox="1">
          <a:spLocks noChangeArrowheads="1"/>
        </xdr:cNvSpPr>
      </xdr:nvSpPr>
      <xdr:spPr bwMode="auto">
        <a:xfrm>
          <a:off x="1333500" y="24688800"/>
          <a:ext cx="1828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49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500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0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0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0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0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0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0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0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08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09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1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1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1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1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1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1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1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1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1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2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2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2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2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2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2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2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2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2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2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3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3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3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3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3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3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3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3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3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3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4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4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4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4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4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4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4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8547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4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4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50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51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5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5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5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5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5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5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5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5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6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6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6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6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6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6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6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6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6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6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7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7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7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7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7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7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7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7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7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7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8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8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8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8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8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8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8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8589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9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9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92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93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9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9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9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59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59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59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0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0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0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0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0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0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0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0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0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0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1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1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1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1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1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1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1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1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1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2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2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2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2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2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2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2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2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2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2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3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3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3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3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3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35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36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3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3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3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4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4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4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4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4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4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4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4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4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4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5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5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5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5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5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5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5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5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5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6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6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6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6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6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6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6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6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6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6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7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7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7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7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7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7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74</xdr:row>
      <xdr:rowOff>0</xdr:rowOff>
    </xdr:from>
    <xdr:to>
      <xdr:col>3</xdr:col>
      <xdr:colOff>114300</xdr:colOff>
      <xdr:row>74</xdr:row>
      <xdr:rowOff>38100</xdr:rowOff>
    </xdr:to>
    <xdr:sp macro="" textlink="">
      <xdr:nvSpPr>
        <xdr:cNvPr id="4348676" name="Text Box 2"/>
        <xdr:cNvSpPr txBox="1">
          <a:spLocks noChangeArrowheads="1"/>
        </xdr:cNvSpPr>
      </xdr:nvSpPr>
      <xdr:spPr bwMode="auto">
        <a:xfrm>
          <a:off x="4629150" y="24688800"/>
          <a:ext cx="400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7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67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79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680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68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74</xdr:row>
      <xdr:rowOff>0</xdr:rowOff>
    </xdr:from>
    <xdr:to>
      <xdr:col>8</xdr:col>
      <xdr:colOff>104775</xdr:colOff>
      <xdr:row>74</xdr:row>
      <xdr:rowOff>38100</xdr:rowOff>
    </xdr:to>
    <xdr:sp macro="" textlink="">
      <xdr:nvSpPr>
        <xdr:cNvPr id="4348682" name="Text Box 2"/>
        <xdr:cNvSpPr txBox="1">
          <a:spLocks noChangeArrowheads="1"/>
        </xdr:cNvSpPr>
      </xdr:nvSpPr>
      <xdr:spPr bwMode="auto">
        <a:xfrm>
          <a:off x="3219450" y="24688800"/>
          <a:ext cx="5143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74</xdr:row>
      <xdr:rowOff>0</xdr:rowOff>
    </xdr:from>
    <xdr:to>
      <xdr:col>3</xdr:col>
      <xdr:colOff>114300</xdr:colOff>
      <xdr:row>74</xdr:row>
      <xdr:rowOff>47625</xdr:rowOff>
    </xdr:to>
    <xdr:sp macro="" textlink="">
      <xdr:nvSpPr>
        <xdr:cNvPr id="4348683" name="Text Box 2"/>
        <xdr:cNvSpPr txBox="1">
          <a:spLocks noChangeArrowheads="1"/>
        </xdr:cNvSpPr>
      </xdr:nvSpPr>
      <xdr:spPr bwMode="auto">
        <a:xfrm>
          <a:off x="4629150" y="24688800"/>
          <a:ext cx="400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8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8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8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8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8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8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9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9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9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9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9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9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9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9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69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69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0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0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0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0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0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0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0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0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0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0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1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1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1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1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871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871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1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1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1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1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20" name="Text Box 19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21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22" name="Text Box 194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23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2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2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2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2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2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2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3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3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3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3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3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3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3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3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3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3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4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4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4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4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4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4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4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4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4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4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5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5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5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5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5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5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5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5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5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6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1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6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3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4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6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70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7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77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7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8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8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8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8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8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8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8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8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9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9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9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9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9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9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9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79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79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79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0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0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0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0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0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0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0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0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0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0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1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1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1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1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1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81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881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1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1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1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2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2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2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2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24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25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2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2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2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2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3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3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3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3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3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3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3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3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3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3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4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4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4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4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4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4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4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4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4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4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5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5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5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5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5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5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5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5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5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5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6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6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6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8863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6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6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66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67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6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6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7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7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7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7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7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7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7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7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7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7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8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8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8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8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8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8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8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8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8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9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9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9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9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9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9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9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89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89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89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0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0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0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0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0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8905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0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0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08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09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1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1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1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1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1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1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1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1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1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2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2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2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2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2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2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2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2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2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2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3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3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3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3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3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3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3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3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3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3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4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4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4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4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4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4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4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4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4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4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5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51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52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5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5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5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5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5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5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6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6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6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6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6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6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6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6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6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6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7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7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7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7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7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7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7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7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7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7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8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8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8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8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898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8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8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8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8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9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9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899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93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8994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99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99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99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899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899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0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0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0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0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0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0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0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0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0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0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1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1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1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1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1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1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1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1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1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1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2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2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2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2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4902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4902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</xdr:colOff>
      <xdr:row>116</xdr:row>
      <xdr:rowOff>104775</xdr:rowOff>
    </xdr:from>
    <xdr:to>
      <xdr:col>1</xdr:col>
      <xdr:colOff>209550</xdr:colOff>
      <xdr:row>116</xdr:row>
      <xdr:rowOff>104775</xdr:rowOff>
    </xdr:to>
    <xdr:sp macro="" textlink="">
      <xdr:nvSpPr>
        <xdr:cNvPr id="4349026" name="Text Box 2"/>
        <xdr:cNvSpPr txBox="1">
          <a:spLocks noChangeArrowheads="1"/>
        </xdr:cNvSpPr>
      </xdr:nvSpPr>
      <xdr:spPr bwMode="auto">
        <a:xfrm>
          <a:off x="209550" y="40547925"/>
          <a:ext cx="352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2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2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3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31" name="Text Box 19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32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3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34" name="Text Box 194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35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3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38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3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4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41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4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4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4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4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4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4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4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4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5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5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5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5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5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5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5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5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5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6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6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6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6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6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6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6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6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6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6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7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7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7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74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7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76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77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78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79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80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81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82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83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84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8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8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8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88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89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090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9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9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9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9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09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9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0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099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00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0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0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0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04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0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0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08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09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1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1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1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1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1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1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1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1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20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2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2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2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24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2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2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2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1000125</xdr:colOff>
      <xdr:row>115</xdr:row>
      <xdr:rowOff>38100</xdr:rowOff>
    </xdr:to>
    <xdr:sp macro="" textlink="">
      <xdr:nvSpPr>
        <xdr:cNvPr id="4349128" name="Text Box 2"/>
        <xdr:cNvSpPr txBox="1">
          <a:spLocks noChangeArrowheads="1"/>
        </xdr:cNvSpPr>
      </xdr:nvSpPr>
      <xdr:spPr bwMode="auto">
        <a:xfrm>
          <a:off x="685800" y="40205025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285750</xdr:colOff>
      <xdr:row>115</xdr:row>
      <xdr:rowOff>38100</xdr:rowOff>
    </xdr:to>
    <xdr:sp macro="" textlink="">
      <xdr:nvSpPr>
        <xdr:cNvPr id="4349129" name="Text Box 2"/>
        <xdr:cNvSpPr txBox="1">
          <a:spLocks noChangeArrowheads="1"/>
        </xdr:cNvSpPr>
      </xdr:nvSpPr>
      <xdr:spPr bwMode="auto">
        <a:xfrm>
          <a:off x="2409825" y="40205025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115</xdr:row>
      <xdr:rowOff>0</xdr:rowOff>
    </xdr:from>
    <xdr:to>
      <xdr:col>5</xdr:col>
      <xdr:colOff>238125</xdr:colOff>
      <xdr:row>115</xdr:row>
      <xdr:rowOff>38100</xdr:rowOff>
    </xdr:to>
    <xdr:sp macro="" textlink="">
      <xdr:nvSpPr>
        <xdr:cNvPr id="4349130" name="Text Box 2"/>
        <xdr:cNvSpPr txBox="1">
          <a:spLocks noChangeArrowheads="1"/>
        </xdr:cNvSpPr>
      </xdr:nvSpPr>
      <xdr:spPr bwMode="auto">
        <a:xfrm>
          <a:off x="2495550" y="40205025"/>
          <a:ext cx="3810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3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3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3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34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3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3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3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38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39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40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4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4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4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4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4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4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4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4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5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5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5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5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5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5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5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5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6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6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6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6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6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6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6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6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6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7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7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7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7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7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7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7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1000125</xdr:colOff>
      <xdr:row>115</xdr:row>
      <xdr:rowOff>38100</xdr:rowOff>
    </xdr:to>
    <xdr:sp macro="" textlink="">
      <xdr:nvSpPr>
        <xdr:cNvPr id="4349177" name="Text Box 2"/>
        <xdr:cNvSpPr txBox="1">
          <a:spLocks noChangeArrowheads="1"/>
        </xdr:cNvSpPr>
      </xdr:nvSpPr>
      <xdr:spPr bwMode="auto">
        <a:xfrm>
          <a:off x="685800" y="40205025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79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80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81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82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8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8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8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8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8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8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8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9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9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9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9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9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19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1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19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0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0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0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0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0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0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09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1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1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1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1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1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1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1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1000125</xdr:colOff>
      <xdr:row>115</xdr:row>
      <xdr:rowOff>38100</xdr:rowOff>
    </xdr:to>
    <xdr:sp macro="" textlink="">
      <xdr:nvSpPr>
        <xdr:cNvPr id="4349219" name="Text Box 2"/>
        <xdr:cNvSpPr txBox="1">
          <a:spLocks noChangeArrowheads="1"/>
        </xdr:cNvSpPr>
      </xdr:nvSpPr>
      <xdr:spPr bwMode="auto">
        <a:xfrm>
          <a:off x="685800" y="40205025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2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22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23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24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2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26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2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2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29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3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3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3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3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3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3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3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3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3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3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4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41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4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4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4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4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4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4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4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5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5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5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5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5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5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5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5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6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6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6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1000125</xdr:colOff>
      <xdr:row>115</xdr:row>
      <xdr:rowOff>38100</xdr:rowOff>
    </xdr:to>
    <xdr:sp macro="" textlink="">
      <xdr:nvSpPr>
        <xdr:cNvPr id="4349263" name="Text Box 2"/>
        <xdr:cNvSpPr txBox="1">
          <a:spLocks noChangeArrowheads="1"/>
        </xdr:cNvSpPr>
      </xdr:nvSpPr>
      <xdr:spPr bwMode="auto">
        <a:xfrm>
          <a:off x="685800" y="40205025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6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6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66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67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68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6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70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7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7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73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7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7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7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7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7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7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8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8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8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8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8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85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8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87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8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8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9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9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9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9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95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297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2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299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300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3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302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303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304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3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306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30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4</xdr:col>
      <xdr:colOff>400050</xdr:colOff>
      <xdr:row>115</xdr:row>
      <xdr:rowOff>38100</xdr:rowOff>
    </xdr:to>
    <xdr:sp macro="" textlink="">
      <xdr:nvSpPr>
        <xdr:cNvPr id="4349308" name="Text Box 2"/>
        <xdr:cNvSpPr txBox="1">
          <a:spLocks noChangeArrowheads="1"/>
        </xdr:cNvSpPr>
      </xdr:nvSpPr>
      <xdr:spPr bwMode="auto">
        <a:xfrm>
          <a:off x="2447925" y="40205025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309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49310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552450</xdr:colOff>
      <xdr:row>115</xdr:row>
      <xdr:rowOff>38100</xdr:rowOff>
    </xdr:to>
    <xdr:sp macro="" textlink="">
      <xdr:nvSpPr>
        <xdr:cNvPr id="4349311" name="Text Box 2"/>
        <xdr:cNvSpPr txBox="1">
          <a:spLocks noChangeArrowheads="1"/>
        </xdr:cNvSpPr>
      </xdr:nvSpPr>
      <xdr:spPr bwMode="auto">
        <a:xfrm>
          <a:off x="523875" y="40205025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1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1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1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1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1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1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1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1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2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2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2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2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2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2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2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2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2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2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3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3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3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3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34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35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36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37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38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39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40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41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74</xdr:row>
      <xdr:rowOff>0</xdr:rowOff>
    </xdr:from>
    <xdr:to>
      <xdr:col>1</xdr:col>
      <xdr:colOff>57150</xdr:colOff>
      <xdr:row>74</xdr:row>
      <xdr:rowOff>38100</xdr:rowOff>
    </xdr:to>
    <xdr:sp macro="" textlink="">
      <xdr:nvSpPr>
        <xdr:cNvPr id="4349342" name="Text Box 1"/>
        <xdr:cNvSpPr txBox="1">
          <a:spLocks noChangeArrowheads="1"/>
        </xdr:cNvSpPr>
      </xdr:nvSpPr>
      <xdr:spPr bwMode="auto">
        <a:xfrm>
          <a:off x="352425" y="24688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74</xdr:row>
      <xdr:rowOff>0</xdr:rowOff>
    </xdr:from>
    <xdr:to>
      <xdr:col>1</xdr:col>
      <xdr:colOff>66675</xdr:colOff>
      <xdr:row>74</xdr:row>
      <xdr:rowOff>38100</xdr:rowOff>
    </xdr:to>
    <xdr:sp macro="" textlink="">
      <xdr:nvSpPr>
        <xdr:cNvPr id="4349343" name="Text Box 2"/>
        <xdr:cNvSpPr txBox="1">
          <a:spLocks noChangeArrowheads="1"/>
        </xdr:cNvSpPr>
      </xdr:nvSpPr>
      <xdr:spPr bwMode="auto">
        <a:xfrm>
          <a:off x="352425" y="24688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4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4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4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4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48" name="Text Box 19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4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74</xdr:row>
      <xdr:rowOff>0</xdr:rowOff>
    </xdr:from>
    <xdr:to>
      <xdr:col>7</xdr:col>
      <xdr:colOff>666750</xdr:colOff>
      <xdr:row>74</xdr:row>
      <xdr:rowOff>38100</xdr:rowOff>
    </xdr:to>
    <xdr:sp macro="" textlink="">
      <xdr:nvSpPr>
        <xdr:cNvPr id="4349350" name="Text Box 2"/>
        <xdr:cNvSpPr txBox="1">
          <a:spLocks noChangeArrowheads="1"/>
        </xdr:cNvSpPr>
      </xdr:nvSpPr>
      <xdr:spPr bwMode="auto">
        <a:xfrm>
          <a:off x="3162300" y="24688800"/>
          <a:ext cx="5048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51" name="Text Box 194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52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74</xdr:row>
      <xdr:rowOff>0</xdr:rowOff>
    </xdr:from>
    <xdr:to>
      <xdr:col>1</xdr:col>
      <xdr:colOff>3648075</xdr:colOff>
      <xdr:row>74</xdr:row>
      <xdr:rowOff>47625</xdr:rowOff>
    </xdr:to>
    <xdr:sp macro="" textlink="">
      <xdr:nvSpPr>
        <xdr:cNvPr id="4349353" name="Text Box 2"/>
        <xdr:cNvSpPr txBox="1">
          <a:spLocks noChangeArrowheads="1"/>
        </xdr:cNvSpPr>
      </xdr:nvSpPr>
      <xdr:spPr bwMode="auto">
        <a:xfrm>
          <a:off x="1628775" y="24688800"/>
          <a:ext cx="237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5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5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5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5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5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6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6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6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6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6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6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6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6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6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6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7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7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7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7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7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7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7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7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7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7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8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8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8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8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8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8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8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38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8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39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1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39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3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4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5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8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399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400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40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40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0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1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1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1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1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1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1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1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1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1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2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2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2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2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2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2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2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2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2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2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3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3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3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3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3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3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3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3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3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3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4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4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4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4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4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74</xdr:row>
      <xdr:rowOff>0</xdr:rowOff>
    </xdr:from>
    <xdr:to>
      <xdr:col>1</xdr:col>
      <xdr:colOff>2809875</xdr:colOff>
      <xdr:row>74</xdr:row>
      <xdr:rowOff>47625</xdr:rowOff>
    </xdr:to>
    <xdr:sp macro="" textlink="">
      <xdr:nvSpPr>
        <xdr:cNvPr id="4349445" name="Text Box 2"/>
        <xdr:cNvSpPr txBox="1">
          <a:spLocks noChangeArrowheads="1"/>
        </xdr:cNvSpPr>
      </xdr:nvSpPr>
      <xdr:spPr bwMode="auto">
        <a:xfrm>
          <a:off x="1333500" y="24688800"/>
          <a:ext cx="1828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446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74</xdr:row>
      <xdr:rowOff>0</xdr:rowOff>
    </xdr:from>
    <xdr:to>
      <xdr:col>4</xdr:col>
      <xdr:colOff>285750</xdr:colOff>
      <xdr:row>74</xdr:row>
      <xdr:rowOff>38100</xdr:rowOff>
    </xdr:to>
    <xdr:sp macro="" textlink="">
      <xdr:nvSpPr>
        <xdr:cNvPr id="4349447" name="Text Box 2"/>
        <xdr:cNvSpPr txBox="1">
          <a:spLocks noChangeArrowheads="1"/>
        </xdr:cNvSpPr>
      </xdr:nvSpPr>
      <xdr:spPr bwMode="auto">
        <a:xfrm>
          <a:off x="2409825" y="24688800"/>
          <a:ext cx="3486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4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4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5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5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5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5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5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55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56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5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5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5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6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6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6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6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6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6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6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6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6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6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7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7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7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7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7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7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7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7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7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7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8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8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8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8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8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8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8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8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8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9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9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9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9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9494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9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49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97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498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49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0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0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0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0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0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0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0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0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0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0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1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1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1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1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1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1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1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1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1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1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2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2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2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2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2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2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2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2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2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2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3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3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3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3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3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3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74</xdr:row>
      <xdr:rowOff>0</xdr:rowOff>
    </xdr:from>
    <xdr:to>
      <xdr:col>1</xdr:col>
      <xdr:colOff>1000125</xdr:colOff>
      <xdr:row>74</xdr:row>
      <xdr:rowOff>38100</xdr:rowOff>
    </xdr:to>
    <xdr:sp macro="" textlink="">
      <xdr:nvSpPr>
        <xdr:cNvPr id="4349536" name="Text Box 2"/>
        <xdr:cNvSpPr txBox="1">
          <a:spLocks noChangeArrowheads="1"/>
        </xdr:cNvSpPr>
      </xdr:nvSpPr>
      <xdr:spPr bwMode="auto">
        <a:xfrm>
          <a:off x="685800" y="24688800"/>
          <a:ext cx="6667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3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3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39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40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4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4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4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4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4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4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4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4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4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5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5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5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5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5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5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5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5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5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5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60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6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6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6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6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6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66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6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6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6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7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7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72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7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7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7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7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77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7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7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8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8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82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83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84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8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86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8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88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89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9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9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9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93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9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9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9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59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59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59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00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01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0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03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04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05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0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07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0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09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1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11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12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13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1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15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16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17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18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19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20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21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22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74</xdr:row>
      <xdr:rowOff>0</xdr:rowOff>
    </xdr:from>
    <xdr:to>
      <xdr:col>3</xdr:col>
      <xdr:colOff>114300</xdr:colOff>
      <xdr:row>74</xdr:row>
      <xdr:rowOff>38100</xdr:rowOff>
    </xdr:to>
    <xdr:sp macro="" textlink="">
      <xdr:nvSpPr>
        <xdr:cNvPr id="4349623" name="Text Box 2"/>
        <xdr:cNvSpPr txBox="1">
          <a:spLocks noChangeArrowheads="1"/>
        </xdr:cNvSpPr>
      </xdr:nvSpPr>
      <xdr:spPr bwMode="auto">
        <a:xfrm>
          <a:off x="4629150" y="24688800"/>
          <a:ext cx="400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24" name="Text Box 1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74</xdr:row>
      <xdr:rowOff>0</xdr:rowOff>
    </xdr:from>
    <xdr:to>
      <xdr:col>4</xdr:col>
      <xdr:colOff>400050</xdr:colOff>
      <xdr:row>74</xdr:row>
      <xdr:rowOff>38100</xdr:rowOff>
    </xdr:to>
    <xdr:sp macro="" textlink="">
      <xdr:nvSpPr>
        <xdr:cNvPr id="4349625" name="Text Box 2"/>
        <xdr:cNvSpPr txBox="1">
          <a:spLocks noChangeArrowheads="1"/>
        </xdr:cNvSpPr>
      </xdr:nvSpPr>
      <xdr:spPr bwMode="auto">
        <a:xfrm>
          <a:off x="2447925" y="24688800"/>
          <a:ext cx="35623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26" name="Text Box 3155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74</xdr:row>
      <xdr:rowOff>0</xdr:rowOff>
    </xdr:from>
    <xdr:to>
      <xdr:col>2</xdr:col>
      <xdr:colOff>0</xdr:colOff>
      <xdr:row>74</xdr:row>
      <xdr:rowOff>38100</xdr:rowOff>
    </xdr:to>
    <xdr:sp macro="" textlink="">
      <xdr:nvSpPr>
        <xdr:cNvPr id="4349627" name="Text Box 3156"/>
        <xdr:cNvSpPr txBox="1">
          <a:spLocks noChangeArrowheads="1"/>
        </xdr:cNvSpPr>
      </xdr:nvSpPr>
      <xdr:spPr bwMode="auto">
        <a:xfrm>
          <a:off x="1828800" y="24688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74</xdr:row>
      <xdr:rowOff>0</xdr:rowOff>
    </xdr:from>
    <xdr:to>
      <xdr:col>1</xdr:col>
      <xdr:colOff>552450</xdr:colOff>
      <xdr:row>74</xdr:row>
      <xdr:rowOff>38100</xdr:rowOff>
    </xdr:to>
    <xdr:sp macro="" textlink="">
      <xdr:nvSpPr>
        <xdr:cNvPr id="4349628" name="Text Box 2"/>
        <xdr:cNvSpPr txBox="1">
          <a:spLocks noChangeArrowheads="1"/>
        </xdr:cNvSpPr>
      </xdr:nvSpPr>
      <xdr:spPr bwMode="auto">
        <a:xfrm>
          <a:off x="523875" y="24688800"/>
          <a:ext cx="38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74</xdr:row>
      <xdr:rowOff>0</xdr:rowOff>
    </xdr:from>
    <xdr:to>
      <xdr:col>8</xdr:col>
      <xdr:colOff>104775</xdr:colOff>
      <xdr:row>74</xdr:row>
      <xdr:rowOff>38100</xdr:rowOff>
    </xdr:to>
    <xdr:sp macro="" textlink="">
      <xdr:nvSpPr>
        <xdr:cNvPr id="4349629" name="Text Box 2"/>
        <xdr:cNvSpPr txBox="1">
          <a:spLocks noChangeArrowheads="1"/>
        </xdr:cNvSpPr>
      </xdr:nvSpPr>
      <xdr:spPr bwMode="auto">
        <a:xfrm>
          <a:off x="3219450" y="24688800"/>
          <a:ext cx="51435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74</xdr:row>
      <xdr:rowOff>0</xdr:rowOff>
    </xdr:from>
    <xdr:to>
      <xdr:col>3</xdr:col>
      <xdr:colOff>114300</xdr:colOff>
      <xdr:row>74</xdr:row>
      <xdr:rowOff>38100</xdr:rowOff>
    </xdr:to>
    <xdr:sp macro="" textlink="">
      <xdr:nvSpPr>
        <xdr:cNvPr id="4349630" name="Text Box 2"/>
        <xdr:cNvSpPr txBox="1">
          <a:spLocks noChangeArrowheads="1"/>
        </xdr:cNvSpPr>
      </xdr:nvSpPr>
      <xdr:spPr bwMode="auto">
        <a:xfrm>
          <a:off x="4629150" y="24688800"/>
          <a:ext cx="400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31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32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33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34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35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36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37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38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39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40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41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42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43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44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45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46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47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48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49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50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51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52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53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54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55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56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57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58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59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60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661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662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6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6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6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6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67" name="Text Box 19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668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6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70" name="Text Box 194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671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7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7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674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7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7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677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7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7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8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8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8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8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8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8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8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8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8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8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9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9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9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9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9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9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9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69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69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69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0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0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0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0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0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0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0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0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0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0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0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1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2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3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4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5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6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7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8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19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25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26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2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2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3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3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3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3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3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3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3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3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3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3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4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4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4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4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4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4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4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4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4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4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5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5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5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5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5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5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5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5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5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5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6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6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6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6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49764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65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766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6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6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6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7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7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7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7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74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75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7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7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7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7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8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8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8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8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8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8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8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8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8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8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9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9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9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9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9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9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9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79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79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79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0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0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0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0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0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0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0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0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0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0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1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1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1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49813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1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1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16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17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1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1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2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2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2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2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2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2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2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2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2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2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3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3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3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3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3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3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3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3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3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3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4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4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4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4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4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4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4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4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4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4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5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5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5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5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5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49855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5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5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58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59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6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6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6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6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6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6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6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6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6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6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7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7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7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7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7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7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7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7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7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7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8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8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8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8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8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8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8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8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8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8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9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9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9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9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9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89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9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89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89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49899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0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0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02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03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0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0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0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0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0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0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1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1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1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1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1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1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1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1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1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1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2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2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2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2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2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2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2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2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2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2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3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3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3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3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3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3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3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3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3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3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4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4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4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49943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4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4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46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47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4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4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50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51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52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53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54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55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56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57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58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59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60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61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62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63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64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65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66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67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68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69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70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71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72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73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74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75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76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77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78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79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100</xdr:row>
      <xdr:rowOff>0</xdr:rowOff>
    </xdr:from>
    <xdr:to>
      <xdr:col>1</xdr:col>
      <xdr:colOff>57150</xdr:colOff>
      <xdr:row>100</xdr:row>
      <xdr:rowOff>38100</xdr:rowOff>
    </xdr:to>
    <xdr:sp macro="" textlink="">
      <xdr:nvSpPr>
        <xdr:cNvPr id="4349980" name="Text Box 1"/>
        <xdr:cNvSpPr txBox="1">
          <a:spLocks noChangeArrowheads="1"/>
        </xdr:cNvSpPr>
      </xdr:nvSpPr>
      <xdr:spPr bwMode="auto">
        <a:xfrm>
          <a:off x="352425" y="35356800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66675</xdr:colOff>
      <xdr:row>100</xdr:row>
      <xdr:rowOff>38100</xdr:rowOff>
    </xdr:to>
    <xdr:sp macro="" textlink="">
      <xdr:nvSpPr>
        <xdr:cNvPr id="4349981" name="Text Box 2"/>
        <xdr:cNvSpPr txBox="1">
          <a:spLocks noChangeArrowheads="1"/>
        </xdr:cNvSpPr>
      </xdr:nvSpPr>
      <xdr:spPr bwMode="auto">
        <a:xfrm>
          <a:off x="352425" y="3535680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8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8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8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8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86" name="Text Box 19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987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8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89" name="Text Box 194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990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9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9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993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9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9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49996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4999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4999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4999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0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0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0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0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0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0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0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0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0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0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1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1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1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1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1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1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1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1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1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1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2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2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2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2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2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2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2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2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2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29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3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1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2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3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4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5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6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7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38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3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44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45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4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4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4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5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5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5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5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5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5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5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5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5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5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6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6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6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6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6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6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6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6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6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6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7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7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7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7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7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7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7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7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7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7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8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8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8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50083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100</xdr:row>
      <xdr:rowOff>0</xdr:rowOff>
    </xdr:from>
    <xdr:to>
      <xdr:col>4</xdr:col>
      <xdr:colOff>371475</xdr:colOff>
      <xdr:row>100</xdr:row>
      <xdr:rowOff>38100</xdr:rowOff>
    </xdr:to>
    <xdr:sp macro="" textlink="">
      <xdr:nvSpPr>
        <xdr:cNvPr id="4350084" name="Text Box 2"/>
        <xdr:cNvSpPr txBox="1">
          <a:spLocks noChangeArrowheads="1"/>
        </xdr:cNvSpPr>
      </xdr:nvSpPr>
      <xdr:spPr bwMode="auto">
        <a:xfrm>
          <a:off x="2409825" y="35356800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100</xdr:row>
      <xdr:rowOff>0</xdr:rowOff>
    </xdr:from>
    <xdr:to>
      <xdr:col>5</xdr:col>
      <xdr:colOff>238125</xdr:colOff>
      <xdr:row>100</xdr:row>
      <xdr:rowOff>38100</xdr:rowOff>
    </xdr:to>
    <xdr:sp macro="" textlink="">
      <xdr:nvSpPr>
        <xdr:cNvPr id="4350085" name="Text Box 2"/>
        <xdr:cNvSpPr txBox="1">
          <a:spLocks noChangeArrowheads="1"/>
        </xdr:cNvSpPr>
      </xdr:nvSpPr>
      <xdr:spPr bwMode="auto">
        <a:xfrm>
          <a:off x="2495550" y="35356800"/>
          <a:ext cx="3810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8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8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8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8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9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9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9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93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94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9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09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9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09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09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0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0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0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0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0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0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0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0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0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0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1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1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1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1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1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1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1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1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1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1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2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2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2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2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2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2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2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2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2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2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3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3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50132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3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3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35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36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3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3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3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4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4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4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4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4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4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4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4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4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4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5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5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5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5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5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5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5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5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5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5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6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6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6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6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6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6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6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6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6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6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7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7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7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7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50174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7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7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77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78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79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8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81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8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8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8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8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8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8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8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8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9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9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9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9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9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95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96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19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19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19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0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0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0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0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0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0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0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0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0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0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1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1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1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1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1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1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1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1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50218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1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2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21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22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23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2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25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2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27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28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2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3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3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32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3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3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3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3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3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3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39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40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4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42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43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44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4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46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4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48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4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50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51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52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5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54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55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56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57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5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59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60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61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100</xdr:row>
      <xdr:rowOff>0</xdr:rowOff>
    </xdr:from>
    <xdr:to>
      <xdr:col>1</xdr:col>
      <xdr:colOff>1019175</xdr:colOff>
      <xdr:row>100</xdr:row>
      <xdr:rowOff>38100</xdr:rowOff>
    </xdr:to>
    <xdr:sp macro="" textlink="">
      <xdr:nvSpPr>
        <xdr:cNvPr id="4350262" name="Text Box 2"/>
        <xdr:cNvSpPr txBox="1">
          <a:spLocks noChangeArrowheads="1"/>
        </xdr:cNvSpPr>
      </xdr:nvSpPr>
      <xdr:spPr bwMode="auto">
        <a:xfrm>
          <a:off x="685800" y="35356800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63" name="Text Box 1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100</xdr:row>
      <xdr:rowOff>0</xdr:rowOff>
    </xdr:from>
    <xdr:to>
      <xdr:col>5</xdr:col>
      <xdr:colOff>200025</xdr:colOff>
      <xdr:row>100</xdr:row>
      <xdr:rowOff>38100</xdr:rowOff>
    </xdr:to>
    <xdr:sp macro="" textlink="">
      <xdr:nvSpPr>
        <xdr:cNvPr id="4350264" name="Text Box 2"/>
        <xdr:cNvSpPr txBox="1">
          <a:spLocks noChangeArrowheads="1"/>
        </xdr:cNvSpPr>
      </xdr:nvSpPr>
      <xdr:spPr bwMode="auto">
        <a:xfrm>
          <a:off x="2447925" y="35356800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65" name="Text Box 3155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100</xdr:row>
      <xdr:rowOff>0</xdr:rowOff>
    </xdr:from>
    <xdr:to>
      <xdr:col>2</xdr:col>
      <xdr:colOff>0</xdr:colOff>
      <xdr:row>100</xdr:row>
      <xdr:rowOff>38100</xdr:rowOff>
    </xdr:to>
    <xdr:sp macro="" textlink="">
      <xdr:nvSpPr>
        <xdr:cNvPr id="4350266" name="Text Box 3156"/>
        <xdr:cNvSpPr txBox="1">
          <a:spLocks noChangeArrowheads="1"/>
        </xdr:cNvSpPr>
      </xdr:nvSpPr>
      <xdr:spPr bwMode="auto">
        <a:xfrm>
          <a:off x="1828800" y="35356800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67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100</xdr:row>
      <xdr:rowOff>0</xdr:rowOff>
    </xdr:from>
    <xdr:to>
      <xdr:col>1</xdr:col>
      <xdr:colOff>561975</xdr:colOff>
      <xdr:row>100</xdr:row>
      <xdr:rowOff>38100</xdr:rowOff>
    </xdr:to>
    <xdr:sp macro="" textlink="">
      <xdr:nvSpPr>
        <xdr:cNvPr id="4350268" name="Text Box 2"/>
        <xdr:cNvSpPr txBox="1">
          <a:spLocks noChangeArrowheads="1"/>
        </xdr:cNvSpPr>
      </xdr:nvSpPr>
      <xdr:spPr bwMode="auto">
        <a:xfrm>
          <a:off x="523875" y="35356800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69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70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71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72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73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74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75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76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77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78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79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80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81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82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83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84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85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86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87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88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89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90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91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92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93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94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95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96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97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298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299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300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0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0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0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0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05" name="Text Box 19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06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0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08" name="Text Box 194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09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1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1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12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1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1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15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1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1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1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1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2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2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2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2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2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2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2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2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2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2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3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3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3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3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3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3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3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3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3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3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4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4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4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4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4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4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4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4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48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4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0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1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2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3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4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5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6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57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5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5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6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6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6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63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364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6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6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6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6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6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7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7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7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7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7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7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7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7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7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7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8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8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8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8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8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8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8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8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8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8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9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9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9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9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9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9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39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9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39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39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0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0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402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403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404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0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0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0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0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0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1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1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12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13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1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1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1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1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1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1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2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2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2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2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2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2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2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2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2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2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3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3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3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3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3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3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3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3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3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3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4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4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4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4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4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4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4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4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4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4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5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451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5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5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54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55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5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5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5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5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6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6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6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6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6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6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6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6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6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6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7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7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7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7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7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7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7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7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7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7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8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8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8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8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8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8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8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8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8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8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9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9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9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493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9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49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96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497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9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49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0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0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0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0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0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0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0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0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0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0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1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1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1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1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1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1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1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1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1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1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2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2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2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2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2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2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2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2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2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2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3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3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3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3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3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3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3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537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3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3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40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41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4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4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4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4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4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4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4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4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5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5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5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5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5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5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5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5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5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5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6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6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6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6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6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6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6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6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6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6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7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7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7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7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7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7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7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7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7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7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8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581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8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58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84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585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8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58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88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89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90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91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92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93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94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95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96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97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598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599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00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01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02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03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04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05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06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07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08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09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10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11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12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13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14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15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16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17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114</xdr:row>
      <xdr:rowOff>0</xdr:rowOff>
    </xdr:from>
    <xdr:to>
      <xdr:col>1</xdr:col>
      <xdr:colOff>57150</xdr:colOff>
      <xdr:row>114</xdr:row>
      <xdr:rowOff>47625</xdr:rowOff>
    </xdr:to>
    <xdr:sp macro="" textlink="">
      <xdr:nvSpPr>
        <xdr:cNvPr id="4350618" name="Text Box 1"/>
        <xdr:cNvSpPr txBox="1">
          <a:spLocks noChangeArrowheads="1"/>
        </xdr:cNvSpPr>
      </xdr:nvSpPr>
      <xdr:spPr bwMode="auto">
        <a:xfrm>
          <a:off x="352425" y="39938325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66675</xdr:colOff>
      <xdr:row>114</xdr:row>
      <xdr:rowOff>47625</xdr:rowOff>
    </xdr:to>
    <xdr:sp macro="" textlink="">
      <xdr:nvSpPr>
        <xdr:cNvPr id="4350619" name="Text Box 2"/>
        <xdr:cNvSpPr txBox="1">
          <a:spLocks noChangeArrowheads="1"/>
        </xdr:cNvSpPr>
      </xdr:nvSpPr>
      <xdr:spPr bwMode="auto">
        <a:xfrm>
          <a:off x="352425" y="39938325"/>
          <a:ext cx="666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2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2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2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2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24" name="Text Box 19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25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2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27" name="Text Box 194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28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2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3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31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3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3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34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3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3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3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3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3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4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4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4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4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4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4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4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4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4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4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5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5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5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5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5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5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5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5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5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5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6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6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6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6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6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6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6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67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6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69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0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1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2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3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4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5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76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7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7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7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8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8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82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683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8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8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8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8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8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8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9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9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9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9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9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9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9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69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69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69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0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0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0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0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0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0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0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0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0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0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1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1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1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1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1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1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1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1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1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1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2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721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114</xdr:row>
      <xdr:rowOff>0</xdr:rowOff>
    </xdr:from>
    <xdr:to>
      <xdr:col>4</xdr:col>
      <xdr:colOff>371475</xdr:colOff>
      <xdr:row>114</xdr:row>
      <xdr:rowOff>47625</xdr:rowOff>
    </xdr:to>
    <xdr:sp macro="" textlink="">
      <xdr:nvSpPr>
        <xdr:cNvPr id="4350722" name="Text Box 2"/>
        <xdr:cNvSpPr txBox="1">
          <a:spLocks noChangeArrowheads="1"/>
        </xdr:cNvSpPr>
      </xdr:nvSpPr>
      <xdr:spPr bwMode="auto">
        <a:xfrm>
          <a:off x="2409825" y="39938325"/>
          <a:ext cx="357187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114</xdr:row>
      <xdr:rowOff>0</xdr:rowOff>
    </xdr:from>
    <xdr:to>
      <xdr:col>5</xdr:col>
      <xdr:colOff>238125</xdr:colOff>
      <xdr:row>114</xdr:row>
      <xdr:rowOff>47625</xdr:rowOff>
    </xdr:to>
    <xdr:sp macro="" textlink="">
      <xdr:nvSpPr>
        <xdr:cNvPr id="4350723" name="Text Box 2"/>
        <xdr:cNvSpPr txBox="1">
          <a:spLocks noChangeArrowheads="1"/>
        </xdr:cNvSpPr>
      </xdr:nvSpPr>
      <xdr:spPr bwMode="auto">
        <a:xfrm>
          <a:off x="2495550" y="39938325"/>
          <a:ext cx="38100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2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2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2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2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2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2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3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31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32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3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3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3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3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3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3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3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4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4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4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4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4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4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4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4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4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4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5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5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5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5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5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5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5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5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5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5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6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6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6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6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6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6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6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6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6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6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770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7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7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73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74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7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7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7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7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7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8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8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8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8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8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8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8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8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8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8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9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9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9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9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9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9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79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9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79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79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0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0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0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0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0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0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0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0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0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0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1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1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812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1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1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15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16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17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1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19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2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2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2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2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2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2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2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2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2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2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3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3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3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33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34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3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3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3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3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3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4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4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4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4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4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4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4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4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4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4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5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5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5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5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5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5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856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5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5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59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60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61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6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63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6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65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66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6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6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6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70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7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7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7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7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7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7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77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78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7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80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81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82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8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84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8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86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8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88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89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90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9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92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93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94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95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89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97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898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899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114</xdr:row>
      <xdr:rowOff>0</xdr:rowOff>
    </xdr:from>
    <xdr:to>
      <xdr:col>1</xdr:col>
      <xdr:colOff>1019175</xdr:colOff>
      <xdr:row>114</xdr:row>
      <xdr:rowOff>47625</xdr:rowOff>
    </xdr:to>
    <xdr:sp macro="" textlink="">
      <xdr:nvSpPr>
        <xdr:cNvPr id="4350900" name="Text Box 2"/>
        <xdr:cNvSpPr txBox="1">
          <a:spLocks noChangeArrowheads="1"/>
        </xdr:cNvSpPr>
      </xdr:nvSpPr>
      <xdr:spPr bwMode="auto">
        <a:xfrm>
          <a:off x="685800" y="39938325"/>
          <a:ext cx="6858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901" name="Text Box 1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114</xdr:row>
      <xdr:rowOff>0</xdr:rowOff>
    </xdr:from>
    <xdr:to>
      <xdr:col>5</xdr:col>
      <xdr:colOff>200025</xdr:colOff>
      <xdr:row>114</xdr:row>
      <xdr:rowOff>47625</xdr:rowOff>
    </xdr:to>
    <xdr:sp macro="" textlink="">
      <xdr:nvSpPr>
        <xdr:cNvPr id="4350902" name="Text Box 2"/>
        <xdr:cNvSpPr txBox="1">
          <a:spLocks noChangeArrowheads="1"/>
        </xdr:cNvSpPr>
      </xdr:nvSpPr>
      <xdr:spPr bwMode="auto">
        <a:xfrm>
          <a:off x="2447925" y="39938325"/>
          <a:ext cx="381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903" name="Text Box 3155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114</xdr:row>
      <xdr:rowOff>0</xdr:rowOff>
    </xdr:from>
    <xdr:to>
      <xdr:col>2</xdr:col>
      <xdr:colOff>0</xdr:colOff>
      <xdr:row>114</xdr:row>
      <xdr:rowOff>47625</xdr:rowOff>
    </xdr:to>
    <xdr:sp macro="" textlink="">
      <xdr:nvSpPr>
        <xdr:cNvPr id="4350904" name="Text Box 3156"/>
        <xdr:cNvSpPr txBox="1">
          <a:spLocks noChangeArrowheads="1"/>
        </xdr:cNvSpPr>
      </xdr:nvSpPr>
      <xdr:spPr bwMode="auto">
        <a:xfrm>
          <a:off x="1828800" y="39938325"/>
          <a:ext cx="2600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905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114</xdr:row>
      <xdr:rowOff>0</xdr:rowOff>
    </xdr:from>
    <xdr:to>
      <xdr:col>1</xdr:col>
      <xdr:colOff>561975</xdr:colOff>
      <xdr:row>114</xdr:row>
      <xdr:rowOff>47625</xdr:rowOff>
    </xdr:to>
    <xdr:sp macro="" textlink="">
      <xdr:nvSpPr>
        <xdr:cNvPr id="4350906" name="Text Box 2"/>
        <xdr:cNvSpPr txBox="1">
          <a:spLocks noChangeArrowheads="1"/>
        </xdr:cNvSpPr>
      </xdr:nvSpPr>
      <xdr:spPr bwMode="auto">
        <a:xfrm>
          <a:off x="523875" y="39938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0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0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0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1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1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1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1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1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1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1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1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1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1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2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2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2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2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2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2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2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2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2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29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30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31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32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33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34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35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36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0937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0938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3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4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4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43" name="Text Box 19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4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4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46" name="Text Box 194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47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4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5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5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5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5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5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5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6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6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6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6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6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6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6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6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6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7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7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7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7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7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7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7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7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7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7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8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8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8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098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8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09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86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88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8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0995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9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9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9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099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00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00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0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0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0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0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1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1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1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1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1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1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1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2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2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2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2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2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2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2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2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3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3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3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3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3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3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3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3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3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040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04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04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4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4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4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4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4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4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50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51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5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5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5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5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5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5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5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6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6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6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6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6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6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6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6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7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7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7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7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7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7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7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7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8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8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8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8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8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8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8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8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8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08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9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9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92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93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9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9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09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0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09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0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0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0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0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0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1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1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1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1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1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1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1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1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2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2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2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2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2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2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2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3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131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34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35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3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3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3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4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4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4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4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4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4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4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4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4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5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5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5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5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5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5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5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5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6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6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6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6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6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6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6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6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6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7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7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7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175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7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7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78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79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8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8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8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8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8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8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8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8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9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9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9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9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9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9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19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1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19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0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0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0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0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0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1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1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1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1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1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1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1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1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21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22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23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2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2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2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2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2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2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3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3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3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3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3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3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3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3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3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3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4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4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4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4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4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4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4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4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48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49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50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51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52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53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54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55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115</xdr:row>
      <xdr:rowOff>0</xdr:rowOff>
    </xdr:from>
    <xdr:to>
      <xdr:col>1</xdr:col>
      <xdr:colOff>57150</xdr:colOff>
      <xdr:row>115</xdr:row>
      <xdr:rowOff>38100</xdr:rowOff>
    </xdr:to>
    <xdr:sp macro="" textlink="">
      <xdr:nvSpPr>
        <xdr:cNvPr id="4351256" name="Text Box 1"/>
        <xdr:cNvSpPr txBox="1">
          <a:spLocks noChangeArrowheads="1"/>
        </xdr:cNvSpPr>
      </xdr:nvSpPr>
      <xdr:spPr bwMode="auto">
        <a:xfrm>
          <a:off x="352425" y="40205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66675</xdr:colOff>
      <xdr:row>115</xdr:row>
      <xdr:rowOff>38100</xdr:rowOff>
    </xdr:to>
    <xdr:sp macro="" textlink="">
      <xdr:nvSpPr>
        <xdr:cNvPr id="4351257" name="Text Box 2"/>
        <xdr:cNvSpPr txBox="1">
          <a:spLocks noChangeArrowheads="1"/>
        </xdr:cNvSpPr>
      </xdr:nvSpPr>
      <xdr:spPr bwMode="auto">
        <a:xfrm>
          <a:off x="352425" y="40205025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5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5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6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6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62" name="Text Box 19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26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6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65" name="Text Box 194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266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6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26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7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7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27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7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7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7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7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7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7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8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8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8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8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8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8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8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8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9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9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9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9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9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9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9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29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29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29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0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0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0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0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05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0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07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08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09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1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1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12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13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14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1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1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1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1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1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2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21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2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2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2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2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2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2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2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3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3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3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3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3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3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3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3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3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3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4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4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4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4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4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4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4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4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5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5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5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5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5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5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5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5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5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359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115</xdr:row>
      <xdr:rowOff>0</xdr:rowOff>
    </xdr:from>
    <xdr:to>
      <xdr:col>4</xdr:col>
      <xdr:colOff>371475</xdr:colOff>
      <xdr:row>115</xdr:row>
      <xdr:rowOff>38100</xdr:rowOff>
    </xdr:to>
    <xdr:sp macro="" textlink="">
      <xdr:nvSpPr>
        <xdr:cNvPr id="4351360" name="Text Box 2"/>
        <xdr:cNvSpPr txBox="1">
          <a:spLocks noChangeArrowheads="1"/>
        </xdr:cNvSpPr>
      </xdr:nvSpPr>
      <xdr:spPr bwMode="auto">
        <a:xfrm>
          <a:off x="2409825" y="40205025"/>
          <a:ext cx="35718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115</xdr:row>
      <xdr:rowOff>0</xdr:rowOff>
    </xdr:from>
    <xdr:to>
      <xdr:col>5</xdr:col>
      <xdr:colOff>238125</xdr:colOff>
      <xdr:row>115</xdr:row>
      <xdr:rowOff>38100</xdr:rowOff>
    </xdr:to>
    <xdr:sp macro="" textlink="">
      <xdr:nvSpPr>
        <xdr:cNvPr id="4351361" name="Text Box 2"/>
        <xdr:cNvSpPr txBox="1">
          <a:spLocks noChangeArrowheads="1"/>
        </xdr:cNvSpPr>
      </xdr:nvSpPr>
      <xdr:spPr bwMode="auto">
        <a:xfrm>
          <a:off x="2495550" y="40205025"/>
          <a:ext cx="3810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6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6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6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6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6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6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6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69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70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7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7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7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7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7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7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7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7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8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8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8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8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8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8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8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8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9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9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9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9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9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9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39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9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39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39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0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0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0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0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0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0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0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408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0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1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11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12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1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1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1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1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1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1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2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2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2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2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2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2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2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3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3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3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3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3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3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3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3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4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4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4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4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4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4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4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4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4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4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450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5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5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53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54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55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5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57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5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5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60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6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6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6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6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6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6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6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6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6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7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71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72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7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7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7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7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7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7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7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8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8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8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8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8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8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8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8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8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8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9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9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9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9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494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9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49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97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498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499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0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01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0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03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04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0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0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0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08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0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1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1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1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1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1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15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16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1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18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19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20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2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22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2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24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2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26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27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28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2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30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31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32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33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3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35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36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115</xdr:row>
      <xdr:rowOff>0</xdr:rowOff>
    </xdr:from>
    <xdr:to>
      <xdr:col>5</xdr:col>
      <xdr:colOff>200025</xdr:colOff>
      <xdr:row>115</xdr:row>
      <xdr:rowOff>38100</xdr:rowOff>
    </xdr:to>
    <xdr:sp macro="" textlink="">
      <xdr:nvSpPr>
        <xdr:cNvPr id="4351537" name="Text Box 2"/>
        <xdr:cNvSpPr txBox="1">
          <a:spLocks noChangeArrowheads="1"/>
        </xdr:cNvSpPr>
      </xdr:nvSpPr>
      <xdr:spPr bwMode="auto">
        <a:xfrm>
          <a:off x="2447925" y="4020502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115</xdr:row>
      <xdr:rowOff>0</xdr:rowOff>
    </xdr:from>
    <xdr:to>
      <xdr:col>1</xdr:col>
      <xdr:colOff>1019175</xdr:colOff>
      <xdr:row>115</xdr:row>
      <xdr:rowOff>38100</xdr:rowOff>
    </xdr:to>
    <xdr:sp macro="" textlink="">
      <xdr:nvSpPr>
        <xdr:cNvPr id="4351538" name="Text Box 2"/>
        <xdr:cNvSpPr txBox="1">
          <a:spLocks noChangeArrowheads="1"/>
        </xdr:cNvSpPr>
      </xdr:nvSpPr>
      <xdr:spPr bwMode="auto">
        <a:xfrm>
          <a:off x="685800" y="40205025"/>
          <a:ext cx="6858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39" name="Text Box 1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2019300</xdr:colOff>
      <xdr:row>119</xdr:row>
      <xdr:rowOff>209550</xdr:rowOff>
    </xdr:from>
    <xdr:to>
      <xdr:col>5</xdr:col>
      <xdr:colOff>123825</xdr:colOff>
      <xdr:row>120</xdr:row>
      <xdr:rowOff>9525</xdr:rowOff>
    </xdr:to>
    <xdr:sp macro="" textlink="">
      <xdr:nvSpPr>
        <xdr:cNvPr id="4351540" name="Text Box 2"/>
        <xdr:cNvSpPr txBox="1">
          <a:spLocks noChangeArrowheads="1"/>
        </xdr:cNvSpPr>
      </xdr:nvSpPr>
      <xdr:spPr bwMode="auto">
        <a:xfrm>
          <a:off x="2371725" y="41367075"/>
          <a:ext cx="381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41" name="Text Box 3155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115</xdr:row>
      <xdr:rowOff>0</xdr:rowOff>
    </xdr:from>
    <xdr:to>
      <xdr:col>2</xdr:col>
      <xdr:colOff>0</xdr:colOff>
      <xdr:row>115</xdr:row>
      <xdr:rowOff>38100</xdr:rowOff>
    </xdr:to>
    <xdr:sp macro="" textlink="">
      <xdr:nvSpPr>
        <xdr:cNvPr id="4351542" name="Text Box 3156"/>
        <xdr:cNvSpPr txBox="1">
          <a:spLocks noChangeArrowheads="1"/>
        </xdr:cNvSpPr>
      </xdr:nvSpPr>
      <xdr:spPr bwMode="auto">
        <a:xfrm>
          <a:off x="1828800" y="40205025"/>
          <a:ext cx="2600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43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115</xdr:row>
      <xdr:rowOff>0</xdr:rowOff>
    </xdr:from>
    <xdr:to>
      <xdr:col>1</xdr:col>
      <xdr:colOff>561975</xdr:colOff>
      <xdr:row>115</xdr:row>
      <xdr:rowOff>38100</xdr:rowOff>
    </xdr:to>
    <xdr:sp macro="" textlink="">
      <xdr:nvSpPr>
        <xdr:cNvPr id="4351544" name="Text Box 2"/>
        <xdr:cNvSpPr txBox="1">
          <a:spLocks noChangeArrowheads="1"/>
        </xdr:cNvSpPr>
      </xdr:nvSpPr>
      <xdr:spPr bwMode="auto">
        <a:xfrm>
          <a:off x="523875" y="402050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38100</xdr:rowOff>
    </xdr:to>
    <xdr:sp macro="" textlink="">
      <xdr:nvSpPr>
        <xdr:cNvPr id="4351545" name="Text Box 7"/>
        <xdr:cNvSpPr txBox="1">
          <a:spLocks noChangeArrowheads="1"/>
        </xdr:cNvSpPr>
      </xdr:nvSpPr>
      <xdr:spPr bwMode="auto">
        <a:xfrm>
          <a:off x="2924175" y="24688800"/>
          <a:ext cx="37909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47625</xdr:rowOff>
    </xdr:to>
    <xdr:sp macro="" textlink="">
      <xdr:nvSpPr>
        <xdr:cNvPr id="4351546" name="Text Box 1"/>
        <xdr:cNvSpPr txBox="1">
          <a:spLocks noChangeArrowheads="1"/>
        </xdr:cNvSpPr>
      </xdr:nvSpPr>
      <xdr:spPr bwMode="auto">
        <a:xfrm>
          <a:off x="2924175" y="24688800"/>
          <a:ext cx="3790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47625</xdr:rowOff>
    </xdr:to>
    <xdr:sp macro="" textlink="">
      <xdr:nvSpPr>
        <xdr:cNvPr id="4351547" name="Text Box 1"/>
        <xdr:cNvSpPr txBox="1">
          <a:spLocks noChangeArrowheads="1"/>
        </xdr:cNvSpPr>
      </xdr:nvSpPr>
      <xdr:spPr bwMode="auto">
        <a:xfrm>
          <a:off x="2924175" y="24688800"/>
          <a:ext cx="3790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2571750</xdr:colOff>
      <xdr:row>74</xdr:row>
      <xdr:rowOff>0</xdr:rowOff>
    </xdr:from>
    <xdr:to>
      <xdr:col>3</xdr:col>
      <xdr:colOff>19050</xdr:colOff>
      <xdr:row>74</xdr:row>
      <xdr:rowOff>47625</xdr:rowOff>
    </xdr:to>
    <xdr:sp macro="" textlink="">
      <xdr:nvSpPr>
        <xdr:cNvPr id="4351548" name="Text Box 61"/>
        <xdr:cNvSpPr txBox="1">
          <a:spLocks noChangeArrowheads="1"/>
        </xdr:cNvSpPr>
      </xdr:nvSpPr>
      <xdr:spPr bwMode="auto">
        <a:xfrm>
          <a:off x="4914900" y="246888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2571750</xdr:colOff>
      <xdr:row>74</xdr:row>
      <xdr:rowOff>0</xdr:rowOff>
    </xdr:from>
    <xdr:to>
      <xdr:col>3</xdr:col>
      <xdr:colOff>19050</xdr:colOff>
      <xdr:row>74</xdr:row>
      <xdr:rowOff>47625</xdr:rowOff>
    </xdr:to>
    <xdr:sp macro="" textlink="">
      <xdr:nvSpPr>
        <xdr:cNvPr id="4351549" name="Text Box 61"/>
        <xdr:cNvSpPr txBox="1">
          <a:spLocks noChangeArrowheads="1"/>
        </xdr:cNvSpPr>
      </xdr:nvSpPr>
      <xdr:spPr bwMode="auto">
        <a:xfrm>
          <a:off x="4914900" y="24688800"/>
          <a:ext cx="19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47625</xdr:rowOff>
    </xdr:to>
    <xdr:sp macro="" textlink="">
      <xdr:nvSpPr>
        <xdr:cNvPr id="4351550" name="Text Box 61"/>
        <xdr:cNvSpPr txBox="1">
          <a:spLocks noChangeArrowheads="1"/>
        </xdr:cNvSpPr>
      </xdr:nvSpPr>
      <xdr:spPr bwMode="auto">
        <a:xfrm>
          <a:off x="2924175" y="24688800"/>
          <a:ext cx="3790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47625</xdr:rowOff>
    </xdr:to>
    <xdr:sp macro="" textlink="">
      <xdr:nvSpPr>
        <xdr:cNvPr id="4351551" name="Text Box 61"/>
        <xdr:cNvSpPr txBox="1">
          <a:spLocks noChangeArrowheads="1"/>
        </xdr:cNvSpPr>
      </xdr:nvSpPr>
      <xdr:spPr bwMode="auto">
        <a:xfrm>
          <a:off x="2924175" y="24688800"/>
          <a:ext cx="37909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2571750</xdr:colOff>
      <xdr:row>74</xdr:row>
      <xdr:rowOff>0</xdr:rowOff>
    </xdr:from>
    <xdr:to>
      <xdr:col>3</xdr:col>
      <xdr:colOff>19050</xdr:colOff>
      <xdr:row>74</xdr:row>
      <xdr:rowOff>0</xdr:rowOff>
    </xdr:to>
    <xdr:sp macro="" textlink="">
      <xdr:nvSpPr>
        <xdr:cNvPr id="4351552" name="Text Box 61"/>
        <xdr:cNvSpPr txBox="1">
          <a:spLocks noChangeArrowheads="1"/>
        </xdr:cNvSpPr>
      </xdr:nvSpPr>
      <xdr:spPr bwMode="auto">
        <a:xfrm>
          <a:off x="4914900" y="246888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2571750</xdr:colOff>
      <xdr:row>74</xdr:row>
      <xdr:rowOff>0</xdr:rowOff>
    </xdr:from>
    <xdr:to>
      <xdr:col>3</xdr:col>
      <xdr:colOff>19050</xdr:colOff>
      <xdr:row>74</xdr:row>
      <xdr:rowOff>0</xdr:rowOff>
    </xdr:to>
    <xdr:sp macro="" textlink="">
      <xdr:nvSpPr>
        <xdr:cNvPr id="4351553" name="Text Box 9"/>
        <xdr:cNvSpPr txBox="1">
          <a:spLocks noChangeArrowheads="1"/>
        </xdr:cNvSpPr>
      </xdr:nvSpPr>
      <xdr:spPr bwMode="auto">
        <a:xfrm>
          <a:off x="4914900" y="246888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2571750</xdr:colOff>
      <xdr:row>74</xdr:row>
      <xdr:rowOff>0</xdr:rowOff>
    </xdr:from>
    <xdr:to>
      <xdr:col>3</xdr:col>
      <xdr:colOff>19050</xdr:colOff>
      <xdr:row>74</xdr:row>
      <xdr:rowOff>0</xdr:rowOff>
    </xdr:to>
    <xdr:sp macro="" textlink="">
      <xdr:nvSpPr>
        <xdr:cNvPr id="4351554" name="Text Box 9"/>
        <xdr:cNvSpPr txBox="1">
          <a:spLocks noChangeArrowheads="1"/>
        </xdr:cNvSpPr>
      </xdr:nvSpPr>
      <xdr:spPr bwMode="auto">
        <a:xfrm>
          <a:off x="4914900" y="246888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0</xdr:rowOff>
    </xdr:to>
    <xdr:sp macro="" textlink="">
      <xdr:nvSpPr>
        <xdr:cNvPr id="4351555" name="Text Box 61"/>
        <xdr:cNvSpPr txBox="1">
          <a:spLocks noChangeArrowheads="1"/>
        </xdr:cNvSpPr>
      </xdr:nvSpPr>
      <xdr:spPr bwMode="auto">
        <a:xfrm>
          <a:off x="2924175" y="24688800"/>
          <a:ext cx="3790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0</xdr:rowOff>
    </xdr:to>
    <xdr:sp macro="" textlink="">
      <xdr:nvSpPr>
        <xdr:cNvPr id="4351556" name="Text Box 9"/>
        <xdr:cNvSpPr txBox="1">
          <a:spLocks noChangeArrowheads="1"/>
        </xdr:cNvSpPr>
      </xdr:nvSpPr>
      <xdr:spPr bwMode="auto">
        <a:xfrm>
          <a:off x="2924175" y="24688800"/>
          <a:ext cx="3790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2571750</xdr:colOff>
      <xdr:row>74</xdr:row>
      <xdr:rowOff>0</xdr:rowOff>
    </xdr:from>
    <xdr:to>
      <xdr:col>5</xdr:col>
      <xdr:colOff>647700</xdr:colOff>
      <xdr:row>74</xdr:row>
      <xdr:rowOff>0</xdr:rowOff>
    </xdr:to>
    <xdr:sp macro="" textlink="">
      <xdr:nvSpPr>
        <xdr:cNvPr id="4351557" name="Text Box 61"/>
        <xdr:cNvSpPr txBox="1">
          <a:spLocks noChangeArrowheads="1"/>
        </xdr:cNvSpPr>
      </xdr:nvSpPr>
      <xdr:spPr bwMode="auto">
        <a:xfrm>
          <a:off x="2924175" y="24688800"/>
          <a:ext cx="3790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4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5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6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17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76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17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78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17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80" name="Text Box 19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181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8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83" name="Text Box 194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184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8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86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187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8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189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190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9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19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19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19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9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19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19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19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19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0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0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0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0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0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0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0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0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0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0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1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1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1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1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1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1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1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1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1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2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2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222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3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2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5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6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7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8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29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30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31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32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3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3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3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3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3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38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39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4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4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4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4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4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4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4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4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4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4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5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5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5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5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5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5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5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5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5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5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6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6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6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6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6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6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6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6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6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6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7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7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7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7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7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7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7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45277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78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279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285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8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287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288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8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9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9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9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9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9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9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29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9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29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29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0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0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0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0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0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0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0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0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0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0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1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1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1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1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1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1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1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1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1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2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2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2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2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2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2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45326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27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2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29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30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3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3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3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3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3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3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3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3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3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4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4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4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4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4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4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4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4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4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4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5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5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5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5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5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5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5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5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5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5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6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6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6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6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6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6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6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6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45368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69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7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71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372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7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7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7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7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7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7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7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8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8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8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8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8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8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8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8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8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8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9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9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9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9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9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9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39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9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39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39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0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0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0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0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0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0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0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0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0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0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1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1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45412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13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1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15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16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1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1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2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2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2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2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2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2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2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2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2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2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3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3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3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3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3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3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3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3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3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3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4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4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4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4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4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4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4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4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4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4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5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5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5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5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45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5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45456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57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45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59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460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6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46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6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7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8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9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9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9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9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4549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495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49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497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49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499" name="Text Box 19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00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0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502" name="Text Box 194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03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0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505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06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0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508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09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1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1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1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1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1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1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1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1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1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1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2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2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2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2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2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2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2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2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2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2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3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3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3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3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3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3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3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3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3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3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4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541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2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4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4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5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6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7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8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49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50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51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57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58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5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6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6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6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6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6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6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6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6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6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6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7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7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7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7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7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7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7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7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7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7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8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8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8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8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8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8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8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8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8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8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9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9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9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9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59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59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45596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97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45598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59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04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0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06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07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0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1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1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1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1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1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1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1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1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1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1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2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2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2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2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2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2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2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2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2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2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3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3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3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3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3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3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3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3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3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3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4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4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4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4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4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45645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46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4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48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49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5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5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5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5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5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5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5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5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5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5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6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6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6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6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6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6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6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6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6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6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7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7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7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7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7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7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7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7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7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7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8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8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8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8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8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8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8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45687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88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8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90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691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9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9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9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9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9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69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69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69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0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0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0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0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0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0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0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0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0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0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1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1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1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1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1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1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1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1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1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1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2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2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2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2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2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2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2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2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2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2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3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45731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32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3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34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35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3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3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3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3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4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4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4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4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4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4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4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4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4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4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5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5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5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5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5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5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5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5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5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5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6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6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6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6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6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6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6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6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6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6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7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7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7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4577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7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45775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76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4577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78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45779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8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4578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8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79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4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5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6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7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8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09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10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11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12" name="Text Box 1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68</xdr:row>
      <xdr:rowOff>0</xdr:rowOff>
    </xdr:from>
    <xdr:to>
      <xdr:col>1</xdr:col>
      <xdr:colOff>66675</xdr:colOff>
      <xdr:row>68</xdr:row>
      <xdr:rowOff>66675</xdr:rowOff>
    </xdr:to>
    <xdr:sp macro="" textlink="">
      <xdr:nvSpPr>
        <xdr:cNvPr id="4345813" name="Text Box 2"/>
        <xdr:cNvSpPr txBox="1">
          <a:spLocks noChangeArrowheads="1"/>
        </xdr:cNvSpPr>
      </xdr:nvSpPr>
      <xdr:spPr bwMode="auto">
        <a:xfrm>
          <a:off x="257175" y="22402800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14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1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16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1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18" name="Text Box 19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819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68</xdr:row>
      <xdr:rowOff>0</xdr:rowOff>
    </xdr:from>
    <xdr:to>
      <xdr:col>1</xdr:col>
      <xdr:colOff>3590925</xdr:colOff>
      <xdr:row>68</xdr:row>
      <xdr:rowOff>66675</xdr:rowOff>
    </xdr:to>
    <xdr:sp macro="" textlink="">
      <xdr:nvSpPr>
        <xdr:cNvPr id="4345820" name="Text Box 2"/>
        <xdr:cNvSpPr txBox="1">
          <a:spLocks noChangeArrowheads="1"/>
        </xdr:cNvSpPr>
      </xdr:nvSpPr>
      <xdr:spPr bwMode="auto">
        <a:xfrm>
          <a:off x="3067050" y="22402800"/>
          <a:ext cx="781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21" name="Text Box 194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822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68</xdr:row>
      <xdr:rowOff>0</xdr:rowOff>
    </xdr:from>
    <xdr:to>
      <xdr:col>1</xdr:col>
      <xdr:colOff>1676400</xdr:colOff>
      <xdr:row>68</xdr:row>
      <xdr:rowOff>66675</xdr:rowOff>
    </xdr:to>
    <xdr:sp macro="" textlink="">
      <xdr:nvSpPr>
        <xdr:cNvPr id="4345823" name="Text Box 2"/>
        <xdr:cNvSpPr txBox="1">
          <a:spLocks noChangeArrowheads="1"/>
        </xdr:cNvSpPr>
      </xdr:nvSpPr>
      <xdr:spPr bwMode="auto">
        <a:xfrm>
          <a:off x="1533525" y="22402800"/>
          <a:ext cx="4000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24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825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2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45827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45828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2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3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3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3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3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3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3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3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3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3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3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4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4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4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4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4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4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4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4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4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4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5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5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5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4585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4585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4585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0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0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0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0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004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05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0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07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08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09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10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11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12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13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14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1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1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1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1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20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21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2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2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2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2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2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2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2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2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3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3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3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3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3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3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3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3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3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3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4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4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4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4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4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4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4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4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4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4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5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5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5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5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5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5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5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5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5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68</xdr:row>
      <xdr:rowOff>0</xdr:rowOff>
    </xdr:from>
    <xdr:to>
      <xdr:col>1</xdr:col>
      <xdr:colOff>1304925</xdr:colOff>
      <xdr:row>68</xdr:row>
      <xdr:rowOff>66675</xdr:rowOff>
    </xdr:to>
    <xdr:sp macro="" textlink="">
      <xdr:nvSpPr>
        <xdr:cNvPr id="4352059" name="Text Box 2"/>
        <xdr:cNvSpPr txBox="1">
          <a:spLocks noChangeArrowheads="1"/>
        </xdr:cNvSpPr>
      </xdr:nvSpPr>
      <xdr:spPr bwMode="auto">
        <a:xfrm>
          <a:off x="1238250" y="22402800"/>
          <a:ext cx="3238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60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68</xdr:row>
      <xdr:rowOff>0</xdr:rowOff>
    </xdr:from>
    <xdr:to>
      <xdr:col>1</xdr:col>
      <xdr:colOff>2647950</xdr:colOff>
      <xdr:row>68</xdr:row>
      <xdr:rowOff>66675</xdr:rowOff>
    </xdr:to>
    <xdr:sp macro="" textlink="">
      <xdr:nvSpPr>
        <xdr:cNvPr id="4352061" name="Text Box 2"/>
        <xdr:cNvSpPr txBox="1">
          <a:spLocks noChangeArrowheads="1"/>
        </xdr:cNvSpPr>
      </xdr:nvSpPr>
      <xdr:spPr bwMode="auto">
        <a:xfrm>
          <a:off x="2314575" y="22402800"/>
          <a:ext cx="5905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6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6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6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6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6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067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6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069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070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7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7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7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7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7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7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7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7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7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8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8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8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8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8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8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8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8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8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8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9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9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9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9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9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9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09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9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09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09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0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0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0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0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0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0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0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0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52108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09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1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11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12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1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1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1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1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1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1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2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2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2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2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2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2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2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2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2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2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3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3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3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3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3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3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3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3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3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3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4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4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4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4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4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4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4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4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4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4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52150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51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5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53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54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55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5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57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5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5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6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6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6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6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6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6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6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6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6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6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7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71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72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7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7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7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7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7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7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7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8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8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8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8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8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8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8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8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8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8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9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9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19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9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68</xdr:row>
      <xdr:rowOff>0</xdr:rowOff>
    </xdr:from>
    <xdr:to>
      <xdr:col>1</xdr:col>
      <xdr:colOff>495300</xdr:colOff>
      <xdr:row>68</xdr:row>
      <xdr:rowOff>66675</xdr:rowOff>
    </xdr:to>
    <xdr:sp macro="" textlink="">
      <xdr:nvSpPr>
        <xdr:cNvPr id="4352194" name="Text Box 2"/>
        <xdr:cNvSpPr txBox="1">
          <a:spLocks noChangeArrowheads="1"/>
        </xdr:cNvSpPr>
      </xdr:nvSpPr>
      <xdr:spPr bwMode="auto">
        <a:xfrm>
          <a:off x="590550" y="22402800"/>
          <a:ext cx="161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95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19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97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198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199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0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01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0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03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04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0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0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0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08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0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1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1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1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1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1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15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16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1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18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19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20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2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22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2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24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2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26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27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28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29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30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31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32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33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34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35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1933575</xdr:colOff>
      <xdr:row>68</xdr:row>
      <xdr:rowOff>66675</xdr:rowOff>
    </xdr:to>
    <xdr:sp macro="" textlink="">
      <xdr:nvSpPr>
        <xdr:cNvPr id="4352236" name="Text Box 1"/>
        <xdr:cNvSpPr txBox="1">
          <a:spLocks noChangeArrowheads="1"/>
        </xdr:cNvSpPr>
      </xdr:nvSpPr>
      <xdr:spPr bwMode="auto">
        <a:xfrm>
          <a:off x="1733550" y="22402800"/>
          <a:ext cx="457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37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68</xdr:row>
      <xdr:rowOff>0</xdr:rowOff>
    </xdr:from>
    <xdr:to>
      <xdr:col>2</xdr:col>
      <xdr:colOff>323850</xdr:colOff>
      <xdr:row>68</xdr:row>
      <xdr:rowOff>66675</xdr:rowOff>
    </xdr:to>
    <xdr:sp macro="" textlink="">
      <xdr:nvSpPr>
        <xdr:cNvPr id="4352238" name="Text Box 2"/>
        <xdr:cNvSpPr txBox="1">
          <a:spLocks noChangeArrowheads="1"/>
        </xdr:cNvSpPr>
      </xdr:nvSpPr>
      <xdr:spPr bwMode="auto">
        <a:xfrm>
          <a:off x="4857750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239" name="Text Box 1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68</xdr:row>
      <xdr:rowOff>0</xdr:rowOff>
    </xdr:from>
    <xdr:to>
      <xdr:col>1</xdr:col>
      <xdr:colOff>2695575</xdr:colOff>
      <xdr:row>68</xdr:row>
      <xdr:rowOff>66675</xdr:rowOff>
    </xdr:to>
    <xdr:sp macro="" textlink="">
      <xdr:nvSpPr>
        <xdr:cNvPr id="4352240" name="Text Box 2"/>
        <xdr:cNvSpPr txBox="1">
          <a:spLocks noChangeArrowheads="1"/>
        </xdr:cNvSpPr>
      </xdr:nvSpPr>
      <xdr:spPr bwMode="auto">
        <a:xfrm>
          <a:off x="2352675" y="22402800"/>
          <a:ext cx="6000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241" name="Text Box 3155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68</xdr:row>
      <xdr:rowOff>0</xdr:rowOff>
    </xdr:from>
    <xdr:to>
      <xdr:col>1</xdr:col>
      <xdr:colOff>1924050</xdr:colOff>
      <xdr:row>68</xdr:row>
      <xdr:rowOff>66675</xdr:rowOff>
    </xdr:to>
    <xdr:sp macro="" textlink="">
      <xdr:nvSpPr>
        <xdr:cNvPr id="4352242" name="Text Box 3156"/>
        <xdr:cNvSpPr txBox="1">
          <a:spLocks noChangeArrowheads="1"/>
        </xdr:cNvSpPr>
      </xdr:nvSpPr>
      <xdr:spPr bwMode="auto">
        <a:xfrm>
          <a:off x="1733550" y="22402800"/>
          <a:ext cx="447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68</xdr:row>
      <xdr:rowOff>0</xdr:rowOff>
    </xdr:from>
    <xdr:to>
      <xdr:col>1</xdr:col>
      <xdr:colOff>295275</xdr:colOff>
      <xdr:row>68</xdr:row>
      <xdr:rowOff>66675</xdr:rowOff>
    </xdr:to>
    <xdr:sp macro="" textlink="">
      <xdr:nvSpPr>
        <xdr:cNvPr id="4352243" name="Text Box 2"/>
        <xdr:cNvSpPr txBox="1">
          <a:spLocks noChangeArrowheads="1"/>
        </xdr:cNvSpPr>
      </xdr:nvSpPr>
      <xdr:spPr bwMode="auto">
        <a:xfrm>
          <a:off x="428625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68</xdr:row>
      <xdr:rowOff>0</xdr:rowOff>
    </xdr:from>
    <xdr:to>
      <xdr:col>1</xdr:col>
      <xdr:colOff>3657600</xdr:colOff>
      <xdr:row>68</xdr:row>
      <xdr:rowOff>66675</xdr:rowOff>
    </xdr:to>
    <xdr:sp macro="" textlink="">
      <xdr:nvSpPr>
        <xdr:cNvPr id="4352244" name="Text Box 2"/>
        <xdr:cNvSpPr txBox="1">
          <a:spLocks noChangeArrowheads="1"/>
        </xdr:cNvSpPr>
      </xdr:nvSpPr>
      <xdr:spPr bwMode="auto">
        <a:xfrm>
          <a:off x="3124200" y="22402800"/>
          <a:ext cx="7905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68</xdr:row>
      <xdr:rowOff>0</xdr:rowOff>
    </xdr:from>
    <xdr:to>
      <xdr:col>2</xdr:col>
      <xdr:colOff>323850</xdr:colOff>
      <xdr:row>68</xdr:row>
      <xdr:rowOff>66675</xdr:rowOff>
    </xdr:to>
    <xdr:sp macro="" textlink="">
      <xdr:nvSpPr>
        <xdr:cNvPr id="4352245" name="Text Box 2"/>
        <xdr:cNvSpPr txBox="1">
          <a:spLocks noChangeArrowheads="1"/>
        </xdr:cNvSpPr>
      </xdr:nvSpPr>
      <xdr:spPr bwMode="auto">
        <a:xfrm>
          <a:off x="4857750" y="22402800"/>
          <a:ext cx="1238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46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47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48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49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0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1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2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3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4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5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6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7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8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59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0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1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2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3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4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5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6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7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8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69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0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1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2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3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4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5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6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2277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78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27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80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28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82" name="Text Box 19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283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28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85" name="Text Box 194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286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28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88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289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29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291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292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29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29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29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29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29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29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29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0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0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0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0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0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0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0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0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0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0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1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1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1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1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1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1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1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1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1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1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2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2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2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2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324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25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2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27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28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29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30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31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32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33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34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3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3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3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3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3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40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41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4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4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4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4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4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4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4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4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5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5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5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5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5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5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5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5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5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5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6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6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6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6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6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6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6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6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6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6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7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7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7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7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7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7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7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7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7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52379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2380" name="Text Box 2"/>
        <xdr:cNvSpPr txBox="1">
          <a:spLocks noChangeArrowheads="1"/>
        </xdr:cNvSpPr>
      </xdr:nvSpPr>
      <xdr:spPr bwMode="auto">
        <a:xfrm>
          <a:off x="2314575" y="34651950"/>
          <a:ext cx="5905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96</xdr:row>
      <xdr:rowOff>0</xdr:rowOff>
    </xdr:from>
    <xdr:to>
      <xdr:col>1</xdr:col>
      <xdr:colOff>2762250</xdr:colOff>
      <xdr:row>96</xdr:row>
      <xdr:rowOff>85725</xdr:rowOff>
    </xdr:to>
    <xdr:sp macro="" textlink="">
      <xdr:nvSpPr>
        <xdr:cNvPr id="4352381" name="Text Box 2"/>
        <xdr:cNvSpPr txBox="1">
          <a:spLocks noChangeArrowheads="1"/>
        </xdr:cNvSpPr>
      </xdr:nvSpPr>
      <xdr:spPr bwMode="auto">
        <a:xfrm>
          <a:off x="2400300" y="34651950"/>
          <a:ext cx="6191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8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8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8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8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8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387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8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389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390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9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9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9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9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9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39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9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39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39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0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0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0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0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0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0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0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0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0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0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1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1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1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1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1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1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1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1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1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1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2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2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2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2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2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2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2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2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52428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29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3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31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32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3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3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3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3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3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3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3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4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4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4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4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4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4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4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4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4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4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5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5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5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5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5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5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5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5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5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5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6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6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6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6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6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6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6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6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6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6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52470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71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7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73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474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75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7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77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7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7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8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8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8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8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8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8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8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8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8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8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9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91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92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9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9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9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49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9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49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49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0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0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0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0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0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0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0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0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0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0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1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1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1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1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52514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15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1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17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18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19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2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21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2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23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24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2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2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2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28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2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3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3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3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3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3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35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36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3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38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39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40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4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42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4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44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4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46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47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48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49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50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51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52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53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5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55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1933575</xdr:colOff>
      <xdr:row>96</xdr:row>
      <xdr:rowOff>85725</xdr:rowOff>
    </xdr:to>
    <xdr:sp macro="" textlink="">
      <xdr:nvSpPr>
        <xdr:cNvPr id="4352556" name="Text Box 1"/>
        <xdr:cNvSpPr txBox="1">
          <a:spLocks noChangeArrowheads="1"/>
        </xdr:cNvSpPr>
      </xdr:nvSpPr>
      <xdr:spPr bwMode="auto">
        <a:xfrm>
          <a:off x="1733550" y="34651950"/>
          <a:ext cx="457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57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495300</xdr:colOff>
      <xdr:row>96</xdr:row>
      <xdr:rowOff>85725</xdr:rowOff>
    </xdr:to>
    <xdr:sp macro="" textlink="">
      <xdr:nvSpPr>
        <xdr:cNvPr id="4352558" name="Text Box 2"/>
        <xdr:cNvSpPr txBox="1">
          <a:spLocks noChangeArrowheads="1"/>
        </xdr:cNvSpPr>
      </xdr:nvSpPr>
      <xdr:spPr bwMode="auto">
        <a:xfrm>
          <a:off x="590550" y="34651950"/>
          <a:ext cx="1619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59" name="Text Box 1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2695575</xdr:colOff>
      <xdr:row>96</xdr:row>
      <xdr:rowOff>85725</xdr:rowOff>
    </xdr:to>
    <xdr:sp macro="" textlink="">
      <xdr:nvSpPr>
        <xdr:cNvPr id="4352560" name="Text Box 2"/>
        <xdr:cNvSpPr txBox="1">
          <a:spLocks noChangeArrowheads="1"/>
        </xdr:cNvSpPr>
      </xdr:nvSpPr>
      <xdr:spPr bwMode="auto">
        <a:xfrm>
          <a:off x="2352675" y="34651950"/>
          <a:ext cx="6000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61" name="Text Box 3155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1924050</xdr:colOff>
      <xdr:row>96</xdr:row>
      <xdr:rowOff>85725</xdr:rowOff>
    </xdr:to>
    <xdr:sp macro="" textlink="">
      <xdr:nvSpPr>
        <xdr:cNvPr id="4352562" name="Text Box 3156"/>
        <xdr:cNvSpPr txBox="1">
          <a:spLocks noChangeArrowheads="1"/>
        </xdr:cNvSpPr>
      </xdr:nvSpPr>
      <xdr:spPr bwMode="auto">
        <a:xfrm>
          <a:off x="1733550" y="34651950"/>
          <a:ext cx="447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63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295275</xdr:colOff>
      <xdr:row>96</xdr:row>
      <xdr:rowOff>85725</xdr:rowOff>
    </xdr:to>
    <xdr:sp macro="" textlink="">
      <xdr:nvSpPr>
        <xdr:cNvPr id="4352564" name="Text Box 2"/>
        <xdr:cNvSpPr txBox="1">
          <a:spLocks noChangeArrowheads="1"/>
        </xdr:cNvSpPr>
      </xdr:nvSpPr>
      <xdr:spPr bwMode="auto">
        <a:xfrm>
          <a:off x="428625" y="34651950"/>
          <a:ext cx="123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65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66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67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68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69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0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1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2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3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4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5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6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7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8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79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0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1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2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3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4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5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6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7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8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89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0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1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2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3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4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5" name="Text Box 1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76200</xdr:rowOff>
    </xdr:to>
    <xdr:sp macro="" textlink="">
      <xdr:nvSpPr>
        <xdr:cNvPr id="4352596" name="Text Box 2"/>
        <xdr:cNvSpPr txBox="1">
          <a:spLocks noChangeArrowheads="1"/>
        </xdr:cNvSpPr>
      </xdr:nvSpPr>
      <xdr:spPr bwMode="auto">
        <a:xfrm>
          <a:off x="257175" y="21307425"/>
          <a:ext cx="666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597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59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599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0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601" name="Text Box 19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02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65</xdr:row>
      <xdr:rowOff>0</xdr:rowOff>
    </xdr:from>
    <xdr:to>
      <xdr:col>1</xdr:col>
      <xdr:colOff>3448050</xdr:colOff>
      <xdr:row>65</xdr:row>
      <xdr:rowOff>76200</xdr:rowOff>
    </xdr:to>
    <xdr:sp macro="" textlink="">
      <xdr:nvSpPr>
        <xdr:cNvPr id="4352603" name="Text Box 2"/>
        <xdr:cNvSpPr txBox="1">
          <a:spLocks noChangeArrowheads="1"/>
        </xdr:cNvSpPr>
      </xdr:nvSpPr>
      <xdr:spPr bwMode="auto">
        <a:xfrm>
          <a:off x="3067050" y="21307425"/>
          <a:ext cx="6381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604" name="Text Box 194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05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65</xdr:row>
      <xdr:rowOff>0</xdr:rowOff>
    </xdr:from>
    <xdr:to>
      <xdr:col>1</xdr:col>
      <xdr:colOff>1609725</xdr:colOff>
      <xdr:row>65</xdr:row>
      <xdr:rowOff>76200</xdr:rowOff>
    </xdr:to>
    <xdr:sp macro="" textlink="">
      <xdr:nvSpPr>
        <xdr:cNvPr id="4352606" name="Text Box 2"/>
        <xdr:cNvSpPr txBox="1">
          <a:spLocks noChangeArrowheads="1"/>
        </xdr:cNvSpPr>
      </xdr:nvSpPr>
      <xdr:spPr bwMode="auto">
        <a:xfrm>
          <a:off x="1533525" y="21307425"/>
          <a:ext cx="3333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607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08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0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610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11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1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1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1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1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1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1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1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1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2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2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2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2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2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2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2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2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2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2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3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3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3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3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3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3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3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3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3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3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4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4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4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643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44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4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46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47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48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49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50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51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52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53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5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5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5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5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58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59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60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6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6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6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6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6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6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6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6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6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70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7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7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7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7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7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7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7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78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7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8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8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8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8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8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8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8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8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8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89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90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9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9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9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69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9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69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69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65</xdr:row>
      <xdr:rowOff>0</xdr:rowOff>
    </xdr:from>
    <xdr:to>
      <xdr:col>1</xdr:col>
      <xdr:colOff>1257300</xdr:colOff>
      <xdr:row>65</xdr:row>
      <xdr:rowOff>76200</xdr:rowOff>
    </xdr:to>
    <xdr:sp macro="" textlink="">
      <xdr:nvSpPr>
        <xdr:cNvPr id="4352698" name="Text Box 2"/>
        <xdr:cNvSpPr txBox="1">
          <a:spLocks noChangeArrowheads="1"/>
        </xdr:cNvSpPr>
      </xdr:nvSpPr>
      <xdr:spPr bwMode="auto">
        <a:xfrm>
          <a:off x="1238250" y="21307425"/>
          <a:ext cx="2762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699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76200</xdr:rowOff>
    </xdr:to>
    <xdr:sp macro="" textlink="">
      <xdr:nvSpPr>
        <xdr:cNvPr id="4352700" name="Text Box 2"/>
        <xdr:cNvSpPr txBox="1">
          <a:spLocks noChangeArrowheads="1"/>
        </xdr:cNvSpPr>
      </xdr:nvSpPr>
      <xdr:spPr bwMode="auto">
        <a:xfrm>
          <a:off x="2314575" y="21307425"/>
          <a:ext cx="4857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0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0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0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0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0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06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0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08" name="Text Box 3155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09" name="Text Box 3156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10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1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1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1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1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1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1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1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1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1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2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21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2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2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2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2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2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2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2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29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3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3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3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3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3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3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3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3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3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3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4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41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4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4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4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4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4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76200</xdr:rowOff>
    </xdr:to>
    <xdr:sp macro="" textlink="">
      <xdr:nvSpPr>
        <xdr:cNvPr id="4352747" name="Text Box 2"/>
        <xdr:cNvSpPr txBox="1">
          <a:spLocks noChangeArrowheads="1"/>
        </xdr:cNvSpPr>
      </xdr:nvSpPr>
      <xdr:spPr bwMode="auto">
        <a:xfrm>
          <a:off x="590550" y="21307425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48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4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50" name="Text Box 3155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51" name="Text Box 3156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5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5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5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5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5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5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5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59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6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6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6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6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6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6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6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6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6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6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7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71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7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7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7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7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7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7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7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7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8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8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8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8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8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8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8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8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8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76200</xdr:rowOff>
    </xdr:to>
    <xdr:sp macro="" textlink="">
      <xdr:nvSpPr>
        <xdr:cNvPr id="4352789" name="Text Box 2"/>
        <xdr:cNvSpPr txBox="1">
          <a:spLocks noChangeArrowheads="1"/>
        </xdr:cNvSpPr>
      </xdr:nvSpPr>
      <xdr:spPr bwMode="auto">
        <a:xfrm>
          <a:off x="590550" y="21307425"/>
          <a:ext cx="1428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90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9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92" name="Text Box 3155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793" name="Text Box 3156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9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9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9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79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79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79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0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0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0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0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0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0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0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0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0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0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1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1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1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13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1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1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1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1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1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19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2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2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2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2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2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25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2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2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2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2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30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31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3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33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3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35" name="Text Box 3155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36" name="Text Box 3156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37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38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39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40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41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42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4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4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4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46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4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48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4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5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5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5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53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54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5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56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57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58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5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60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6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62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6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64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65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66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67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68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69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70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71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72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73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76200</xdr:rowOff>
    </xdr:to>
    <xdr:sp macro="" textlink="">
      <xdr:nvSpPr>
        <xdr:cNvPr id="4352874" name="Text Box 1"/>
        <xdr:cNvSpPr txBox="1">
          <a:spLocks noChangeArrowheads="1"/>
        </xdr:cNvSpPr>
      </xdr:nvSpPr>
      <xdr:spPr bwMode="auto">
        <a:xfrm>
          <a:off x="1733550" y="21307425"/>
          <a:ext cx="381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75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314325</xdr:colOff>
      <xdr:row>65</xdr:row>
      <xdr:rowOff>76200</xdr:rowOff>
    </xdr:to>
    <xdr:sp macro="" textlink="">
      <xdr:nvSpPr>
        <xdr:cNvPr id="4352876" name="Text Box 2"/>
        <xdr:cNvSpPr txBox="1">
          <a:spLocks noChangeArrowheads="1"/>
        </xdr:cNvSpPr>
      </xdr:nvSpPr>
      <xdr:spPr bwMode="auto">
        <a:xfrm>
          <a:off x="4857750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77" name="Text Box 1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76200</xdr:rowOff>
    </xdr:to>
    <xdr:sp macro="" textlink="">
      <xdr:nvSpPr>
        <xdr:cNvPr id="4352878" name="Text Box 2"/>
        <xdr:cNvSpPr txBox="1">
          <a:spLocks noChangeArrowheads="1"/>
        </xdr:cNvSpPr>
      </xdr:nvSpPr>
      <xdr:spPr bwMode="auto">
        <a:xfrm>
          <a:off x="2352675" y="21307425"/>
          <a:ext cx="495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79" name="Text Box 3155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76200</xdr:rowOff>
    </xdr:to>
    <xdr:sp macro="" textlink="">
      <xdr:nvSpPr>
        <xdr:cNvPr id="4352880" name="Text Box 3156"/>
        <xdr:cNvSpPr txBox="1">
          <a:spLocks noChangeArrowheads="1"/>
        </xdr:cNvSpPr>
      </xdr:nvSpPr>
      <xdr:spPr bwMode="auto">
        <a:xfrm>
          <a:off x="1733550" y="21307425"/>
          <a:ext cx="3714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76200</xdr:rowOff>
    </xdr:to>
    <xdr:sp macro="" textlink="">
      <xdr:nvSpPr>
        <xdr:cNvPr id="4352881" name="Text Box 2"/>
        <xdr:cNvSpPr txBox="1">
          <a:spLocks noChangeArrowheads="1"/>
        </xdr:cNvSpPr>
      </xdr:nvSpPr>
      <xdr:spPr bwMode="auto">
        <a:xfrm>
          <a:off x="428625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65</xdr:row>
      <xdr:rowOff>0</xdr:rowOff>
    </xdr:from>
    <xdr:to>
      <xdr:col>1</xdr:col>
      <xdr:colOff>3514725</xdr:colOff>
      <xdr:row>65</xdr:row>
      <xdr:rowOff>76200</xdr:rowOff>
    </xdr:to>
    <xdr:sp macro="" textlink="">
      <xdr:nvSpPr>
        <xdr:cNvPr id="4352882" name="Text Box 2"/>
        <xdr:cNvSpPr txBox="1">
          <a:spLocks noChangeArrowheads="1"/>
        </xdr:cNvSpPr>
      </xdr:nvSpPr>
      <xdr:spPr bwMode="auto">
        <a:xfrm>
          <a:off x="3124200" y="21307425"/>
          <a:ext cx="6477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314325</xdr:colOff>
      <xdr:row>65</xdr:row>
      <xdr:rowOff>76200</xdr:rowOff>
    </xdr:to>
    <xdr:sp macro="" textlink="">
      <xdr:nvSpPr>
        <xdr:cNvPr id="4352883" name="Text Box 2"/>
        <xdr:cNvSpPr txBox="1">
          <a:spLocks noChangeArrowheads="1"/>
        </xdr:cNvSpPr>
      </xdr:nvSpPr>
      <xdr:spPr bwMode="auto">
        <a:xfrm>
          <a:off x="4857750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8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89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0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291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16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1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18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1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20" name="Text Box 19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21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22" name="Text Box 194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23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24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25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2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27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28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2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3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3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3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3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3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3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3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3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3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3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4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4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4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4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4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4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4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4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4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4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5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5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5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5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5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5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5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5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5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5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2960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1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6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3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4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5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6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7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8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69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70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76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2977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7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8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8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8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8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8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8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8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8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8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8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9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9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9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9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9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9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9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299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299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299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0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0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0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0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0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0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0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0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0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0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1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1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1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1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1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015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016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1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1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1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2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2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22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2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24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25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2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2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2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2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3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3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3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3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3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3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3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3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3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3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4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4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4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4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4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4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4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4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4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4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5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5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5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5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5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5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5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5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5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5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6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6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6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66675</xdr:rowOff>
    </xdr:to>
    <xdr:sp macro="" textlink="">
      <xdr:nvSpPr>
        <xdr:cNvPr id="4353063" name="Text Box 2"/>
        <xdr:cNvSpPr txBox="1">
          <a:spLocks noChangeArrowheads="1"/>
        </xdr:cNvSpPr>
      </xdr:nvSpPr>
      <xdr:spPr bwMode="auto">
        <a:xfrm>
          <a:off x="590550" y="213074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64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6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66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067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6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6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7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7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7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7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7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7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7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7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7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7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8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8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8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8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8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8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8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8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8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8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9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9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9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9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9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9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9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09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09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09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0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0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0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0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0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66675</xdr:rowOff>
    </xdr:to>
    <xdr:sp macro="" textlink="">
      <xdr:nvSpPr>
        <xdr:cNvPr id="4353105" name="Text Box 2"/>
        <xdr:cNvSpPr txBox="1">
          <a:spLocks noChangeArrowheads="1"/>
        </xdr:cNvSpPr>
      </xdr:nvSpPr>
      <xdr:spPr bwMode="auto">
        <a:xfrm>
          <a:off x="590550" y="213074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06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0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08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09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1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1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1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1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1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1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1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1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1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1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2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2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2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2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2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2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2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2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2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2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3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3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3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3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3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3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3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3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3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3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4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4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4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4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4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4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4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4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4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49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5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51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52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5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5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5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5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5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5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5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6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6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6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6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6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6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6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6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6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6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7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7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7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7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7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7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7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7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7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7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8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8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8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8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18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8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8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8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8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18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9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91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19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93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194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19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19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19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19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19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0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7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8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19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0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1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2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3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4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5" name="Text Box 1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66675</xdr:colOff>
      <xdr:row>96</xdr:row>
      <xdr:rowOff>85725</xdr:rowOff>
    </xdr:to>
    <xdr:sp macro="" textlink="">
      <xdr:nvSpPr>
        <xdr:cNvPr id="4353226" name="Text Box 2"/>
        <xdr:cNvSpPr txBox="1">
          <a:spLocks noChangeArrowheads="1"/>
        </xdr:cNvSpPr>
      </xdr:nvSpPr>
      <xdr:spPr bwMode="auto">
        <a:xfrm>
          <a:off x="257175" y="34651950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27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2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29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3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31" name="Text Box 19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32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3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34" name="Text Box 194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35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3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37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38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3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40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41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4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4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4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4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4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4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4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4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5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5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5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5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5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5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5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5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5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5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6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6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6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6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6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6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6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6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6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6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7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7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7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273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74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7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76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77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78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79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80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81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82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83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84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8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8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8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88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89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290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9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9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9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9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9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29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9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29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29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00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0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0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0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04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0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0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0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08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0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1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1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1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1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1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1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1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1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1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19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20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2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2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2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24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2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2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2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476250</xdr:colOff>
      <xdr:row>96</xdr:row>
      <xdr:rowOff>85725</xdr:rowOff>
    </xdr:to>
    <xdr:sp macro="" textlink="">
      <xdr:nvSpPr>
        <xdr:cNvPr id="4353328" name="Text Box 2"/>
        <xdr:cNvSpPr txBox="1">
          <a:spLocks noChangeArrowheads="1"/>
        </xdr:cNvSpPr>
      </xdr:nvSpPr>
      <xdr:spPr bwMode="auto">
        <a:xfrm>
          <a:off x="590550" y="3465195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96</xdr:row>
      <xdr:rowOff>0</xdr:rowOff>
    </xdr:from>
    <xdr:to>
      <xdr:col>1</xdr:col>
      <xdr:colOff>2543175</xdr:colOff>
      <xdr:row>96</xdr:row>
      <xdr:rowOff>85725</xdr:rowOff>
    </xdr:to>
    <xdr:sp macro="" textlink="">
      <xdr:nvSpPr>
        <xdr:cNvPr id="4353329" name="Text Box 2"/>
        <xdr:cNvSpPr txBox="1">
          <a:spLocks noChangeArrowheads="1"/>
        </xdr:cNvSpPr>
      </xdr:nvSpPr>
      <xdr:spPr bwMode="auto">
        <a:xfrm>
          <a:off x="2314575" y="34651950"/>
          <a:ext cx="4857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2143125</xdr:colOff>
      <xdr:row>96</xdr:row>
      <xdr:rowOff>0</xdr:rowOff>
    </xdr:from>
    <xdr:to>
      <xdr:col>1</xdr:col>
      <xdr:colOff>2647950</xdr:colOff>
      <xdr:row>96</xdr:row>
      <xdr:rowOff>85725</xdr:rowOff>
    </xdr:to>
    <xdr:sp macro="" textlink="">
      <xdr:nvSpPr>
        <xdr:cNvPr id="4353330" name="Text Box 2"/>
        <xdr:cNvSpPr txBox="1">
          <a:spLocks noChangeArrowheads="1"/>
        </xdr:cNvSpPr>
      </xdr:nvSpPr>
      <xdr:spPr bwMode="auto">
        <a:xfrm>
          <a:off x="2400300" y="34651950"/>
          <a:ext cx="5048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3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3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3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34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3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36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3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38" name="Text Box 3155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39" name="Text Box 3156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40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4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4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4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4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4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4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4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4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4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5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5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5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5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5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5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5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5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5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59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6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6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6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6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6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6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6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6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6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6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7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7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7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7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7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7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7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476250</xdr:colOff>
      <xdr:row>96</xdr:row>
      <xdr:rowOff>85725</xdr:rowOff>
    </xdr:to>
    <xdr:sp macro="" textlink="">
      <xdr:nvSpPr>
        <xdr:cNvPr id="4353377" name="Text Box 2"/>
        <xdr:cNvSpPr txBox="1">
          <a:spLocks noChangeArrowheads="1"/>
        </xdr:cNvSpPr>
      </xdr:nvSpPr>
      <xdr:spPr bwMode="auto">
        <a:xfrm>
          <a:off x="590550" y="3465195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78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7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80" name="Text Box 3155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381" name="Text Box 3156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8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8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8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8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8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8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8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89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9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9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9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9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9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9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9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39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39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39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0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0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0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0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0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0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0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0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0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0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1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1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1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1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1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1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1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1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1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476250</xdr:colOff>
      <xdr:row>96</xdr:row>
      <xdr:rowOff>85725</xdr:rowOff>
    </xdr:to>
    <xdr:sp macro="" textlink="">
      <xdr:nvSpPr>
        <xdr:cNvPr id="4353419" name="Text Box 2"/>
        <xdr:cNvSpPr txBox="1">
          <a:spLocks noChangeArrowheads="1"/>
        </xdr:cNvSpPr>
      </xdr:nvSpPr>
      <xdr:spPr bwMode="auto">
        <a:xfrm>
          <a:off x="590550" y="3465195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20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2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22" name="Text Box 3155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23" name="Text Box 3156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24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2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26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2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2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2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3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3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3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3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3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3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3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3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3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3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40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41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4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4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4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4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4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4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4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49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5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5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5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5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5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5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5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5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5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5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6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6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6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476250</xdr:colOff>
      <xdr:row>96</xdr:row>
      <xdr:rowOff>85725</xdr:rowOff>
    </xdr:to>
    <xdr:sp macro="" textlink="">
      <xdr:nvSpPr>
        <xdr:cNvPr id="4353463" name="Text Box 2"/>
        <xdr:cNvSpPr txBox="1">
          <a:spLocks noChangeArrowheads="1"/>
        </xdr:cNvSpPr>
      </xdr:nvSpPr>
      <xdr:spPr bwMode="auto">
        <a:xfrm>
          <a:off x="590550" y="3465195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64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6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66" name="Text Box 3155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467" name="Text Box 3156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68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6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70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7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72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73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7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7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7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77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7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7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8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8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8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8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84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85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8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87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88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89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9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91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9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93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9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95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96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497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498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499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500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501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502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50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504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1857375</xdr:colOff>
      <xdr:row>96</xdr:row>
      <xdr:rowOff>85725</xdr:rowOff>
    </xdr:to>
    <xdr:sp macro="" textlink="">
      <xdr:nvSpPr>
        <xdr:cNvPr id="4353505" name="Text Box 1"/>
        <xdr:cNvSpPr txBox="1">
          <a:spLocks noChangeArrowheads="1"/>
        </xdr:cNvSpPr>
      </xdr:nvSpPr>
      <xdr:spPr bwMode="auto">
        <a:xfrm>
          <a:off x="1733550" y="34651950"/>
          <a:ext cx="3810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506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96</xdr:row>
      <xdr:rowOff>0</xdr:rowOff>
    </xdr:from>
    <xdr:to>
      <xdr:col>1</xdr:col>
      <xdr:colOff>476250</xdr:colOff>
      <xdr:row>96</xdr:row>
      <xdr:rowOff>85725</xdr:rowOff>
    </xdr:to>
    <xdr:sp macro="" textlink="">
      <xdr:nvSpPr>
        <xdr:cNvPr id="4353507" name="Text Box 2"/>
        <xdr:cNvSpPr txBox="1">
          <a:spLocks noChangeArrowheads="1"/>
        </xdr:cNvSpPr>
      </xdr:nvSpPr>
      <xdr:spPr bwMode="auto">
        <a:xfrm>
          <a:off x="590550" y="34651950"/>
          <a:ext cx="1428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508" name="Text Box 1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96</xdr:row>
      <xdr:rowOff>0</xdr:rowOff>
    </xdr:from>
    <xdr:to>
      <xdr:col>1</xdr:col>
      <xdr:colOff>2590800</xdr:colOff>
      <xdr:row>96</xdr:row>
      <xdr:rowOff>85725</xdr:rowOff>
    </xdr:to>
    <xdr:sp macro="" textlink="">
      <xdr:nvSpPr>
        <xdr:cNvPr id="4353509" name="Text Box 2"/>
        <xdr:cNvSpPr txBox="1">
          <a:spLocks noChangeArrowheads="1"/>
        </xdr:cNvSpPr>
      </xdr:nvSpPr>
      <xdr:spPr bwMode="auto">
        <a:xfrm>
          <a:off x="2352675" y="34651950"/>
          <a:ext cx="495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510" name="Text Box 3155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96</xdr:row>
      <xdr:rowOff>0</xdr:rowOff>
    </xdr:from>
    <xdr:to>
      <xdr:col>1</xdr:col>
      <xdr:colOff>1847850</xdr:colOff>
      <xdr:row>96</xdr:row>
      <xdr:rowOff>85725</xdr:rowOff>
    </xdr:to>
    <xdr:sp macro="" textlink="">
      <xdr:nvSpPr>
        <xdr:cNvPr id="4353511" name="Text Box 3156"/>
        <xdr:cNvSpPr txBox="1">
          <a:spLocks noChangeArrowheads="1"/>
        </xdr:cNvSpPr>
      </xdr:nvSpPr>
      <xdr:spPr bwMode="auto">
        <a:xfrm>
          <a:off x="1733550" y="34651950"/>
          <a:ext cx="3714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512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96</xdr:row>
      <xdr:rowOff>0</xdr:rowOff>
    </xdr:from>
    <xdr:to>
      <xdr:col>1</xdr:col>
      <xdr:colOff>285750</xdr:colOff>
      <xdr:row>96</xdr:row>
      <xdr:rowOff>85725</xdr:rowOff>
    </xdr:to>
    <xdr:sp macro="" textlink="">
      <xdr:nvSpPr>
        <xdr:cNvPr id="4353513" name="Text Box 2"/>
        <xdr:cNvSpPr txBox="1">
          <a:spLocks noChangeArrowheads="1"/>
        </xdr:cNvSpPr>
      </xdr:nvSpPr>
      <xdr:spPr bwMode="auto">
        <a:xfrm>
          <a:off x="428625" y="34651950"/>
          <a:ext cx="1143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1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2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6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7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8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39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0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1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2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3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1476375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4" name="Text Box 1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2095500</xdr:colOff>
      <xdr:row>65</xdr:row>
      <xdr:rowOff>0</xdr:rowOff>
    </xdr:from>
    <xdr:to>
      <xdr:col>1</xdr:col>
      <xdr:colOff>66675</xdr:colOff>
      <xdr:row>65</xdr:row>
      <xdr:rowOff>66675</xdr:rowOff>
    </xdr:to>
    <xdr:sp macro="" textlink="">
      <xdr:nvSpPr>
        <xdr:cNvPr id="4353545" name="Text Box 2"/>
        <xdr:cNvSpPr txBox="1">
          <a:spLocks noChangeArrowheads="1"/>
        </xdr:cNvSpPr>
      </xdr:nvSpPr>
      <xdr:spPr bwMode="auto">
        <a:xfrm>
          <a:off x="257175" y="213074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46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4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48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4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50" name="Text Box 19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51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2809875</xdr:colOff>
      <xdr:row>65</xdr:row>
      <xdr:rowOff>0</xdr:rowOff>
    </xdr:from>
    <xdr:to>
      <xdr:col>1</xdr:col>
      <xdr:colOff>3448050</xdr:colOff>
      <xdr:row>65</xdr:row>
      <xdr:rowOff>66675</xdr:rowOff>
    </xdr:to>
    <xdr:sp macro="" textlink="">
      <xdr:nvSpPr>
        <xdr:cNvPr id="4353552" name="Text Box 2"/>
        <xdr:cNvSpPr txBox="1">
          <a:spLocks noChangeArrowheads="1"/>
        </xdr:cNvSpPr>
      </xdr:nvSpPr>
      <xdr:spPr bwMode="auto">
        <a:xfrm>
          <a:off x="3067050" y="21307425"/>
          <a:ext cx="6381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53" name="Text Box 194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54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1276350</xdr:colOff>
      <xdr:row>65</xdr:row>
      <xdr:rowOff>0</xdr:rowOff>
    </xdr:from>
    <xdr:to>
      <xdr:col>1</xdr:col>
      <xdr:colOff>1609725</xdr:colOff>
      <xdr:row>65</xdr:row>
      <xdr:rowOff>66675</xdr:rowOff>
    </xdr:to>
    <xdr:sp macro="" textlink="">
      <xdr:nvSpPr>
        <xdr:cNvPr id="4353555" name="Text Box 2"/>
        <xdr:cNvSpPr txBox="1">
          <a:spLocks noChangeArrowheads="1"/>
        </xdr:cNvSpPr>
      </xdr:nvSpPr>
      <xdr:spPr bwMode="auto">
        <a:xfrm>
          <a:off x="1533525" y="21307425"/>
          <a:ext cx="3333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56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57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5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59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60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6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6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6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6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6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6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6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6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6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7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7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7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7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7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7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7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7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7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7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8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8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8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8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8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8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8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8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8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58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59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9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592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3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59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5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6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7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8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599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00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01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02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0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0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0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0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0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08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09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1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1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1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1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1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1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1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1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1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1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2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2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2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2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2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2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2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2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2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2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3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3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3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3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3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3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3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3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3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3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4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4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4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4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4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4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4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981075</xdr:colOff>
      <xdr:row>65</xdr:row>
      <xdr:rowOff>0</xdr:rowOff>
    </xdr:from>
    <xdr:to>
      <xdr:col>1</xdr:col>
      <xdr:colOff>1257300</xdr:colOff>
      <xdr:row>65</xdr:row>
      <xdr:rowOff>66675</xdr:rowOff>
    </xdr:to>
    <xdr:sp macro="" textlink="">
      <xdr:nvSpPr>
        <xdr:cNvPr id="4353647" name="Text Box 2"/>
        <xdr:cNvSpPr txBox="1">
          <a:spLocks noChangeArrowheads="1"/>
        </xdr:cNvSpPr>
      </xdr:nvSpPr>
      <xdr:spPr bwMode="auto">
        <a:xfrm>
          <a:off x="1238250" y="21307425"/>
          <a:ext cx="2762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48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2057400</xdr:colOff>
      <xdr:row>65</xdr:row>
      <xdr:rowOff>0</xdr:rowOff>
    </xdr:from>
    <xdr:to>
      <xdr:col>1</xdr:col>
      <xdr:colOff>2543175</xdr:colOff>
      <xdr:row>65</xdr:row>
      <xdr:rowOff>66675</xdr:rowOff>
    </xdr:to>
    <xdr:sp macro="" textlink="">
      <xdr:nvSpPr>
        <xdr:cNvPr id="4353649" name="Text Box 2"/>
        <xdr:cNvSpPr txBox="1">
          <a:spLocks noChangeArrowheads="1"/>
        </xdr:cNvSpPr>
      </xdr:nvSpPr>
      <xdr:spPr bwMode="auto">
        <a:xfrm>
          <a:off x="2314575" y="21307425"/>
          <a:ext cx="4857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655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5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657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658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5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6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6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6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6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6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6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6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6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6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6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7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7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7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7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7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7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7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7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7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7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8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8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8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8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8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8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8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8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8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8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9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9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69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9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69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9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66675</xdr:rowOff>
    </xdr:to>
    <xdr:sp macro="" textlink="">
      <xdr:nvSpPr>
        <xdr:cNvPr id="4353696" name="Text Box 2"/>
        <xdr:cNvSpPr txBox="1">
          <a:spLocks noChangeArrowheads="1"/>
        </xdr:cNvSpPr>
      </xdr:nvSpPr>
      <xdr:spPr bwMode="auto">
        <a:xfrm>
          <a:off x="590550" y="213074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697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69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699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00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0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0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0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0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0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0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0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0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0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1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1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1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1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1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1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1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1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1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1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2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2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2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2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2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2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2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2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2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2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3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3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3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3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3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3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3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3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333375</xdr:colOff>
      <xdr:row>65</xdr:row>
      <xdr:rowOff>0</xdr:rowOff>
    </xdr:from>
    <xdr:to>
      <xdr:col>1</xdr:col>
      <xdr:colOff>476250</xdr:colOff>
      <xdr:row>65</xdr:row>
      <xdr:rowOff>66675</xdr:rowOff>
    </xdr:to>
    <xdr:sp macro="" textlink="">
      <xdr:nvSpPr>
        <xdr:cNvPr id="4353738" name="Text Box 2"/>
        <xdr:cNvSpPr txBox="1">
          <a:spLocks noChangeArrowheads="1"/>
        </xdr:cNvSpPr>
      </xdr:nvSpPr>
      <xdr:spPr bwMode="auto">
        <a:xfrm>
          <a:off x="590550" y="21307425"/>
          <a:ext cx="1428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39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4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41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42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4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4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4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4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4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4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4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5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5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5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5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5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5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5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5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5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5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6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6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62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6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6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6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6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6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68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6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7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7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7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7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74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7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7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7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7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79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8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8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82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8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84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785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86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8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88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8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90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91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9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9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9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95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9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79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79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79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0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0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02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03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0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05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06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07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0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09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1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11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1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13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14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15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16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17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18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19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20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21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22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1857375</xdr:colOff>
      <xdr:row>65</xdr:row>
      <xdr:rowOff>66675</xdr:rowOff>
    </xdr:to>
    <xdr:sp macro="" textlink="">
      <xdr:nvSpPr>
        <xdr:cNvPr id="4353823" name="Text Box 1"/>
        <xdr:cNvSpPr txBox="1">
          <a:spLocks noChangeArrowheads="1"/>
        </xdr:cNvSpPr>
      </xdr:nvSpPr>
      <xdr:spPr bwMode="auto">
        <a:xfrm>
          <a:off x="1733550" y="21307425"/>
          <a:ext cx="3810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24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314325</xdr:colOff>
      <xdr:row>65</xdr:row>
      <xdr:rowOff>76200</xdr:rowOff>
    </xdr:to>
    <xdr:sp macro="" textlink="">
      <xdr:nvSpPr>
        <xdr:cNvPr id="4353825" name="Text Box 2"/>
        <xdr:cNvSpPr txBox="1">
          <a:spLocks noChangeArrowheads="1"/>
        </xdr:cNvSpPr>
      </xdr:nvSpPr>
      <xdr:spPr bwMode="auto">
        <a:xfrm>
          <a:off x="4857750" y="21307425"/>
          <a:ext cx="1143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826" name="Text Box 1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2095500</xdr:colOff>
      <xdr:row>65</xdr:row>
      <xdr:rowOff>0</xdr:rowOff>
    </xdr:from>
    <xdr:to>
      <xdr:col>1</xdr:col>
      <xdr:colOff>2590800</xdr:colOff>
      <xdr:row>65</xdr:row>
      <xdr:rowOff>66675</xdr:rowOff>
    </xdr:to>
    <xdr:sp macro="" textlink="">
      <xdr:nvSpPr>
        <xdr:cNvPr id="4353827" name="Text Box 2"/>
        <xdr:cNvSpPr txBox="1">
          <a:spLocks noChangeArrowheads="1"/>
        </xdr:cNvSpPr>
      </xdr:nvSpPr>
      <xdr:spPr bwMode="auto">
        <a:xfrm>
          <a:off x="2352675" y="21307425"/>
          <a:ext cx="495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828" name="Text Box 3155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65</xdr:row>
      <xdr:rowOff>0</xdr:rowOff>
    </xdr:from>
    <xdr:to>
      <xdr:col>1</xdr:col>
      <xdr:colOff>1847850</xdr:colOff>
      <xdr:row>65</xdr:row>
      <xdr:rowOff>66675</xdr:rowOff>
    </xdr:to>
    <xdr:sp macro="" textlink="">
      <xdr:nvSpPr>
        <xdr:cNvPr id="4353829" name="Text Box 3156"/>
        <xdr:cNvSpPr txBox="1">
          <a:spLocks noChangeArrowheads="1"/>
        </xdr:cNvSpPr>
      </xdr:nvSpPr>
      <xdr:spPr bwMode="auto">
        <a:xfrm>
          <a:off x="1733550" y="21307425"/>
          <a:ext cx="3714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65</xdr:row>
      <xdr:rowOff>0</xdr:rowOff>
    </xdr:from>
    <xdr:to>
      <xdr:col>1</xdr:col>
      <xdr:colOff>285750</xdr:colOff>
      <xdr:row>65</xdr:row>
      <xdr:rowOff>66675</xdr:rowOff>
    </xdr:to>
    <xdr:sp macro="" textlink="">
      <xdr:nvSpPr>
        <xdr:cNvPr id="4353830" name="Text Box 2"/>
        <xdr:cNvSpPr txBox="1">
          <a:spLocks noChangeArrowheads="1"/>
        </xdr:cNvSpPr>
      </xdr:nvSpPr>
      <xdr:spPr bwMode="auto">
        <a:xfrm>
          <a:off x="428625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2867025</xdr:colOff>
      <xdr:row>65</xdr:row>
      <xdr:rowOff>0</xdr:rowOff>
    </xdr:from>
    <xdr:to>
      <xdr:col>1</xdr:col>
      <xdr:colOff>3514725</xdr:colOff>
      <xdr:row>65</xdr:row>
      <xdr:rowOff>66675</xdr:rowOff>
    </xdr:to>
    <xdr:sp macro="" textlink="">
      <xdr:nvSpPr>
        <xdr:cNvPr id="4353831" name="Text Box 2"/>
        <xdr:cNvSpPr txBox="1">
          <a:spLocks noChangeArrowheads="1"/>
        </xdr:cNvSpPr>
      </xdr:nvSpPr>
      <xdr:spPr bwMode="auto">
        <a:xfrm>
          <a:off x="3124200" y="21307425"/>
          <a:ext cx="6477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65</xdr:row>
      <xdr:rowOff>0</xdr:rowOff>
    </xdr:from>
    <xdr:to>
      <xdr:col>2</xdr:col>
      <xdr:colOff>314325</xdr:colOff>
      <xdr:row>65</xdr:row>
      <xdr:rowOff>66675</xdr:rowOff>
    </xdr:to>
    <xdr:sp macro="" textlink="">
      <xdr:nvSpPr>
        <xdr:cNvPr id="4353832" name="Text Box 2"/>
        <xdr:cNvSpPr txBox="1">
          <a:spLocks noChangeArrowheads="1"/>
        </xdr:cNvSpPr>
      </xdr:nvSpPr>
      <xdr:spPr bwMode="auto">
        <a:xfrm>
          <a:off x="4857750" y="21307425"/>
          <a:ext cx="1143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14</xdr:row>
      <xdr:rowOff>76200</xdr:rowOff>
    </xdr:from>
    <xdr:to>
      <xdr:col>1</xdr:col>
      <xdr:colOff>304800</xdr:colOff>
      <xdr:row>14</xdr:row>
      <xdr:rowOff>85725</xdr:rowOff>
    </xdr:to>
    <xdr:sp macro="" textlink="">
      <xdr:nvSpPr>
        <xdr:cNvPr id="4354048" name="Text Box 2"/>
        <xdr:cNvSpPr txBox="1">
          <a:spLocks noChangeArrowheads="1"/>
        </xdr:cNvSpPr>
      </xdr:nvSpPr>
      <xdr:spPr bwMode="auto">
        <a:xfrm>
          <a:off x="466725" y="31527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4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5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6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7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077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14</xdr:row>
      <xdr:rowOff>180975</xdr:rowOff>
    </xdr:from>
    <xdr:to>
      <xdr:col>1</xdr:col>
      <xdr:colOff>361950</xdr:colOff>
      <xdr:row>14</xdr:row>
      <xdr:rowOff>190500</xdr:rowOff>
    </xdr:to>
    <xdr:sp macro="" textlink="">
      <xdr:nvSpPr>
        <xdr:cNvPr id="4354078" name="Text Box 1"/>
        <xdr:cNvSpPr txBox="1">
          <a:spLocks noChangeArrowheads="1"/>
        </xdr:cNvSpPr>
      </xdr:nvSpPr>
      <xdr:spPr bwMode="auto">
        <a:xfrm>
          <a:off x="504825" y="3257550"/>
          <a:ext cx="161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079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14</xdr:row>
      <xdr:rowOff>76200</xdr:rowOff>
    </xdr:from>
    <xdr:to>
      <xdr:col>1</xdr:col>
      <xdr:colOff>304800</xdr:colOff>
      <xdr:row>14</xdr:row>
      <xdr:rowOff>85725</xdr:rowOff>
    </xdr:to>
    <xdr:sp macro="" textlink="">
      <xdr:nvSpPr>
        <xdr:cNvPr id="4354080" name="Text Box 2"/>
        <xdr:cNvSpPr txBox="1">
          <a:spLocks noChangeArrowheads="1"/>
        </xdr:cNvSpPr>
      </xdr:nvSpPr>
      <xdr:spPr bwMode="auto">
        <a:xfrm>
          <a:off x="466725" y="31527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8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09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0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109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14</xdr:row>
      <xdr:rowOff>180975</xdr:rowOff>
    </xdr:from>
    <xdr:to>
      <xdr:col>1</xdr:col>
      <xdr:colOff>361950</xdr:colOff>
      <xdr:row>14</xdr:row>
      <xdr:rowOff>190500</xdr:rowOff>
    </xdr:to>
    <xdr:sp macro="" textlink="">
      <xdr:nvSpPr>
        <xdr:cNvPr id="4354110" name="Text Box 1"/>
        <xdr:cNvSpPr txBox="1">
          <a:spLocks noChangeArrowheads="1"/>
        </xdr:cNvSpPr>
      </xdr:nvSpPr>
      <xdr:spPr bwMode="auto">
        <a:xfrm>
          <a:off x="504825" y="3257550"/>
          <a:ext cx="161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111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14</xdr:row>
      <xdr:rowOff>76200</xdr:rowOff>
    </xdr:from>
    <xdr:to>
      <xdr:col>1</xdr:col>
      <xdr:colOff>304800</xdr:colOff>
      <xdr:row>14</xdr:row>
      <xdr:rowOff>85725</xdr:rowOff>
    </xdr:to>
    <xdr:sp macro="" textlink="">
      <xdr:nvSpPr>
        <xdr:cNvPr id="4354112" name="Text Box 2"/>
        <xdr:cNvSpPr txBox="1">
          <a:spLocks noChangeArrowheads="1"/>
        </xdr:cNvSpPr>
      </xdr:nvSpPr>
      <xdr:spPr bwMode="auto">
        <a:xfrm>
          <a:off x="466725" y="3152775"/>
          <a:ext cx="142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113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114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1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1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1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1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1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2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3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14</xdr:row>
      <xdr:rowOff>152400</xdr:rowOff>
    </xdr:from>
    <xdr:to>
      <xdr:col>1</xdr:col>
      <xdr:colOff>571500</xdr:colOff>
      <xdr:row>14</xdr:row>
      <xdr:rowOff>152400</xdr:rowOff>
    </xdr:to>
    <xdr:sp macro="" textlink="">
      <xdr:nvSpPr>
        <xdr:cNvPr id="4354143" name="Text Box 1"/>
        <xdr:cNvSpPr txBox="1">
          <a:spLocks noChangeArrowheads="1"/>
        </xdr:cNvSpPr>
      </xdr:nvSpPr>
      <xdr:spPr bwMode="auto">
        <a:xfrm>
          <a:off x="657225" y="322897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14</xdr:row>
      <xdr:rowOff>180975</xdr:rowOff>
    </xdr:from>
    <xdr:to>
      <xdr:col>1</xdr:col>
      <xdr:colOff>361950</xdr:colOff>
      <xdr:row>14</xdr:row>
      <xdr:rowOff>190500</xdr:rowOff>
    </xdr:to>
    <xdr:sp macro="" textlink="">
      <xdr:nvSpPr>
        <xdr:cNvPr id="4354144" name="Text Box 1"/>
        <xdr:cNvSpPr txBox="1">
          <a:spLocks noChangeArrowheads="1"/>
        </xdr:cNvSpPr>
      </xdr:nvSpPr>
      <xdr:spPr bwMode="auto">
        <a:xfrm>
          <a:off x="504825" y="3257550"/>
          <a:ext cx="1619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15</xdr:row>
      <xdr:rowOff>161925</xdr:rowOff>
    </xdr:from>
    <xdr:to>
      <xdr:col>2</xdr:col>
      <xdr:colOff>1228725</xdr:colOff>
      <xdr:row>15</xdr:row>
      <xdr:rowOff>171450</xdr:rowOff>
    </xdr:to>
    <xdr:sp macro="" textlink="">
      <xdr:nvSpPr>
        <xdr:cNvPr id="4354145" name="Text Box 1"/>
        <xdr:cNvSpPr txBox="1">
          <a:spLocks noChangeArrowheads="1"/>
        </xdr:cNvSpPr>
      </xdr:nvSpPr>
      <xdr:spPr bwMode="auto">
        <a:xfrm>
          <a:off x="2314575" y="3924300"/>
          <a:ext cx="4191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16</xdr:row>
      <xdr:rowOff>152400</xdr:rowOff>
    </xdr:from>
    <xdr:to>
      <xdr:col>5</xdr:col>
      <xdr:colOff>0</xdr:colOff>
      <xdr:row>16</xdr:row>
      <xdr:rowOff>152400</xdr:rowOff>
    </xdr:to>
    <xdr:sp macro="" textlink="">
      <xdr:nvSpPr>
        <xdr:cNvPr id="4354146" name="Text Box 2"/>
        <xdr:cNvSpPr txBox="1">
          <a:spLocks noChangeArrowheads="1"/>
        </xdr:cNvSpPr>
      </xdr:nvSpPr>
      <xdr:spPr bwMode="auto">
        <a:xfrm>
          <a:off x="4524375" y="4191000"/>
          <a:ext cx="2619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4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5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5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6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7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8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69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70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71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72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73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314325</xdr:colOff>
      <xdr:row>14</xdr:row>
      <xdr:rowOff>114300</xdr:rowOff>
    </xdr:to>
    <xdr:sp macro="" textlink="">
      <xdr:nvSpPr>
        <xdr:cNvPr id="4354174" name="Text Box 2"/>
        <xdr:cNvSpPr txBox="1">
          <a:spLocks noChangeArrowheads="1"/>
        </xdr:cNvSpPr>
      </xdr:nvSpPr>
      <xdr:spPr bwMode="auto">
        <a:xfrm>
          <a:off x="476250" y="3076575"/>
          <a:ext cx="1428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17</xdr:row>
      <xdr:rowOff>66675</xdr:rowOff>
    </xdr:from>
    <xdr:to>
      <xdr:col>10</xdr:col>
      <xdr:colOff>581025</xdr:colOff>
      <xdr:row>17</xdr:row>
      <xdr:rowOff>66675</xdr:rowOff>
    </xdr:to>
    <xdr:sp macro="" textlink="">
      <xdr:nvSpPr>
        <xdr:cNvPr id="4354175" name="Text Box 2"/>
        <xdr:cNvSpPr txBox="1">
          <a:spLocks noChangeArrowheads="1"/>
        </xdr:cNvSpPr>
      </xdr:nvSpPr>
      <xdr:spPr bwMode="auto">
        <a:xfrm>
          <a:off x="9515475" y="4381500"/>
          <a:ext cx="1800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160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6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7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8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189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190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191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192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19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0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1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2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221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222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223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224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225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226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2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2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2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3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4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255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256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14</xdr:row>
      <xdr:rowOff>161925</xdr:rowOff>
    </xdr:from>
    <xdr:to>
      <xdr:col>2</xdr:col>
      <xdr:colOff>885825</xdr:colOff>
      <xdr:row>15</xdr:row>
      <xdr:rowOff>0</xdr:rowOff>
    </xdr:to>
    <xdr:sp macro="" textlink="">
      <xdr:nvSpPr>
        <xdr:cNvPr id="4331257" name="Text Box 1"/>
        <xdr:cNvSpPr txBox="1">
          <a:spLocks noChangeArrowheads="1"/>
        </xdr:cNvSpPr>
      </xdr:nvSpPr>
      <xdr:spPr bwMode="auto">
        <a:xfrm>
          <a:off x="1895475" y="514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15</xdr:row>
      <xdr:rowOff>152400</xdr:rowOff>
    </xdr:from>
    <xdr:to>
      <xdr:col>3</xdr:col>
      <xdr:colOff>28575</xdr:colOff>
      <xdr:row>16</xdr:row>
      <xdr:rowOff>66675</xdr:rowOff>
    </xdr:to>
    <xdr:sp macro="" textlink="">
      <xdr:nvSpPr>
        <xdr:cNvPr id="4331258" name="Text Box 2"/>
        <xdr:cNvSpPr txBox="1">
          <a:spLocks noChangeArrowheads="1"/>
        </xdr:cNvSpPr>
      </xdr:nvSpPr>
      <xdr:spPr bwMode="auto">
        <a:xfrm>
          <a:off x="4105275" y="5400675"/>
          <a:ext cx="1162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5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6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7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287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8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29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0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1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16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317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18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319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2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3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4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48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349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50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238125</xdr:colOff>
      <xdr:row>13</xdr:row>
      <xdr:rowOff>161925</xdr:rowOff>
    </xdr:to>
    <xdr:sp macro="" textlink="">
      <xdr:nvSpPr>
        <xdr:cNvPr id="4331351" name="Text Box 2"/>
        <xdr:cNvSpPr txBox="1">
          <a:spLocks noChangeArrowheads="1"/>
        </xdr:cNvSpPr>
      </xdr:nvSpPr>
      <xdr:spPr bwMode="auto">
        <a:xfrm>
          <a:off x="476250" y="4391025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52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428625</xdr:colOff>
      <xdr:row>13</xdr:row>
      <xdr:rowOff>161925</xdr:rowOff>
    </xdr:to>
    <xdr:sp macro="" textlink="">
      <xdr:nvSpPr>
        <xdr:cNvPr id="4331353" name="Text Box 1"/>
        <xdr:cNvSpPr txBox="1">
          <a:spLocks noChangeArrowheads="1"/>
        </xdr:cNvSpPr>
      </xdr:nvSpPr>
      <xdr:spPr bwMode="auto">
        <a:xfrm>
          <a:off x="666750" y="446722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5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6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7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400050</xdr:colOff>
      <xdr:row>17</xdr:row>
      <xdr:rowOff>0</xdr:rowOff>
    </xdr:from>
    <xdr:to>
      <xdr:col>4</xdr:col>
      <xdr:colOff>476250</xdr:colOff>
      <xdr:row>17</xdr:row>
      <xdr:rowOff>9525</xdr:rowOff>
    </xdr:to>
    <xdr:sp macro="" textlink="">
      <xdr:nvSpPr>
        <xdr:cNvPr id="4331382" name="Text Box 1"/>
        <xdr:cNvSpPr txBox="1">
          <a:spLocks noChangeArrowheads="1"/>
        </xdr:cNvSpPr>
      </xdr:nvSpPr>
      <xdr:spPr bwMode="auto">
        <a:xfrm>
          <a:off x="6334125" y="58102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276225</xdr:colOff>
      <xdr:row>13</xdr:row>
      <xdr:rowOff>180975</xdr:rowOff>
    </xdr:to>
    <xdr:sp macro="" textlink="">
      <xdr:nvSpPr>
        <xdr:cNvPr id="4331383" name="Text Box 1"/>
        <xdr:cNvSpPr txBox="1">
          <a:spLocks noChangeArrowheads="1"/>
        </xdr:cNvSpPr>
      </xdr:nvSpPr>
      <xdr:spPr bwMode="auto">
        <a:xfrm>
          <a:off x="514350" y="44958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14</xdr:row>
      <xdr:rowOff>161925</xdr:rowOff>
    </xdr:from>
    <xdr:to>
      <xdr:col>2</xdr:col>
      <xdr:colOff>885825</xdr:colOff>
      <xdr:row>15</xdr:row>
      <xdr:rowOff>0</xdr:rowOff>
    </xdr:to>
    <xdr:sp macro="" textlink="">
      <xdr:nvSpPr>
        <xdr:cNvPr id="4331384" name="Text Box 1"/>
        <xdr:cNvSpPr txBox="1">
          <a:spLocks noChangeArrowheads="1"/>
        </xdr:cNvSpPr>
      </xdr:nvSpPr>
      <xdr:spPr bwMode="auto">
        <a:xfrm>
          <a:off x="1895475" y="5143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15</xdr:row>
      <xdr:rowOff>152400</xdr:rowOff>
    </xdr:from>
    <xdr:to>
      <xdr:col>3</xdr:col>
      <xdr:colOff>66675</xdr:colOff>
      <xdr:row>16</xdr:row>
      <xdr:rowOff>66675</xdr:rowOff>
    </xdr:to>
    <xdr:sp macro="" textlink="">
      <xdr:nvSpPr>
        <xdr:cNvPr id="4331385" name="Text Box 2"/>
        <xdr:cNvSpPr txBox="1">
          <a:spLocks noChangeArrowheads="1"/>
        </xdr:cNvSpPr>
      </xdr:nvSpPr>
      <xdr:spPr bwMode="auto">
        <a:xfrm>
          <a:off x="4105275" y="5400675"/>
          <a:ext cx="1200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8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39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4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5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6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7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8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09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10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11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12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247650</xdr:colOff>
      <xdr:row>13</xdr:row>
      <xdr:rowOff>161925</xdr:rowOff>
    </xdr:to>
    <xdr:sp macro="" textlink="">
      <xdr:nvSpPr>
        <xdr:cNvPr id="4331413" name="Text Box 2"/>
        <xdr:cNvSpPr txBox="1">
          <a:spLocks noChangeArrowheads="1"/>
        </xdr:cNvSpPr>
      </xdr:nvSpPr>
      <xdr:spPr bwMode="auto">
        <a:xfrm>
          <a:off x="485775" y="43148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168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6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7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8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19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197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198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199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200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0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1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2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229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230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231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232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233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234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3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3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3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3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3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4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5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263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264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14</xdr:row>
      <xdr:rowOff>161925</xdr:rowOff>
    </xdr:from>
    <xdr:to>
      <xdr:col>2</xdr:col>
      <xdr:colOff>1181100</xdr:colOff>
      <xdr:row>14</xdr:row>
      <xdr:rowOff>161925</xdr:rowOff>
    </xdr:to>
    <xdr:sp macro="" textlink="">
      <xdr:nvSpPr>
        <xdr:cNvPr id="4346265" name="Text Box 1"/>
        <xdr:cNvSpPr txBox="1">
          <a:spLocks noChangeArrowheads="1"/>
        </xdr:cNvSpPr>
      </xdr:nvSpPr>
      <xdr:spPr bwMode="auto">
        <a:xfrm>
          <a:off x="2352675" y="50101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15</xdr:row>
      <xdr:rowOff>152400</xdr:rowOff>
    </xdr:from>
    <xdr:to>
      <xdr:col>4</xdr:col>
      <xdr:colOff>819150</xdr:colOff>
      <xdr:row>15</xdr:row>
      <xdr:rowOff>152400</xdr:rowOff>
    </xdr:to>
    <xdr:sp macro="" textlink="">
      <xdr:nvSpPr>
        <xdr:cNvPr id="4346266" name="Text Box 2"/>
        <xdr:cNvSpPr txBox="1">
          <a:spLocks noChangeArrowheads="1"/>
        </xdr:cNvSpPr>
      </xdr:nvSpPr>
      <xdr:spPr bwMode="auto">
        <a:xfrm>
          <a:off x="4562475" y="52673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6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7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8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295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29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0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1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24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325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26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327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2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3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4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5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56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357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58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359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60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61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6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7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8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390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391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14</xdr:row>
      <xdr:rowOff>161925</xdr:rowOff>
    </xdr:from>
    <xdr:to>
      <xdr:col>2</xdr:col>
      <xdr:colOff>1181100</xdr:colOff>
      <xdr:row>14</xdr:row>
      <xdr:rowOff>161925</xdr:rowOff>
    </xdr:to>
    <xdr:sp macro="" textlink="">
      <xdr:nvSpPr>
        <xdr:cNvPr id="4346392" name="Text Box 1"/>
        <xdr:cNvSpPr txBox="1">
          <a:spLocks noChangeArrowheads="1"/>
        </xdr:cNvSpPr>
      </xdr:nvSpPr>
      <xdr:spPr bwMode="auto">
        <a:xfrm>
          <a:off x="2352675" y="50101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15</xdr:row>
      <xdr:rowOff>152400</xdr:rowOff>
    </xdr:from>
    <xdr:to>
      <xdr:col>4</xdr:col>
      <xdr:colOff>819150</xdr:colOff>
      <xdr:row>15</xdr:row>
      <xdr:rowOff>152400</xdr:rowOff>
    </xdr:to>
    <xdr:sp macro="" textlink="">
      <xdr:nvSpPr>
        <xdr:cNvPr id="4346393" name="Text Box 2"/>
        <xdr:cNvSpPr txBox="1">
          <a:spLocks noChangeArrowheads="1"/>
        </xdr:cNvSpPr>
      </xdr:nvSpPr>
      <xdr:spPr bwMode="auto">
        <a:xfrm>
          <a:off x="4562475" y="5267325"/>
          <a:ext cx="2343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39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0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1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422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2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3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4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51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452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53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454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5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6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7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8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8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8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83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484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85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13</xdr:row>
      <xdr:rowOff>76200</xdr:rowOff>
    </xdr:from>
    <xdr:to>
      <xdr:col>1</xdr:col>
      <xdr:colOff>295275</xdr:colOff>
      <xdr:row>13</xdr:row>
      <xdr:rowOff>85725</xdr:rowOff>
    </xdr:to>
    <xdr:sp macro="" textlink="">
      <xdr:nvSpPr>
        <xdr:cNvPr id="4346486" name="Text Box 2"/>
        <xdr:cNvSpPr txBox="1">
          <a:spLocks noChangeArrowheads="1"/>
        </xdr:cNvSpPr>
      </xdr:nvSpPr>
      <xdr:spPr bwMode="auto">
        <a:xfrm>
          <a:off x="476250" y="4476750"/>
          <a:ext cx="1333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87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13</xdr:row>
      <xdr:rowOff>152400</xdr:rowOff>
    </xdr:from>
    <xdr:to>
      <xdr:col>1</xdr:col>
      <xdr:colOff>552450</xdr:colOff>
      <xdr:row>13</xdr:row>
      <xdr:rowOff>152400</xdr:rowOff>
    </xdr:to>
    <xdr:sp macro="" textlink="">
      <xdr:nvSpPr>
        <xdr:cNvPr id="4346488" name="Text Box 1"/>
        <xdr:cNvSpPr txBox="1">
          <a:spLocks noChangeArrowheads="1"/>
        </xdr:cNvSpPr>
      </xdr:nvSpPr>
      <xdr:spPr bwMode="auto">
        <a:xfrm>
          <a:off x="666750" y="455295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8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49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0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1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13</xdr:row>
      <xdr:rowOff>180975</xdr:rowOff>
    </xdr:from>
    <xdr:to>
      <xdr:col>1</xdr:col>
      <xdr:colOff>352425</xdr:colOff>
      <xdr:row>13</xdr:row>
      <xdr:rowOff>190500</xdr:rowOff>
    </xdr:to>
    <xdr:sp macro="" textlink="">
      <xdr:nvSpPr>
        <xdr:cNvPr id="4346517" name="Text Box 1"/>
        <xdr:cNvSpPr txBox="1">
          <a:spLocks noChangeArrowheads="1"/>
        </xdr:cNvSpPr>
      </xdr:nvSpPr>
      <xdr:spPr bwMode="auto">
        <a:xfrm>
          <a:off x="514350" y="4581525"/>
          <a:ext cx="1524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14</xdr:row>
      <xdr:rowOff>161925</xdr:rowOff>
    </xdr:from>
    <xdr:to>
      <xdr:col>2</xdr:col>
      <xdr:colOff>1181100</xdr:colOff>
      <xdr:row>14</xdr:row>
      <xdr:rowOff>161925</xdr:rowOff>
    </xdr:to>
    <xdr:sp macro="" textlink="">
      <xdr:nvSpPr>
        <xdr:cNvPr id="4346518" name="Text Box 1"/>
        <xdr:cNvSpPr txBox="1">
          <a:spLocks noChangeArrowheads="1"/>
        </xdr:cNvSpPr>
      </xdr:nvSpPr>
      <xdr:spPr bwMode="auto">
        <a:xfrm>
          <a:off x="2352675" y="5010150"/>
          <a:ext cx="371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15</xdr:row>
      <xdr:rowOff>152400</xdr:rowOff>
    </xdr:from>
    <xdr:to>
      <xdr:col>5</xdr:col>
      <xdr:colOff>0</xdr:colOff>
      <xdr:row>15</xdr:row>
      <xdr:rowOff>152400</xdr:rowOff>
    </xdr:to>
    <xdr:sp macro="" textlink="">
      <xdr:nvSpPr>
        <xdr:cNvPr id="4346519" name="Text Box 2"/>
        <xdr:cNvSpPr txBox="1">
          <a:spLocks noChangeArrowheads="1"/>
        </xdr:cNvSpPr>
      </xdr:nvSpPr>
      <xdr:spPr bwMode="auto">
        <a:xfrm>
          <a:off x="4562475" y="5267325"/>
          <a:ext cx="2352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2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8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39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0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1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2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3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4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5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6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0</xdr:rowOff>
    </xdr:from>
    <xdr:to>
      <xdr:col>1</xdr:col>
      <xdr:colOff>304800</xdr:colOff>
      <xdr:row>13</xdr:row>
      <xdr:rowOff>104775</xdr:rowOff>
    </xdr:to>
    <xdr:sp macro="" textlink="">
      <xdr:nvSpPr>
        <xdr:cNvPr id="4346547" name="Text Box 2"/>
        <xdr:cNvSpPr txBox="1">
          <a:spLocks noChangeArrowheads="1"/>
        </xdr:cNvSpPr>
      </xdr:nvSpPr>
      <xdr:spPr bwMode="auto">
        <a:xfrm>
          <a:off x="485775" y="4400550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201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0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1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2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30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231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32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233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3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4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5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6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6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62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263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64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265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66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67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6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6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7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8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29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296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297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16</xdr:row>
      <xdr:rowOff>161925</xdr:rowOff>
    </xdr:from>
    <xdr:to>
      <xdr:col>2</xdr:col>
      <xdr:colOff>1476375</xdr:colOff>
      <xdr:row>16</xdr:row>
      <xdr:rowOff>171450</xdr:rowOff>
    </xdr:to>
    <xdr:sp macro="" textlink="">
      <xdr:nvSpPr>
        <xdr:cNvPr id="4347298" name="Text Box 1"/>
        <xdr:cNvSpPr txBox="1">
          <a:spLocks noChangeArrowheads="1"/>
        </xdr:cNvSpPr>
      </xdr:nvSpPr>
      <xdr:spPr bwMode="auto">
        <a:xfrm>
          <a:off x="2333625" y="4314825"/>
          <a:ext cx="666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17</xdr:row>
      <xdr:rowOff>152400</xdr:rowOff>
    </xdr:from>
    <xdr:to>
      <xdr:col>5</xdr:col>
      <xdr:colOff>533400</xdr:colOff>
      <xdr:row>17</xdr:row>
      <xdr:rowOff>152400</xdr:rowOff>
    </xdr:to>
    <xdr:sp macro="" textlink="">
      <xdr:nvSpPr>
        <xdr:cNvPr id="4347299" name="Text Box 2"/>
        <xdr:cNvSpPr txBox="1">
          <a:spLocks noChangeArrowheads="1"/>
        </xdr:cNvSpPr>
      </xdr:nvSpPr>
      <xdr:spPr bwMode="auto">
        <a:xfrm>
          <a:off x="4543425" y="4524375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0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1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328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2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3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4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5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57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358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59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360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6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7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8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89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390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91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392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93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394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9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9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9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9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39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0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1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423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424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16</xdr:row>
      <xdr:rowOff>161925</xdr:rowOff>
    </xdr:from>
    <xdr:to>
      <xdr:col>2</xdr:col>
      <xdr:colOff>1476375</xdr:colOff>
      <xdr:row>16</xdr:row>
      <xdr:rowOff>171450</xdr:rowOff>
    </xdr:to>
    <xdr:sp macro="" textlink="">
      <xdr:nvSpPr>
        <xdr:cNvPr id="4347425" name="Text Box 1"/>
        <xdr:cNvSpPr txBox="1">
          <a:spLocks noChangeArrowheads="1"/>
        </xdr:cNvSpPr>
      </xdr:nvSpPr>
      <xdr:spPr bwMode="auto">
        <a:xfrm>
          <a:off x="2333625" y="4314825"/>
          <a:ext cx="666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17</xdr:row>
      <xdr:rowOff>152400</xdr:rowOff>
    </xdr:from>
    <xdr:to>
      <xdr:col>5</xdr:col>
      <xdr:colOff>533400</xdr:colOff>
      <xdr:row>17</xdr:row>
      <xdr:rowOff>152400</xdr:rowOff>
    </xdr:to>
    <xdr:sp macro="" textlink="">
      <xdr:nvSpPr>
        <xdr:cNvPr id="4347426" name="Text Box 2"/>
        <xdr:cNvSpPr txBox="1">
          <a:spLocks noChangeArrowheads="1"/>
        </xdr:cNvSpPr>
      </xdr:nvSpPr>
      <xdr:spPr bwMode="auto">
        <a:xfrm>
          <a:off x="4543425" y="4524375"/>
          <a:ext cx="3448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2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3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4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455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5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6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7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484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485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486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487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8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49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0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1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516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517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518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15</xdr:row>
      <xdr:rowOff>76200</xdr:rowOff>
    </xdr:from>
    <xdr:to>
      <xdr:col>1</xdr:col>
      <xdr:colOff>361950</xdr:colOff>
      <xdr:row>15</xdr:row>
      <xdr:rowOff>76200</xdr:rowOff>
    </xdr:to>
    <xdr:sp macro="" textlink="">
      <xdr:nvSpPr>
        <xdr:cNvPr id="4347519" name="Text Box 2"/>
        <xdr:cNvSpPr txBox="1">
          <a:spLocks noChangeArrowheads="1"/>
        </xdr:cNvSpPr>
      </xdr:nvSpPr>
      <xdr:spPr bwMode="auto">
        <a:xfrm>
          <a:off x="476250" y="37242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520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352425</xdr:colOff>
      <xdr:row>15</xdr:row>
      <xdr:rowOff>152400</xdr:rowOff>
    </xdr:from>
    <xdr:to>
      <xdr:col>1</xdr:col>
      <xdr:colOff>676275</xdr:colOff>
      <xdr:row>15</xdr:row>
      <xdr:rowOff>152400</xdr:rowOff>
    </xdr:to>
    <xdr:sp macro="" textlink="">
      <xdr:nvSpPr>
        <xdr:cNvPr id="4347521" name="Text Box 1"/>
        <xdr:cNvSpPr txBox="1">
          <a:spLocks noChangeArrowheads="1"/>
        </xdr:cNvSpPr>
      </xdr:nvSpPr>
      <xdr:spPr bwMode="auto">
        <a:xfrm>
          <a:off x="666750" y="380047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2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3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4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200025</xdr:colOff>
      <xdr:row>15</xdr:row>
      <xdr:rowOff>180975</xdr:rowOff>
    </xdr:from>
    <xdr:to>
      <xdr:col>1</xdr:col>
      <xdr:colOff>419100</xdr:colOff>
      <xdr:row>15</xdr:row>
      <xdr:rowOff>190500</xdr:rowOff>
    </xdr:to>
    <xdr:sp macro="" textlink="">
      <xdr:nvSpPr>
        <xdr:cNvPr id="4347550" name="Text Box 1"/>
        <xdr:cNvSpPr txBox="1">
          <a:spLocks noChangeArrowheads="1"/>
        </xdr:cNvSpPr>
      </xdr:nvSpPr>
      <xdr:spPr bwMode="auto">
        <a:xfrm>
          <a:off x="514350" y="3829050"/>
          <a:ext cx="2190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809625</xdr:colOff>
      <xdr:row>16</xdr:row>
      <xdr:rowOff>161925</xdr:rowOff>
    </xdr:from>
    <xdr:to>
      <xdr:col>2</xdr:col>
      <xdr:colOff>1476375</xdr:colOff>
      <xdr:row>16</xdr:row>
      <xdr:rowOff>171450</xdr:rowOff>
    </xdr:to>
    <xdr:sp macro="" textlink="">
      <xdr:nvSpPr>
        <xdr:cNvPr id="4347551" name="Text Box 1"/>
        <xdr:cNvSpPr txBox="1">
          <a:spLocks noChangeArrowheads="1"/>
        </xdr:cNvSpPr>
      </xdr:nvSpPr>
      <xdr:spPr bwMode="auto">
        <a:xfrm>
          <a:off x="2333625" y="4314825"/>
          <a:ext cx="6667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3019425</xdr:colOff>
      <xdr:row>17</xdr:row>
      <xdr:rowOff>152400</xdr:rowOff>
    </xdr:from>
    <xdr:to>
      <xdr:col>5</xdr:col>
      <xdr:colOff>571500</xdr:colOff>
      <xdr:row>17</xdr:row>
      <xdr:rowOff>152400</xdr:rowOff>
    </xdr:to>
    <xdr:sp macro="" textlink="">
      <xdr:nvSpPr>
        <xdr:cNvPr id="4347552" name="Text Box 2"/>
        <xdr:cNvSpPr txBox="1">
          <a:spLocks noChangeArrowheads="1"/>
        </xdr:cNvSpPr>
      </xdr:nvSpPr>
      <xdr:spPr bwMode="auto">
        <a:xfrm>
          <a:off x="4543425" y="4524375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5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6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1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2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3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4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5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6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7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8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79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15</xdr:row>
      <xdr:rowOff>0</xdr:rowOff>
    </xdr:from>
    <xdr:to>
      <xdr:col>1</xdr:col>
      <xdr:colOff>361950</xdr:colOff>
      <xdr:row>15</xdr:row>
      <xdr:rowOff>85725</xdr:rowOff>
    </xdr:to>
    <xdr:sp macro="" textlink="">
      <xdr:nvSpPr>
        <xdr:cNvPr id="4347580" name="Text Box 2"/>
        <xdr:cNvSpPr txBox="1">
          <a:spLocks noChangeArrowheads="1"/>
        </xdr:cNvSpPr>
      </xdr:nvSpPr>
      <xdr:spPr bwMode="auto">
        <a:xfrm>
          <a:off x="485775" y="3648075"/>
          <a:ext cx="1905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24"/>
  <sheetViews>
    <sheetView tabSelected="1" view="pageBreakPreview" zoomScale="140" zoomScaleNormal="100" zoomScaleSheetLayoutView="140" workbookViewId="0">
      <selection activeCell="B12" sqref="B12"/>
    </sheetView>
  </sheetViews>
  <sheetFormatPr defaultRowHeight="14.25"/>
  <cols>
    <col min="1" max="1" width="5.28515625" style="513" customWidth="1"/>
    <col min="2" max="2" width="61.140625" style="513" customWidth="1"/>
    <col min="3" max="3" width="7.28515625" style="513" customWidth="1"/>
    <col min="4" max="4" width="10.42578125" style="513" customWidth="1"/>
    <col min="5" max="5" width="6.85546875" style="513" customWidth="1"/>
    <col min="6" max="6" width="13" style="513" customWidth="1"/>
    <col min="7" max="7" width="9.140625" style="513"/>
    <col min="8" max="8" width="10.7109375" style="513" bestFit="1" customWidth="1"/>
    <col min="9" max="9" width="16.28515625" style="513" customWidth="1"/>
    <col min="10" max="16384" width="9.140625" style="513"/>
  </cols>
  <sheetData>
    <row r="1" spans="1:8" ht="15">
      <c r="A1" s="1129" t="s">
        <v>696</v>
      </c>
      <c r="B1" s="1129"/>
      <c r="C1" s="1129"/>
      <c r="D1" s="1129"/>
      <c r="E1" s="1129"/>
      <c r="F1" s="1129"/>
    </row>
    <row r="2" spans="1:8" ht="50.1" customHeight="1">
      <c r="A2" s="812" t="s">
        <v>695</v>
      </c>
      <c r="B2" s="813"/>
      <c r="C2" s="813"/>
      <c r="D2" s="813"/>
      <c r="E2" s="813"/>
      <c r="F2" s="813"/>
    </row>
    <row r="3" spans="1:8" ht="15.75" customHeight="1">
      <c r="A3" s="814" t="s">
        <v>694</v>
      </c>
      <c r="B3" s="814"/>
      <c r="C3" s="814"/>
      <c r="D3" s="814"/>
      <c r="E3" s="814"/>
      <c r="F3" s="814"/>
    </row>
    <row r="4" spans="1:8" ht="2.25" hidden="1" customHeight="1">
      <c r="A4" s="815"/>
      <c r="B4" s="816"/>
      <c r="C4" s="816"/>
      <c r="D4" s="816"/>
      <c r="E4" s="816"/>
      <c r="F4" s="816"/>
    </row>
    <row r="5" spans="1:8" ht="24.75" customHeight="1">
      <c r="A5" s="607" t="s">
        <v>0</v>
      </c>
      <c r="B5" s="607" t="s">
        <v>6</v>
      </c>
      <c r="C5" s="607" t="s">
        <v>137</v>
      </c>
      <c r="D5" s="607" t="s">
        <v>138</v>
      </c>
      <c r="E5" s="607" t="s">
        <v>515</v>
      </c>
      <c r="F5" s="607" t="s">
        <v>2</v>
      </c>
    </row>
    <row r="6" spans="1:8" ht="15.75" customHeight="1">
      <c r="A6" s="607">
        <v>1</v>
      </c>
      <c r="B6" s="607">
        <v>2</v>
      </c>
      <c r="C6" s="607">
        <v>3</v>
      </c>
      <c r="D6" s="607">
        <v>4</v>
      </c>
      <c r="E6" s="607">
        <v>5</v>
      </c>
      <c r="F6" s="607">
        <v>6</v>
      </c>
    </row>
    <row r="7" spans="1:8" ht="18" customHeight="1">
      <c r="A7" s="607" t="s">
        <v>140</v>
      </c>
      <c r="B7" s="817" t="s">
        <v>677</v>
      </c>
      <c r="C7" s="817"/>
      <c r="D7" s="817"/>
      <c r="E7" s="817"/>
      <c r="F7" s="817"/>
    </row>
    <row r="8" spans="1:8" ht="21" customHeight="1">
      <c r="A8" s="608">
        <v>1.1000000000000001</v>
      </c>
      <c r="B8" s="609" t="s">
        <v>526</v>
      </c>
      <c r="C8" s="607" t="s">
        <v>176</v>
      </c>
      <c r="D8" s="607">
        <f>874-327</f>
        <v>547</v>
      </c>
      <c r="E8" s="607"/>
      <c r="F8" s="610"/>
    </row>
    <row r="9" spans="1:8" ht="32.25" customHeight="1">
      <c r="A9" s="608">
        <v>1.2</v>
      </c>
      <c r="B9" s="611" t="str">
        <f>დემონტაჯი!C13</f>
        <v xml:space="preserve">gzis ganTvisebis zolis gaTavisufleba xe-buCqnarisagan, xis fesvebis amoZirkva da gatana  </v>
      </c>
      <c r="C9" s="607" t="str">
        <f>დემონტაჯი!D13</f>
        <v>ha</v>
      </c>
      <c r="D9" s="610">
        <f>3.5-1.31</f>
        <v>2.19</v>
      </c>
      <c r="E9" s="610"/>
      <c r="F9" s="610"/>
    </row>
    <row r="10" spans="1:8" ht="20.25" customHeight="1">
      <c r="A10" s="607"/>
      <c r="B10" s="612" t="s">
        <v>411</v>
      </c>
      <c r="C10" s="607" t="s">
        <v>651</v>
      </c>
      <c r="D10" s="610"/>
      <c r="E10" s="610"/>
      <c r="F10" s="610"/>
    </row>
    <row r="11" spans="1:8" ht="21.75" customHeight="1">
      <c r="A11" s="607">
        <v>2</v>
      </c>
      <c r="B11" s="817" t="s">
        <v>214</v>
      </c>
      <c r="C11" s="817"/>
      <c r="D11" s="817"/>
      <c r="E11" s="817"/>
      <c r="F11" s="613"/>
    </row>
    <row r="12" spans="1:8" ht="34.5" customHeight="1">
      <c r="A12" s="608">
        <v>2.1</v>
      </c>
      <c r="B12" s="611" t="str">
        <f>'მიწის ვაკისი'!C12</f>
        <v xml:space="preserve">Wrilis mowyoba III jg. gruntebSi eqskavatoriT muxluxa svlaze V-1.0m3 </v>
      </c>
      <c r="C12" s="255" t="s">
        <v>165</v>
      </c>
      <c r="D12" s="610">
        <v>67337</v>
      </c>
      <c r="E12" s="610"/>
      <c r="F12" s="610"/>
      <c r="H12" s="521"/>
    </row>
    <row r="13" spans="1:8" ht="37.5" customHeight="1">
      <c r="A13" s="608">
        <v>2.2000000000000002</v>
      </c>
      <c r="B13" s="629" t="s">
        <v>669</v>
      </c>
      <c r="C13" s="255" t="s">
        <v>165</v>
      </c>
      <c r="D13" s="610">
        <v>1163</v>
      </c>
      <c r="E13" s="610"/>
      <c r="F13" s="610"/>
      <c r="H13" s="521"/>
    </row>
    <row r="14" spans="1:8" ht="31.5" customHeight="1">
      <c r="A14" s="608">
        <v>2.2999999999999998</v>
      </c>
      <c r="B14" s="611" t="str">
        <f>'მიწის ვაკისი'!C18</f>
        <v>damuSavebuli gruntis eqskavatoriT muxluxa svlaze V-1.0m3 datvirTva avtoTviTmclelebze</v>
      </c>
      <c r="C14" s="255" t="s">
        <v>165</v>
      </c>
      <c r="D14" s="610">
        <v>66174</v>
      </c>
      <c r="E14" s="610"/>
      <c r="F14" s="610"/>
      <c r="H14" s="521"/>
    </row>
    <row r="15" spans="1:8" ht="20.25" customHeight="1">
      <c r="A15" s="608">
        <v>2.4</v>
      </c>
      <c r="B15" s="611" t="str">
        <f>'მიწის ვაკისი'!C22</f>
        <v>gruntis gatana nayarSi 10 km-mde</v>
      </c>
      <c r="C15" s="607" t="s">
        <v>54</v>
      </c>
      <c r="D15" s="610">
        <f>D14*1.6</f>
        <v>105878.40000000001</v>
      </c>
      <c r="E15" s="610"/>
      <c r="F15" s="610"/>
      <c r="H15" s="521"/>
    </row>
    <row r="16" spans="1:8" ht="30" customHeight="1">
      <c r="A16" s="608">
        <v>2.5</v>
      </c>
      <c r="B16" s="611" t="str">
        <f>'მიწის ვაკისი'!C23</f>
        <v xml:space="preserve">miwis vakisze yrilis mowyoba, kldovani qanebis balastis Cayra, mosworeba </v>
      </c>
      <c r="C16" s="255" t="s">
        <v>165</v>
      </c>
      <c r="D16" s="610">
        <v>12087.2</v>
      </c>
      <c r="E16" s="610"/>
      <c r="F16" s="610"/>
      <c r="H16" s="521"/>
    </row>
    <row r="17" spans="1:8" ht="31.5" customHeight="1">
      <c r="A17" s="608">
        <v>2.6</v>
      </c>
      <c r="B17" s="611" t="str">
        <f>'მიწის ვაკისი'!C27</f>
        <v>miwis vakisis datkepna satkepniT 30 sm-ian fenebad 
vibrosatkepnis 6 gavliT kvalze (k=1.22)</v>
      </c>
      <c r="C17" s="607" t="s">
        <v>165</v>
      </c>
      <c r="D17" s="610">
        <v>14746.38</v>
      </c>
      <c r="E17" s="610"/>
      <c r="F17" s="610"/>
      <c r="H17" s="521"/>
    </row>
    <row r="18" spans="1:8" ht="63" customHeight="1">
      <c r="A18" s="608">
        <v>2.7</v>
      </c>
      <c r="B18" s="611" t="s">
        <v>525</v>
      </c>
      <c r="C18" s="607" t="s">
        <v>166</v>
      </c>
      <c r="D18" s="610">
        <v>8230</v>
      </c>
      <c r="E18" s="610"/>
      <c r="F18" s="610"/>
      <c r="H18" s="521"/>
    </row>
    <row r="19" spans="1:8" ht="19.5" customHeight="1">
      <c r="A19" s="608"/>
      <c r="B19" s="612" t="s">
        <v>412</v>
      </c>
      <c r="C19" s="607" t="s">
        <v>651</v>
      </c>
      <c r="D19" s="610"/>
      <c r="E19" s="610"/>
      <c r="F19" s="610"/>
    </row>
    <row r="20" spans="1:8" ht="22.5" customHeight="1">
      <c r="A20" s="608">
        <v>3</v>
      </c>
      <c r="B20" s="817" t="s">
        <v>517</v>
      </c>
      <c r="C20" s="817"/>
      <c r="D20" s="817"/>
      <c r="E20" s="817"/>
      <c r="F20" s="817"/>
    </row>
    <row r="21" spans="1:8" ht="39" customHeight="1">
      <c r="A21" s="608">
        <v>3.1</v>
      </c>
      <c r="B21" s="611" t="str">
        <f>'რკ.ბეტონის კიუვეტი'!C8</f>
        <v>III jg gruntebis damuSaveba arxis Txrilis mosawyobad eqskavatoriT V-1.0 m3 datvirTviT avtoTviTmcvlelebze</v>
      </c>
      <c r="C21" s="607" t="s">
        <v>165</v>
      </c>
      <c r="D21" s="610">
        <f>840-492</f>
        <v>348</v>
      </c>
      <c r="E21" s="610"/>
      <c r="F21" s="610"/>
    </row>
    <row r="22" spans="1:8" ht="20.25" customHeight="1">
      <c r="A22" s="608">
        <v>3.2</v>
      </c>
      <c r="B22" s="611" t="str">
        <f>'რკ.ბეტონის კიუვეტი'!C12</f>
        <v xml:space="preserve">III jg. gruntis damuSaveba xeliT </v>
      </c>
      <c r="C22" s="607" t="s">
        <v>165</v>
      </c>
      <c r="D22" s="610">
        <f>60-35.3</f>
        <v>24.700000000000003</v>
      </c>
      <c r="E22" s="610"/>
      <c r="F22" s="610"/>
    </row>
    <row r="23" spans="1:8" ht="34.5" customHeight="1">
      <c r="A23" s="608">
        <v>3.3</v>
      </c>
      <c r="B23" s="630" t="str">
        <f>'რკ.ბეტონის კიუვეტი'!C14</f>
        <v>kldovani gruntis gafxviereba eqskavatoris bazaze damontaJebuli sangrevi CaquCebiT "kodala"</v>
      </c>
      <c r="C23" s="607" t="s">
        <v>165</v>
      </c>
      <c r="D23" s="610">
        <f>12-5</f>
        <v>7</v>
      </c>
      <c r="E23" s="610"/>
      <c r="F23" s="610"/>
    </row>
    <row r="24" spans="1:8" ht="23.25" customHeight="1">
      <c r="A24" s="608">
        <v>3.4</v>
      </c>
      <c r="B24" s="614" t="str">
        <f>'რკ.ბეტონის კიუვეტი'!C17</f>
        <v>gruntis gatana nayarSi 10 km-mde</v>
      </c>
      <c r="C24" s="607" t="s">
        <v>54</v>
      </c>
      <c r="D24" s="610">
        <f>1459.2-851.68</f>
        <v>607.5200000000001</v>
      </c>
      <c r="E24" s="610"/>
      <c r="F24" s="610"/>
    </row>
    <row r="25" spans="1:8" ht="24" customHeight="1">
      <c r="A25" s="608">
        <v>3.5</v>
      </c>
      <c r="B25" s="611" t="str">
        <f>'რკ.ბეტონის კიუვეტი'!C18</f>
        <v>anakrebi rk.betonis arxis mowyoba kveTiT 0.8X1.2m</v>
      </c>
      <c r="C25" s="607" t="s">
        <v>176</v>
      </c>
      <c r="D25" s="610">
        <f>700-410</f>
        <v>290</v>
      </c>
      <c r="E25" s="610"/>
      <c r="F25" s="610"/>
    </row>
    <row r="26" spans="1:8" ht="24" customHeight="1">
      <c r="A26" s="608">
        <v>3.6</v>
      </c>
      <c r="B26" s="611" t="str">
        <f>'რკ.ბეტონის კიუვეტი'!C24</f>
        <v>gadaxurvis rk.betonis monoliTuri filis mowyoba</v>
      </c>
      <c r="C26" s="607" t="s">
        <v>165</v>
      </c>
      <c r="D26" s="610">
        <f>140.16-131.2</f>
        <v>8.960000000000008</v>
      </c>
      <c r="E26" s="610"/>
      <c r="F26" s="610"/>
    </row>
    <row r="27" spans="1:8" ht="24" customHeight="1">
      <c r="A27" s="608">
        <v>3.7</v>
      </c>
      <c r="B27" s="611" t="str">
        <f>'რკ.ბეტონის კიუვეტი'!C30</f>
        <v>orfeniani hidroizolacia bitumiT</v>
      </c>
      <c r="C27" s="607" t="s">
        <v>166</v>
      </c>
      <c r="D27" s="610">
        <f>2520-1476</f>
        <v>1044</v>
      </c>
      <c r="E27" s="610"/>
      <c r="F27" s="610"/>
    </row>
    <row r="28" spans="1:8" ht="30.75" customHeight="1">
      <c r="A28" s="608">
        <v>3.8</v>
      </c>
      <c r="B28" s="611" t="str">
        <f>'რკ.ბეტონის კიუვეტი'!C35</f>
        <v>axali saniaRvre Wis oTxkuTxa cxauris montaJi CarCoTi 600X600</v>
      </c>
      <c r="C28" s="607" t="s">
        <v>232</v>
      </c>
      <c r="D28" s="610">
        <v>11</v>
      </c>
      <c r="E28" s="610"/>
      <c r="F28" s="610"/>
    </row>
    <row r="29" spans="1:8" ht="33" customHeight="1">
      <c r="A29" s="608">
        <v>3.9</v>
      </c>
      <c r="B29" s="611" t="str">
        <f>'რკ.ბეტონის კიუვეტი'!C40</f>
        <v xml:space="preserve">Txrilis Sevseba eqskavatoriT, kldovani qanebis balastiT, Cayra da mosworeba </v>
      </c>
      <c r="C29" s="607" t="s">
        <v>165</v>
      </c>
      <c r="D29" s="610">
        <f>490-287</f>
        <v>203</v>
      </c>
      <c r="E29" s="610"/>
      <c r="F29" s="610"/>
    </row>
    <row r="30" spans="1:8" ht="21" customHeight="1">
      <c r="A30" s="608"/>
      <c r="B30" s="612" t="s">
        <v>413</v>
      </c>
      <c r="C30" s="607" t="s">
        <v>651</v>
      </c>
      <c r="D30" s="610"/>
      <c r="E30" s="610"/>
      <c r="F30" s="610"/>
    </row>
    <row r="31" spans="1:8" ht="22.5" customHeight="1">
      <c r="A31" s="608">
        <v>4</v>
      </c>
      <c r="B31" s="817" t="s">
        <v>388</v>
      </c>
      <c r="C31" s="817"/>
      <c r="D31" s="817"/>
      <c r="E31" s="817"/>
      <c r="F31" s="817"/>
    </row>
    <row r="32" spans="1:8" ht="33.75" customHeight="1">
      <c r="A32" s="608">
        <v>4.0999999999999996</v>
      </c>
      <c r="B32" s="611" t="str">
        <f>'რკ.ბეტონის კიუვეტი (2)'!C8</f>
        <v>III jg gruntebis damuSaveba kiuvetebSi eqskavatoriT V-1.0 m3 datvirTviT avtoTviTmcvlelebze</v>
      </c>
      <c r="C32" s="607" t="s">
        <v>165</v>
      </c>
      <c r="D32" s="610">
        <v>328</v>
      </c>
      <c r="E32" s="610"/>
      <c r="F32" s="610"/>
    </row>
    <row r="33" spans="1:6" ht="21.75" customHeight="1">
      <c r="A33" s="608">
        <v>4.2</v>
      </c>
      <c r="B33" s="611" t="str">
        <f>'რკ.ბეტონის კიუვეტი (2)'!C12</f>
        <v xml:space="preserve">III jg. gruntis damuSaveba xeliT </v>
      </c>
      <c r="C33" s="607" t="s">
        <v>165</v>
      </c>
      <c r="D33" s="610">
        <v>33</v>
      </c>
      <c r="E33" s="610"/>
      <c r="F33" s="610"/>
    </row>
    <row r="34" spans="1:6" ht="37.5" customHeight="1">
      <c r="A34" s="608">
        <v>4.3</v>
      </c>
      <c r="B34" s="630" t="str">
        <f>'რკ.ბეტონის კიუვეტი (2)'!C14</f>
        <v>kldovani gruntis gafxviereba eqskavatoris bazaze damontaJebuli sangrevi CaquCebiT "kodala"</v>
      </c>
      <c r="C34" s="607" t="s">
        <v>165</v>
      </c>
      <c r="D34" s="610">
        <v>15</v>
      </c>
      <c r="E34" s="610"/>
      <c r="F34" s="610"/>
    </row>
    <row r="35" spans="1:6" ht="21" customHeight="1">
      <c r="A35" s="608">
        <v>4.4000000000000004</v>
      </c>
      <c r="B35" s="614" t="str">
        <f>B24</f>
        <v>gruntis gatana nayarSi 10 km-mde</v>
      </c>
      <c r="C35" s="607" t="str">
        <f>C24</f>
        <v>tn</v>
      </c>
      <c r="D35" s="610">
        <v>601.6</v>
      </c>
      <c r="E35" s="610"/>
      <c r="F35" s="610"/>
    </row>
    <row r="36" spans="1:6" ht="21" customHeight="1">
      <c r="A36" s="608">
        <v>4.5</v>
      </c>
      <c r="B36" s="611" t="str">
        <f>'რკ.ბეტონის კიუვეტი (2)'!C18</f>
        <v>anakrebi rk.betonis kiuvetebis mowyoba kveTiT 0,4X0,4m</v>
      </c>
      <c r="C36" s="607" t="s">
        <v>176</v>
      </c>
      <c r="D36" s="810">
        <f>820-172</f>
        <v>648</v>
      </c>
      <c r="E36" s="610"/>
      <c r="F36" s="610"/>
    </row>
    <row r="37" spans="1:6" ht="21.75" customHeight="1">
      <c r="A37" s="608">
        <v>4.5999999999999996</v>
      </c>
      <c r="B37" s="611" t="str">
        <f>'რკ.ბეტონის კიუვეტი (2)'!C24</f>
        <v>orfeniani hidroizolacia bitumiT</v>
      </c>
      <c r="C37" s="607" t="s">
        <v>166</v>
      </c>
      <c r="D37" s="610">
        <f>1476-292.4</f>
        <v>1183.5999999999999</v>
      </c>
      <c r="E37" s="610"/>
      <c r="F37" s="610"/>
    </row>
    <row r="38" spans="1:6" ht="21.75" customHeight="1">
      <c r="A38" s="608">
        <v>4.7</v>
      </c>
      <c r="B38" s="647" t="s">
        <v>518</v>
      </c>
      <c r="C38" s="607" t="s">
        <v>165</v>
      </c>
      <c r="D38" s="610">
        <v>2.04</v>
      </c>
      <c r="E38" s="610"/>
      <c r="F38" s="610"/>
    </row>
    <row r="39" spans="1:6" ht="21.75" customHeight="1">
      <c r="A39" s="608">
        <v>4.8</v>
      </c>
      <c r="B39" s="611" t="str">
        <f>'რკ.ბეტონის კიუვეტი (2)'!C40</f>
        <v>rk/betonis Webis armatura calkeuli Reroebisagan</v>
      </c>
      <c r="C39" s="607" t="s">
        <v>54</v>
      </c>
      <c r="D39" s="610">
        <v>0.15</v>
      </c>
      <c r="E39" s="610"/>
      <c r="F39" s="610"/>
    </row>
    <row r="40" spans="1:6" ht="30.75" customHeight="1">
      <c r="A40" s="608">
        <v>4.9000000000000004</v>
      </c>
      <c r="B40" s="611" t="str">
        <f>'რკ.ბეტონის კიუვეტი (2)'!C46</f>
        <v>axali saniaRvre Wis oTxkuTxa cxauris montaJi CarCoTi 500X500</v>
      </c>
      <c r="C40" s="607" t="s">
        <v>232</v>
      </c>
      <c r="D40" s="610">
        <v>3</v>
      </c>
      <c r="E40" s="610"/>
      <c r="F40" s="610"/>
    </row>
    <row r="41" spans="1:6" ht="32.25" customHeight="1">
      <c r="A41" s="649">
        <v>4.0999999999999996</v>
      </c>
      <c r="B41" s="611" t="str">
        <f>'rk.kiu (3)'!B20</f>
        <v>Ria arxze liTonis cxaurebis mowyoba 40 grZ.m (kuTxovana 80X80X8mm, Sveleri #6.5, armatura ф-22mm a-III)</v>
      </c>
      <c r="C41" s="607" t="s">
        <v>54</v>
      </c>
      <c r="D41" s="610">
        <v>1.73</v>
      </c>
      <c r="E41" s="610"/>
      <c r="F41" s="610"/>
    </row>
    <row r="42" spans="1:6" ht="30.75" customHeight="1">
      <c r="A42" s="608">
        <v>4.1100000000000003</v>
      </c>
      <c r="B42" s="611" t="str">
        <f>'რკ.ბეტონის კიუვეტი (2)'!C57</f>
        <v xml:space="preserve">Txrilis Sevseba eqskavatoriT, kldovani qanebis balastiT, Cayra da mosworeba </v>
      </c>
      <c r="C42" s="607" t="s">
        <v>165</v>
      </c>
      <c r="D42" s="610">
        <f>246-51.6</f>
        <v>194.4</v>
      </c>
      <c r="E42" s="610"/>
      <c r="F42" s="610"/>
    </row>
    <row r="43" spans="1:6" ht="20.25" customHeight="1">
      <c r="A43" s="608"/>
      <c r="B43" s="612" t="s">
        <v>414</v>
      </c>
      <c r="C43" s="607" t="s">
        <v>651</v>
      </c>
      <c r="D43" s="610"/>
      <c r="E43" s="610"/>
      <c r="F43" s="610"/>
    </row>
    <row r="44" spans="1:6" ht="18.75" customHeight="1">
      <c r="A44" s="608">
        <v>5</v>
      </c>
      <c r="B44" s="817" t="s">
        <v>674</v>
      </c>
      <c r="C44" s="817"/>
      <c r="D44" s="817"/>
      <c r="E44" s="817"/>
      <c r="F44" s="817"/>
    </row>
    <row r="45" spans="1:6" ht="33" customHeight="1">
      <c r="A45" s="608">
        <v>5.0999999999999996</v>
      </c>
      <c r="B45" s="611" t="str">
        <f>mili!B8</f>
        <v>Txrilis mowyoba III jg gruntebis damuSaveba eqskavatoriT V-1.0 m3 datvirTva avtotTviTmclelebze</v>
      </c>
      <c r="C45" s="607" t="s">
        <v>165</v>
      </c>
      <c r="D45" s="610">
        <v>120.46</v>
      </c>
      <c r="E45" s="610"/>
      <c r="F45" s="610"/>
    </row>
    <row r="46" spans="1:6" ht="24.75" customHeight="1">
      <c r="A46" s="608">
        <v>5.2</v>
      </c>
      <c r="B46" s="611" t="str">
        <f>mili!B9</f>
        <v xml:space="preserve">III jg. gruntis damuSaveba xeliT </v>
      </c>
      <c r="C46" s="607" t="s">
        <v>165</v>
      </c>
      <c r="D46" s="610">
        <v>13</v>
      </c>
      <c r="E46" s="610"/>
      <c r="F46" s="610"/>
    </row>
    <row r="47" spans="1:6" ht="28.5" customHeight="1">
      <c r="A47" s="608">
        <v>5.3</v>
      </c>
      <c r="B47" s="611" t="str">
        <f>mili!B10</f>
        <v>qvabulis damuSaveba sangrevi CaquCiT V jg. gruntebSi</v>
      </c>
      <c r="C47" s="607" t="s">
        <v>165</v>
      </c>
      <c r="D47" s="610">
        <f>8-4.5</f>
        <v>3.5</v>
      </c>
      <c r="E47" s="610"/>
      <c r="F47" s="610"/>
    </row>
    <row r="48" spans="1:6" ht="24.75" customHeight="1">
      <c r="A48" s="608">
        <v>5.4</v>
      </c>
      <c r="B48" s="611" t="str">
        <f>B35</f>
        <v>gruntis gatana nayarSi 10 km-mde</v>
      </c>
      <c r="C48" s="607" t="s">
        <v>54</v>
      </c>
      <c r="D48" s="610">
        <v>219.14</v>
      </c>
      <c r="E48" s="610"/>
      <c r="F48" s="610"/>
    </row>
    <row r="49" spans="1:6" ht="24.75" customHeight="1">
      <c r="A49" s="608">
        <v>5.5</v>
      </c>
      <c r="B49" s="497" t="str">
        <f>mili!B12</f>
        <v xml:space="preserve">xreSovani baliSis mowyoba </v>
      </c>
      <c r="C49" s="607" t="s">
        <v>165</v>
      </c>
      <c r="D49" s="610">
        <v>9.0299999999999994</v>
      </c>
      <c r="E49" s="610"/>
      <c r="F49" s="610"/>
    </row>
    <row r="50" spans="1:6" ht="31.5" customHeight="1">
      <c r="A50" s="608">
        <v>5.6</v>
      </c>
      <c r="B50" s="497" t="str">
        <f>'მილი 1.0'!C24</f>
        <v>wyalgamtari liTonis milebis mowyoba d-0.5m 
1grZ.m-62.4kg 2 adgilze</v>
      </c>
      <c r="C50" s="607" t="str">
        <f>C51</f>
        <v>grZ.m</v>
      </c>
      <c r="D50" s="610">
        <v>30</v>
      </c>
      <c r="E50" s="610"/>
      <c r="F50" s="610"/>
    </row>
    <row r="51" spans="1:6" ht="34.5" customHeight="1">
      <c r="A51" s="608">
        <v>5.7</v>
      </c>
      <c r="B51" s="497" t="str">
        <f>'მილი 1.0'!C29</f>
        <v>wyalgamtari liTonis milebis mowyoba d-1.2m 
1grZ.m-242kg 4 adgilze</v>
      </c>
      <c r="C51" s="607" t="s">
        <v>176</v>
      </c>
      <c r="D51" s="610">
        <f>99-56</f>
        <v>43</v>
      </c>
      <c r="E51" s="610"/>
      <c r="F51" s="610"/>
    </row>
    <row r="52" spans="1:6" ht="31.5" customHeight="1">
      <c r="A52" s="608">
        <v>5.8</v>
      </c>
      <c r="B52" s="606" t="s">
        <v>573</v>
      </c>
      <c r="C52" s="607" t="s">
        <v>165</v>
      </c>
      <c r="D52" s="610">
        <v>11.6</v>
      </c>
      <c r="E52" s="610"/>
      <c r="F52" s="610"/>
    </row>
    <row r="53" spans="1:6" ht="23.25" customHeight="1">
      <c r="A53" s="608">
        <v>5.9</v>
      </c>
      <c r="B53" s="497" t="str">
        <f>'მილი 1.0'!C45</f>
        <v>rk/betonis saTavisis armatura calkeuli Reroebisagan</v>
      </c>
      <c r="C53" s="607" t="s">
        <v>54</v>
      </c>
      <c r="D53" s="610">
        <v>0.82</v>
      </c>
      <c r="E53" s="610"/>
      <c r="F53" s="610"/>
    </row>
    <row r="54" spans="1:6" ht="21.75" customHeight="1">
      <c r="A54" s="632" t="s">
        <v>594</v>
      </c>
      <c r="B54" s="606" t="s">
        <v>518</v>
      </c>
      <c r="C54" s="607" t="s">
        <v>165</v>
      </c>
      <c r="D54" s="610">
        <f>14.26-4.03</f>
        <v>10.23</v>
      </c>
      <c r="E54" s="610"/>
      <c r="F54" s="610"/>
    </row>
    <row r="55" spans="1:6" ht="24.75" customHeight="1">
      <c r="A55" s="608">
        <v>5.12</v>
      </c>
      <c r="B55" s="497" t="str">
        <f>'მილი 1.0'!C62</f>
        <v>rk/betonis Webis armatura calkeuli Reroebisagan</v>
      </c>
      <c r="C55" s="607" t="s">
        <v>54</v>
      </c>
      <c r="D55" s="615">
        <f>0.668-0.19</f>
        <v>0.47800000000000004</v>
      </c>
      <c r="E55" s="610"/>
      <c r="F55" s="610"/>
    </row>
    <row r="56" spans="1:6" ht="21.75" customHeight="1">
      <c r="A56" s="608">
        <v>5.13</v>
      </c>
      <c r="B56" s="497" t="str">
        <f>'მილი 1.0'!C68</f>
        <v>milebis orfeniani hidroizolacia bitumiT</v>
      </c>
      <c r="C56" s="607" t="s">
        <v>166</v>
      </c>
      <c r="D56" s="610">
        <f>311.14-176.12</f>
        <v>135.01999999999998</v>
      </c>
      <c r="E56" s="610"/>
      <c r="F56" s="610"/>
    </row>
    <row r="57" spans="1:6" ht="21.75" customHeight="1">
      <c r="A57" s="608">
        <v>5.14</v>
      </c>
      <c r="B57" s="497" t="str">
        <f>'მილი 1.0'!C73</f>
        <v>qvis risbermis mowyoba</v>
      </c>
      <c r="C57" s="607" t="s">
        <v>165</v>
      </c>
      <c r="D57" s="610">
        <v>39</v>
      </c>
      <c r="E57" s="610"/>
      <c r="F57" s="610"/>
    </row>
    <row r="58" spans="1:6" ht="31.5" customHeight="1">
      <c r="A58" s="608">
        <v>5.15</v>
      </c>
      <c r="B58" s="497" t="str">
        <f>'მილი 1.0'!C77</f>
        <v xml:space="preserve">Txrilis Sevseba eqskavatoriT, kldovani qanebis balastiT, Cayra da mosworeba </v>
      </c>
      <c r="C58" s="607" t="s">
        <v>165</v>
      </c>
      <c r="D58" s="610">
        <v>56.6</v>
      </c>
      <c r="E58" s="610"/>
      <c r="F58" s="610"/>
    </row>
    <row r="59" spans="1:6" ht="21" customHeight="1">
      <c r="A59" s="608"/>
      <c r="B59" s="612" t="s">
        <v>508</v>
      </c>
      <c r="C59" s="607" t="s">
        <v>651</v>
      </c>
      <c r="D59" s="610"/>
      <c r="E59" s="610"/>
      <c r="F59" s="610"/>
    </row>
    <row r="60" spans="1:6" ht="22.5" customHeight="1">
      <c r="A60" s="607">
        <v>6</v>
      </c>
      <c r="B60" s="818" t="s">
        <v>325</v>
      </c>
      <c r="C60" s="819"/>
      <c r="D60" s="819"/>
      <c r="E60" s="819"/>
      <c r="F60" s="819"/>
    </row>
    <row r="61" spans="1:6" ht="33" customHeight="1">
      <c r="A61" s="608">
        <v>6.1</v>
      </c>
      <c r="B61" s="497" t="str">
        <f>'მილი (2X2)'!C10</f>
        <v>III jg gruntebis damuSaveba eqskavatoriT V-1.0 m3 datvirTviT avtoTviTmcvlelebze</v>
      </c>
      <c r="C61" s="607" t="s">
        <v>165</v>
      </c>
      <c r="D61" s="610">
        <v>80</v>
      </c>
      <c r="E61" s="610"/>
      <c r="F61" s="610"/>
    </row>
    <row r="62" spans="1:6" ht="21" customHeight="1">
      <c r="A62" s="608">
        <v>6.2</v>
      </c>
      <c r="B62" s="497" t="str">
        <f>'მილი (2X2)'!C14</f>
        <v xml:space="preserve">III jg. gruntis damuSaveba xeliT </v>
      </c>
      <c r="C62" s="607" t="s">
        <v>165</v>
      </c>
      <c r="D62" s="610">
        <v>15</v>
      </c>
      <c r="E62" s="610"/>
      <c r="F62" s="610"/>
    </row>
    <row r="63" spans="1:6" ht="21" customHeight="1">
      <c r="A63" s="608">
        <v>6.3</v>
      </c>
      <c r="B63" s="497" t="str">
        <f>B48</f>
        <v>gruntis gatana nayarSi 10 km-mde</v>
      </c>
      <c r="C63" s="607" t="s">
        <v>54</v>
      </c>
      <c r="D63" s="610">
        <v>152</v>
      </c>
      <c r="E63" s="610"/>
      <c r="F63" s="610"/>
    </row>
    <row r="64" spans="1:6" ht="21" customHeight="1">
      <c r="A64" s="608">
        <v>6.4</v>
      </c>
      <c r="B64" s="497" t="str">
        <f>'მილი (2X2)'!C17</f>
        <v>RorRis sagebi milis qveS</v>
      </c>
      <c r="C64" s="607" t="s">
        <v>165</v>
      </c>
      <c r="D64" s="610">
        <v>53</v>
      </c>
      <c r="E64" s="610"/>
      <c r="F64" s="610"/>
    </row>
    <row r="65" spans="1:6" ht="33" customHeight="1">
      <c r="A65" s="608">
        <v>6.5</v>
      </c>
      <c r="B65" s="581" t="s">
        <v>337</v>
      </c>
      <c r="C65" s="607" t="s">
        <v>165</v>
      </c>
      <c r="D65" s="610">
        <v>21.5</v>
      </c>
      <c r="E65" s="610"/>
      <c r="F65" s="610"/>
    </row>
    <row r="66" spans="1:6" ht="21.75" customHeight="1">
      <c r="A66" s="608">
        <v>6.6</v>
      </c>
      <c r="B66" s="581" t="s">
        <v>339</v>
      </c>
      <c r="C66" s="607" t="s">
        <v>165</v>
      </c>
      <c r="D66" s="610">
        <v>95.2</v>
      </c>
      <c r="E66" s="610"/>
      <c r="F66" s="610"/>
    </row>
    <row r="67" spans="1:6" ht="21.75" customHeight="1">
      <c r="A67" s="608">
        <v>6.7</v>
      </c>
      <c r="B67" s="497" t="str">
        <f>'მილი (2X2)'!C36</f>
        <v>armaturis dayeneba milis tanSi</v>
      </c>
      <c r="C67" s="607" t="s">
        <v>54</v>
      </c>
      <c r="D67" s="610">
        <v>12.35</v>
      </c>
      <c r="E67" s="610"/>
      <c r="F67" s="610"/>
    </row>
    <row r="68" spans="1:6" ht="30" customHeight="1">
      <c r="A68" s="608">
        <v>6.8</v>
      </c>
      <c r="B68" s="581" t="s">
        <v>340</v>
      </c>
      <c r="C68" s="607" t="s">
        <v>165</v>
      </c>
      <c r="D68" s="610">
        <v>9.4700000000000006</v>
      </c>
      <c r="E68" s="610"/>
      <c r="F68" s="610"/>
    </row>
    <row r="69" spans="1:6" ht="21" customHeight="1">
      <c r="A69" s="608">
        <v>6.9</v>
      </c>
      <c r="B69" s="497" t="str">
        <f>'მილი (2X2)'!C53</f>
        <v>armaturis dayeneba milis saTavisebSi da sabjenebSi</v>
      </c>
      <c r="C69" s="607" t="s">
        <v>54</v>
      </c>
      <c r="D69" s="610">
        <v>0.9</v>
      </c>
      <c r="E69" s="610"/>
      <c r="F69" s="610"/>
    </row>
    <row r="70" spans="1:6" ht="21" customHeight="1">
      <c r="A70" s="632" t="s">
        <v>565</v>
      </c>
      <c r="B70" s="497" t="str">
        <f>'მილი (2X2)'!C59</f>
        <v>milis wasacxebi hidroizolacia</v>
      </c>
      <c r="C70" s="607" t="s">
        <v>166</v>
      </c>
      <c r="D70" s="610">
        <v>354</v>
      </c>
      <c r="E70" s="610"/>
      <c r="F70" s="610"/>
    </row>
    <row r="71" spans="1:6" ht="21" customHeight="1">
      <c r="A71" s="608">
        <v>6.11</v>
      </c>
      <c r="B71" s="497" t="str">
        <f>'მილი (2X2)'!C64</f>
        <v>sadefarmacio nakerebis mowyoba</v>
      </c>
      <c r="C71" s="607" t="s">
        <v>171</v>
      </c>
      <c r="D71" s="610">
        <v>5.52</v>
      </c>
      <c r="E71" s="610"/>
      <c r="F71" s="610"/>
    </row>
    <row r="72" spans="1:6" ht="21" customHeight="1">
      <c r="A72" s="608">
        <v>6.12</v>
      </c>
      <c r="B72" s="497" t="str">
        <f>'მილი (2X2)'!C72</f>
        <v>qvis risbermis mowyoba</v>
      </c>
      <c r="C72" s="607" t="s">
        <v>165</v>
      </c>
      <c r="D72" s="610">
        <v>16</v>
      </c>
      <c r="E72" s="610"/>
      <c r="F72" s="610"/>
    </row>
    <row r="73" spans="1:6" ht="33" customHeight="1">
      <c r="A73" s="608">
        <v>6.13</v>
      </c>
      <c r="B73" s="497" t="str">
        <f>'მილი (2X2)'!C76</f>
        <v xml:space="preserve">Txrilis Sevseba eqskavatoriT, kldovani qanebis balastiT, Cayra da mosworeba </v>
      </c>
      <c r="C73" s="607" t="s">
        <v>165</v>
      </c>
      <c r="D73" s="610">
        <v>70</v>
      </c>
      <c r="E73" s="610"/>
      <c r="F73" s="610"/>
    </row>
    <row r="74" spans="1:6" ht="21.75" customHeight="1">
      <c r="A74" s="608"/>
      <c r="B74" s="612" t="s">
        <v>509</v>
      </c>
      <c r="C74" s="607" t="s">
        <v>651</v>
      </c>
      <c r="D74" s="610"/>
      <c r="E74" s="610"/>
      <c r="F74" s="610"/>
    </row>
    <row r="75" spans="1:6" ht="21" customHeight="1">
      <c r="A75" s="607">
        <v>7</v>
      </c>
      <c r="B75" s="818" t="s">
        <v>237</v>
      </c>
      <c r="C75" s="819"/>
      <c r="D75" s="819"/>
      <c r="E75" s="819"/>
      <c r="F75" s="819"/>
    </row>
    <row r="76" spans="1:6" ht="33" customHeight="1">
      <c r="A76" s="607">
        <v>7.1</v>
      </c>
      <c r="B76" s="633" t="str">
        <f>გაბიონი!C10</f>
        <v>gabionebis mowyoba, gabionis yuTebi zomiT 2X1X1m 3954.0c, 1,5X1X1 2488.0c Sesakravi mavTuli 5.05tn</v>
      </c>
      <c r="C76" s="255" t="s">
        <v>165</v>
      </c>
      <c r="D76" s="462">
        <f>11640-5631</f>
        <v>6009</v>
      </c>
      <c r="E76" s="610"/>
      <c r="F76" s="610"/>
    </row>
    <row r="77" spans="1:6" ht="33.75" customHeight="1">
      <c r="A77" s="607">
        <v>7.2</v>
      </c>
      <c r="B77" s="633" t="s">
        <v>537</v>
      </c>
      <c r="C77" s="307" t="s">
        <v>165</v>
      </c>
      <c r="D77" s="462">
        <f>7216.2-2818</f>
        <v>4398.2</v>
      </c>
      <c r="E77" s="610"/>
      <c r="F77" s="610"/>
    </row>
    <row r="78" spans="1:6" ht="21" customHeight="1">
      <c r="A78" s="607"/>
      <c r="B78" s="612" t="s">
        <v>566</v>
      </c>
      <c r="C78" s="307" t="s">
        <v>651</v>
      </c>
      <c r="D78" s="462"/>
      <c r="E78" s="462"/>
      <c r="F78" s="610"/>
    </row>
    <row r="79" spans="1:6" ht="21.75" customHeight="1">
      <c r="A79" s="608">
        <v>8</v>
      </c>
      <c r="B79" s="817" t="s">
        <v>145</v>
      </c>
      <c r="C79" s="817"/>
      <c r="D79" s="817"/>
      <c r="E79" s="817"/>
      <c r="F79" s="817"/>
    </row>
    <row r="80" spans="1:6" ht="35.25" customHeight="1">
      <c r="A80" s="607">
        <v>8.1</v>
      </c>
      <c r="B80" s="616" t="str">
        <f>ა.ბეტონი!C9</f>
        <v>qvesagebi fenis mowyoba qviSa-xreSovani nareviT sisqiT 25sm (mravldeba datkepnis koeficientze 1.22)</v>
      </c>
      <c r="C80" s="607" t="s">
        <v>165</v>
      </c>
      <c r="D80" s="610">
        <f>1462</f>
        <v>1462</v>
      </c>
      <c r="E80" s="610"/>
      <c r="F80" s="610"/>
    </row>
    <row r="81" spans="1:6" ht="29.25" customHeight="1">
      <c r="A81" s="608">
        <v>8.1999999999999993</v>
      </c>
      <c r="B81" s="617" t="s">
        <v>326</v>
      </c>
      <c r="C81" s="607" t="s">
        <v>166</v>
      </c>
      <c r="D81" s="610">
        <v>5117</v>
      </c>
      <c r="E81" s="610"/>
      <c r="F81" s="610"/>
    </row>
    <row r="82" spans="1:6" ht="21" customHeight="1">
      <c r="A82" s="607">
        <v>8.3000000000000007</v>
      </c>
      <c r="B82" s="618" t="str">
        <f>ა.ბეტონი!C26</f>
        <v>zedapiris  damuSaveba bitumis emulsiiT (1m2-0,6l)</v>
      </c>
      <c r="C82" s="607" t="s">
        <v>54</v>
      </c>
      <c r="D82" s="610">
        <v>2.58</v>
      </c>
      <c r="E82" s="610"/>
      <c r="F82" s="610"/>
    </row>
    <row r="83" spans="1:6" ht="47.25" customHeight="1">
      <c r="A83" s="608">
        <v>8.4</v>
      </c>
      <c r="B83" s="617" t="str">
        <f>ა.ბეტონი!C29</f>
        <v>safaris qveda fenis mowyoba  msxvilmarcvlovani forovani RorRovani cxeli  asfaltobetonisagan sisqiT 7 sm</v>
      </c>
      <c r="C83" s="607" t="s">
        <v>166</v>
      </c>
      <c r="D83" s="610">
        <v>4300</v>
      </c>
      <c r="E83" s="610"/>
      <c r="F83" s="610"/>
    </row>
    <row r="84" spans="1:6" ht="21.75" customHeight="1">
      <c r="A84" s="607">
        <v>8.5</v>
      </c>
      <c r="B84" s="618" t="str">
        <f>ა.ბეტონი!C37</f>
        <v>zedapiris  damuSaveba  bitumis emulsia (1m2-0,3l)</v>
      </c>
      <c r="C84" s="607" t="s">
        <v>54</v>
      </c>
      <c r="D84" s="610">
        <v>1.29</v>
      </c>
      <c r="E84" s="610"/>
      <c r="F84" s="610"/>
    </row>
    <row r="85" spans="1:6" ht="30" customHeight="1">
      <c r="A85" s="608">
        <v>8.6</v>
      </c>
      <c r="B85" s="617" t="str">
        <f>ა.ბეტონი!C40</f>
        <v>safaris zeda fenis mowyoba  wvrilmarcvlovani mkvrivi RorRovani cxeli  asfaltobetonisagan sisqiT 5 sm</v>
      </c>
      <c r="C85" s="607" t="s">
        <v>166</v>
      </c>
      <c r="D85" s="610">
        <v>4300</v>
      </c>
      <c r="E85" s="610"/>
      <c r="F85" s="610"/>
    </row>
    <row r="86" spans="1:6" ht="33" customHeight="1">
      <c r="A86" s="607">
        <v>8.6999999999999993</v>
      </c>
      <c r="B86" s="611" t="s">
        <v>84</v>
      </c>
      <c r="C86" s="607" t="s">
        <v>165</v>
      </c>
      <c r="D86" s="610">
        <v>206</v>
      </c>
      <c r="E86" s="610"/>
      <c r="F86" s="610"/>
    </row>
    <row r="87" spans="1:6" ht="21" customHeight="1">
      <c r="A87" s="607"/>
      <c r="B87" s="612" t="s">
        <v>510</v>
      </c>
      <c r="C87" s="607" t="s">
        <v>651</v>
      </c>
      <c r="D87" s="610"/>
      <c r="E87" s="610"/>
      <c r="F87" s="610"/>
    </row>
    <row r="88" spans="1:6" ht="23.25" customHeight="1">
      <c r="A88" s="608">
        <v>9</v>
      </c>
      <c r="B88" s="817" t="s">
        <v>396</v>
      </c>
      <c r="C88" s="817"/>
      <c r="D88" s="817"/>
      <c r="E88" s="817"/>
      <c r="F88" s="817"/>
    </row>
    <row r="89" spans="1:6" ht="33" customHeight="1">
      <c r="A89" s="607">
        <v>9.1</v>
      </c>
      <c r="B89" s="617" t="str">
        <f>'ა.ბეტონი მიერთ'!C9</f>
        <v>qvesagebi fenis mowyoba qviSa-xreSovani nareviT sisqiT 25sm (mravldeba datkepnis koeficientze 1.22)</v>
      </c>
      <c r="C89" s="607" t="s">
        <v>165</v>
      </c>
      <c r="D89" s="610">
        <v>159.5</v>
      </c>
      <c r="E89" s="610"/>
      <c r="F89" s="610"/>
    </row>
    <row r="90" spans="1:6" ht="24" customHeight="1">
      <c r="A90" s="607">
        <v>9.1999999999999993</v>
      </c>
      <c r="B90" s="617" t="s">
        <v>179</v>
      </c>
      <c r="C90" s="607" t="s">
        <v>166</v>
      </c>
      <c r="D90" s="610">
        <v>638</v>
      </c>
      <c r="E90" s="610"/>
      <c r="F90" s="610"/>
    </row>
    <row r="91" spans="1:6" ht="24" customHeight="1">
      <c r="A91" s="607">
        <v>9.3000000000000007</v>
      </c>
      <c r="B91" s="620" t="str">
        <f>'ა.ბეტონი მიერთ'!C26</f>
        <v>zedapiris  damuSaveba bitumis emulsiiT (1m2-0,6l)</v>
      </c>
      <c r="C91" s="607" t="s">
        <v>54</v>
      </c>
      <c r="D91" s="615">
        <v>0.38300000000000001</v>
      </c>
      <c r="E91" s="610"/>
      <c r="F91" s="610"/>
    </row>
    <row r="92" spans="1:6" ht="45.75" customHeight="1">
      <c r="A92" s="607">
        <v>9.4</v>
      </c>
      <c r="B92" s="620" t="str">
        <f>'ა.ბეტონი მიერთ'!C29</f>
        <v>safaris qveda fenis mowyoba  msxvilmarcvlovani forovani RorRovani cxeli  asfaltobetonisagan sisqiT 7 sm</v>
      </c>
      <c r="C92" s="607" t="s">
        <v>166</v>
      </c>
      <c r="D92" s="610">
        <v>638</v>
      </c>
      <c r="E92" s="610"/>
      <c r="F92" s="610"/>
    </row>
    <row r="93" spans="1:6" ht="21" customHeight="1">
      <c r="A93" s="607">
        <v>9.5</v>
      </c>
      <c r="B93" s="620" t="str">
        <f>'ა.ბეტონი მიერთ'!C37</f>
        <v>zedapiris  damuSaveba  bitumis emulsia (1m2-0,3l)</v>
      </c>
      <c r="C93" s="607" t="s">
        <v>54</v>
      </c>
      <c r="D93" s="615">
        <v>0.191</v>
      </c>
      <c r="E93" s="610"/>
      <c r="F93" s="610"/>
    </row>
    <row r="94" spans="1:6" ht="33.75" customHeight="1">
      <c r="A94" s="607">
        <v>9.6</v>
      </c>
      <c r="B94" s="617" t="str">
        <f>'ა.ბეტონი მიერთ'!C40</f>
        <v>safaris zeda fenis mowyoba  wvrilmarcvlovani mkvrivi RorRovani cxeli  asfaltobetonisagan sisqiT 5 sm</v>
      </c>
      <c r="C94" s="607" t="s">
        <v>166</v>
      </c>
      <c r="D94" s="610">
        <v>638</v>
      </c>
      <c r="E94" s="610"/>
      <c r="F94" s="610"/>
    </row>
    <row r="95" spans="1:6" ht="18" customHeight="1">
      <c r="A95" s="607"/>
      <c r="B95" s="612" t="s">
        <v>511</v>
      </c>
      <c r="C95" s="607" t="s">
        <v>651</v>
      </c>
      <c r="D95" s="610"/>
      <c r="E95" s="610"/>
      <c r="F95" s="610"/>
    </row>
    <row r="96" spans="1:6" ht="20.25" customHeight="1">
      <c r="A96" s="619">
        <v>10</v>
      </c>
      <c r="B96" s="817" t="s">
        <v>183</v>
      </c>
      <c r="C96" s="817"/>
      <c r="D96" s="817"/>
      <c r="E96" s="817"/>
      <c r="F96" s="817"/>
    </row>
    <row r="97" spans="1:6" ht="93.75" customHeight="1">
      <c r="A97" s="607">
        <v>10.1</v>
      </c>
      <c r="B97" s="617" t="str">
        <f>MONISHVNA!C8</f>
        <v>savali nawilis horizontaluri moniSvna erTkomponentiani (TeTri) sagzao niSansadebi saRebaviT damzadebuli meTilmeTakrilatis safuZvelze, gaumjobesebuli Ramis xilvadobis Suqdamabrunebeli minis burTulakebiT  zomiT 100-600 m-mde, uwyveti xazebi siganiT 100mm</v>
      </c>
      <c r="C97" s="607" t="s">
        <v>186</v>
      </c>
      <c r="D97" s="615">
        <v>2.23</v>
      </c>
      <c r="E97" s="610"/>
      <c r="F97" s="610"/>
    </row>
    <row r="98" spans="1:6" ht="21" customHeight="1">
      <c r="A98" s="621"/>
      <c r="B98" s="612" t="s">
        <v>512</v>
      </c>
      <c r="C98" s="607" t="s">
        <v>651</v>
      </c>
      <c r="D98" s="610"/>
      <c r="E98" s="610"/>
      <c r="F98" s="610"/>
    </row>
    <row r="99" spans="1:6" ht="21" customHeight="1">
      <c r="A99" s="619">
        <v>11</v>
      </c>
      <c r="B99" s="817" t="str">
        <f>თვალამრიდი!A3</f>
        <v>liTonis Tvalamridebis mowyoba</v>
      </c>
      <c r="C99" s="817"/>
      <c r="D99" s="817"/>
      <c r="E99" s="817"/>
      <c r="F99" s="817"/>
    </row>
    <row r="100" spans="1:6" ht="92.25" customHeight="1">
      <c r="A100" s="619">
        <v>11.1</v>
      </c>
      <c r="B100" s="611" t="s">
        <v>328</v>
      </c>
      <c r="C100" s="607" t="s">
        <v>176</v>
      </c>
      <c r="D100" s="610">
        <v>740</v>
      </c>
      <c r="E100" s="610"/>
      <c r="F100" s="610"/>
    </row>
    <row r="101" spans="1:6" ht="19.5" customHeight="1">
      <c r="A101" s="621"/>
      <c r="B101" s="612" t="s">
        <v>513</v>
      </c>
      <c r="C101" s="607" t="s">
        <v>651</v>
      </c>
      <c r="D101" s="610"/>
      <c r="E101" s="610"/>
      <c r="F101" s="610"/>
    </row>
    <row r="102" spans="1:6" ht="19.5" customHeight="1">
      <c r="A102" s="619">
        <v>12</v>
      </c>
      <c r="B102" s="817" t="str">
        <f>განათება!A3</f>
        <v xml:space="preserve">  gare ganaTebis  mowyoba</v>
      </c>
      <c r="C102" s="817"/>
      <c r="D102" s="817"/>
      <c r="E102" s="817"/>
      <c r="F102" s="817"/>
    </row>
    <row r="103" spans="1:6" ht="48" customHeight="1">
      <c r="A103" s="619">
        <v>12.1</v>
      </c>
      <c r="B103" s="611" t="str">
        <f>განათება!C9</f>
        <v>ganaTebis boZebis mosawyobad III jg gruntebis damuSaveba eqskavatoriT V-1.0 m3 datvirTviT avtoTviTmcvlelebze</v>
      </c>
      <c r="C103" s="607" t="s">
        <v>165</v>
      </c>
      <c r="D103" s="610">
        <v>34</v>
      </c>
      <c r="E103" s="610"/>
      <c r="F103" s="610"/>
    </row>
    <row r="104" spans="1:6" ht="21" customHeight="1">
      <c r="A104" s="619">
        <v>12.2</v>
      </c>
      <c r="B104" s="611" t="str">
        <f>განათება!C13</f>
        <v>gruntis gatana nayarSi 10 km-mde</v>
      </c>
      <c r="C104" s="607" t="s">
        <v>54</v>
      </c>
      <c r="D104" s="610">
        <v>54.4</v>
      </c>
      <c r="E104" s="610"/>
      <c r="F104" s="610"/>
    </row>
    <row r="105" spans="1:6" ht="21" customHeight="1">
      <c r="A105" s="619">
        <v>12.3</v>
      </c>
      <c r="B105" s="611" t="str">
        <f>განათება!C14</f>
        <v>wertilovani saZirkvlis mowyoba betoniT</v>
      </c>
      <c r="C105" s="607" t="s">
        <v>165</v>
      </c>
      <c r="D105" s="610">
        <v>6.3</v>
      </c>
      <c r="E105" s="610"/>
      <c r="F105" s="610"/>
    </row>
    <row r="106" spans="1:6" ht="21" customHeight="1">
      <c r="A106" s="619">
        <v>12.4</v>
      </c>
      <c r="B106" s="611" t="str">
        <f>განათება!C19</f>
        <v xml:space="preserve">el.ganaTebis liTonis boZebisa da sanaTebis mowyoba </v>
      </c>
      <c r="C106" s="607" t="s">
        <v>223</v>
      </c>
      <c r="D106" s="610">
        <v>28</v>
      </c>
      <c r="E106" s="610"/>
      <c r="F106" s="610"/>
    </row>
    <row r="107" spans="1:6" ht="21" customHeight="1">
      <c r="A107" s="619">
        <v>12.5</v>
      </c>
      <c r="B107" s="611" t="str">
        <f>განათება!C29</f>
        <v>ganaTebis boZebis SeRebva</v>
      </c>
      <c r="C107" s="607" t="s">
        <v>166</v>
      </c>
      <c r="D107" s="610">
        <v>119</v>
      </c>
      <c r="E107" s="610"/>
      <c r="F107" s="610"/>
    </row>
    <row r="108" spans="1:6" ht="32.25" customHeight="1">
      <c r="A108" s="619">
        <v>12.6</v>
      </c>
      <c r="B108" s="611" t="str">
        <f>განათება!C34</f>
        <v>არხში კაბელის ქვიშის საფენის და საფარის და კაბელის მაჩვენებელი ლენტის მოწყობა</v>
      </c>
      <c r="C108" s="421" t="s">
        <v>176</v>
      </c>
      <c r="D108" s="610">
        <v>880</v>
      </c>
      <c r="E108" s="610"/>
      <c r="F108" s="610"/>
    </row>
    <row r="109" spans="1:6" ht="32.25" customHeight="1">
      <c r="A109" s="619">
        <v>12.7</v>
      </c>
      <c r="B109" s="611" t="str">
        <f>განათება!C40</f>
        <v xml:space="preserve">მზა არხში დ-100მმ პნ-8 პლასტმასის გოფრირებული მილის ჩადება </v>
      </c>
      <c r="C109" s="421" t="s">
        <v>176</v>
      </c>
      <c r="D109" s="610">
        <f>D110</f>
        <v>880</v>
      </c>
      <c r="E109" s="610"/>
      <c r="F109" s="610"/>
    </row>
    <row r="110" spans="1:6" ht="33.75" customHeight="1">
      <c r="A110" s="619">
        <v>12.8</v>
      </c>
      <c r="B110" s="611" t="str">
        <f>განათება!C44</f>
        <v>Zalovani izolirebuli kabelis 4X16 mowyoba 
(50m dasaerTeblad)</v>
      </c>
      <c r="C110" s="421" t="s">
        <v>176</v>
      </c>
      <c r="D110" s="610">
        <f>განათება!F44</f>
        <v>880</v>
      </c>
      <c r="E110" s="610"/>
      <c r="F110" s="610"/>
    </row>
    <row r="111" spans="1:6" ht="23.25" customHeight="1">
      <c r="A111" s="619">
        <v>12.9</v>
      </c>
      <c r="B111" s="611" t="str">
        <f>განათება!C49</f>
        <v>el. sadenis 2X2.25 mowyoba</v>
      </c>
      <c r="C111" s="421" t="s">
        <v>176</v>
      </c>
      <c r="D111" s="610">
        <v>308</v>
      </c>
      <c r="E111" s="610"/>
      <c r="F111" s="610"/>
    </row>
    <row r="112" spans="1:6" ht="23.25" customHeight="1">
      <c r="A112" s="631" t="s">
        <v>564</v>
      </c>
      <c r="B112" s="611" t="str">
        <f>განათება!C54</f>
        <v>damiwebis mowyoba</v>
      </c>
      <c r="C112" s="607" t="str">
        <f>განათება!D54</f>
        <v>1 kompleqti</v>
      </c>
      <c r="D112" s="610">
        <v>28</v>
      </c>
      <c r="E112" s="610"/>
      <c r="F112" s="610"/>
    </row>
    <row r="113" spans="1:6" ht="23.25" customHeight="1">
      <c r="A113" s="631" t="s">
        <v>657</v>
      </c>
      <c r="B113" s="611" t="str">
        <f>განათება!C62</f>
        <v>el. yuTebis mowyoba</v>
      </c>
      <c r="C113" s="607" t="str">
        <f>განათება!D54</f>
        <v>1 kompleqti</v>
      </c>
      <c r="D113" s="610">
        <v>1</v>
      </c>
      <c r="E113" s="610"/>
      <c r="F113" s="610"/>
    </row>
    <row r="114" spans="1:6" ht="21.75" customHeight="1">
      <c r="A114" s="631" t="s">
        <v>658</v>
      </c>
      <c r="B114" s="611" t="str">
        <f>განათება!C67</f>
        <v>fotoreles montaJi</v>
      </c>
      <c r="C114" s="607" t="str">
        <f>განათება!D67</f>
        <v>cali</v>
      </c>
      <c r="D114" s="610">
        <v>1</v>
      </c>
      <c r="E114" s="610"/>
      <c r="F114" s="610"/>
    </row>
    <row r="115" spans="1:6" ht="21" customHeight="1">
      <c r="A115" s="619"/>
      <c r="B115" s="612" t="s">
        <v>514</v>
      </c>
      <c r="C115" s="607" t="s">
        <v>651</v>
      </c>
      <c r="D115" s="610"/>
      <c r="E115" s="610"/>
      <c r="F115" s="610"/>
    </row>
    <row r="116" spans="1:6" ht="18.75" customHeight="1">
      <c r="A116" s="621"/>
      <c r="B116" s="612" t="s">
        <v>691</v>
      </c>
      <c r="C116" s="607" t="s">
        <v>651</v>
      </c>
      <c r="D116" s="610"/>
      <c r="E116" s="610"/>
      <c r="F116" s="610"/>
    </row>
    <row r="117" spans="1:6" ht="18.75" customHeight="1">
      <c r="A117" s="619"/>
      <c r="B117" s="612" t="s">
        <v>692</v>
      </c>
      <c r="C117" s="607" t="s">
        <v>651</v>
      </c>
      <c r="D117" s="610"/>
      <c r="E117" s="610"/>
      <c r="F117" s="610"/>
    </row>
    <row r="118" spans="1:6" ht="18.75" customHeight="1">
      <c r="A118" s="619"/>
      <c r="B118" s="612" t="s">
        <v>693</v>
      </c>
      <c r="C118" s="607" t="s">
        <v>651</v>
      </c>
      <c r="D118" s="610"/>
      <c r="E118" s="610"/>
      <c r="F118" s="610"/>
    </row>
    <row r="119" spans="1:6" ht="18.75" customHeight="1">
      <c r="A119" s="619" t="s">
        <v>699</v>
      </c>
      <c r="B119" s="612" t="s">
        <v>676</v>
      </c>
      <c r="C119" s="607" t="s">
        <v>651</v>
      </c>
      <c r="D119" s="610"/>
      <c r="E119" s="610"/>
      <c r="F119" s="610"/>
    </row>
    <row r="120" spans="1:6" ht="18.75" customHeight="1">
      <c r="A120" s="621" t="s">
        <v>700</v>
      </c>
      <c r="B120" s="612" t="s">
        <v>207</v>
      </c>
      <c r="C120" s="607" t="s">
        <v>651</v>
      </c>
      <c r="D120" s="610"/>
      <c r="E120" s="610"/>
      <c r="F120" s="610"/>
    </row>
    <row r="121" spans="1:6" ht="17.25" customHeight="1">
      <c r="A121" s="533"/>
      <c r="B121" s="534"/>
      <c r="C121" s="530"/>
      <c r="D121" s="535"/>
      <c r="E121" s="535"/>
      <c r="F121" s="530"/>
    </row>
    <row r="122" spans="1:6" ht="52.5" customHeight="1">
      <c r="A122" s="820" t="s">
        <v>697</v>
      </c>
      <c r="B122" s="820"/>
      <c r="C122" s="820"/>
      <c r="D122" s="820"/>
      <c r="E122" s="820"/>
    </row>
    <row r="123" spans="1:6" ht="12.75" customHeight="1">
      <c r="A123" s="811"/>
      <c r="B123" s="811"/>
      <c r="C123" s="811"/>
      <c r="D123" s="811"/>
      <c r="E123" s="811"/>
      <c r="F123" s="801"/>
    </row>
    <row r="124" spans="1:6" ht="29.25" customHeight="1">
      <c r="A124" s="820" t="s">
        <v>698</v>
      </c>
      <c r="B124" s="820"/>
      <c r="C124" s="820"/>
      <c r="D124" s="820"/>
      <c r="E124" s="820"/>
    </row>
  </sheetData>
  <mergeCells count="18">
    <mergeCell ref="A1:F1"/>
    <mergeCell ref="A124:E124"/>
    <mergeCell ref="B88:F88"/>
    <mergeCell ref="B20:F20"/>
    <mergeCell ref="B31:F31"/>
    <mergeCell ref="B44:F44"/>
    <mergeCell ref="B102:F102"/>
    <mergeCell ref="A122:E122"/>
    <mergeCell ref="B99:F99"/>
    <mergeCell ref="B11:E11"/>
    <mergeCell ref="B60:F60"/>
    <mergeCell ref="B75:F75"/>
    <mergeCell ref="B79:F79"/>
    <mergeCell ref="A2:F2"/>
    <mergeCell ref="A3:F3"/>
    <mergeCell ref="A4:F4"/>
    <mergeCell ref="B7:F7"/>
    <mergeCell ref="B96:F96"/>
  </mergeCells>
  <printOptions horizontalCentered="1"/>
  <pageMargins left="0.19685039370078741" right="0.19685039370078741" top="0.19685039370078741" bottom="0.19685039370078741" header="0.23622047244094491" footer="0.23622047244094491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K16" sqref="K16"/>
    </sheetView>
  </sheetViews>
  <sheetFormatPr defaultRowHeight="16.5"/>
  <cols>
    <col min="1" max="1" width="4.7109375" style="228" customWidth="1"/>
    <col min="2" max="3" width="15.85546875" style="228" customWidth="1"/>
    <col min="4" max="4" width="13" style="228" customWidth="1"/>
    <col min="5" max="5" width="27.7109375" style="228" customWidth="1"/>
    <col min="6" max="6" width="21" style="228" customWidth="1"/>
    <col min="7" max="16384" width="9.140625" style="228"/>
  </cols>
  <sheetData>
    <row r="1" spans="1:8" ht="35.25" customHeight="1">
      <c r="A1" s="941" t="s">
        <v>589</v>
      </c>
      <c r="B1" s="942"/>
      <c r="C1" s="942"/>
      <c r="D1" s="942"/>
      <c r="E1" s="942"/>
      <c r="F1" s="942"/>
    </row>
    <row r="2" spans="1:8" ht="60.75" customHeight="1">
      <c r="A2" s="943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44"/>
      <c r="C2" s="944"/>
      <c r="D2" s="944"/>
      <c r="E2" s="944"/>
      <c r="F2" s="944"/>
    </row>
    <row r="3" spans="1:8" ht="5.25" customHeight="1"/>
    <row r="4" spans="1:8" ht="23.25" customHeight="1">
      <c r="A4" s="945" t="s">
        <v>0</v>
      </c>
      <c r="B4" s="945" t="s">
        <v>197</v>
      </c>
      <c r="C4" s="945"/>
      <c r="D4" s="946" t="s">
        <v>198</v>
      </c>
      <c r="E4" s="946" t="s">
        <v>199</v>
      </c>
      <c r="F4" s="948" t="s">
        <v>139</v>
      </c>
    </row>
    <row r="5" spans="1:8" ht="20.25" customHeight="1">
      <c r="A5" s="945"/>
      <c r="B5" s="229" t="s">
        <v>200</v>
      </c>
      <c r="C5" s="229" t="s">
        <v>201</v>
      </c>
      <c r="D5" s="947"/>
      <c r="E5" s="947"/>
      <c r="F5" s="948"/>
    </row>
    <row r="6" spans="1:8" ht="33.75" customHeight="1">
      <c r="A6" s="229">
        <v>1</v>
      </c>
      <c r="B6" s="256" t="s">
        <v>403</v>
      </c>
      <c r="C6" s="256"/>
      <c r="D6" s="230">
        <v>322</v>
      </c>
      <c r="E6" s="231"/>
      <c r="F6" s="231"/>
    </row>
    <row r="7" spans="1:8" ht="34.5" customHeight="1">
      <c r="A7" s="229">
        <v>2</v>
      </c>
      <c r="B7" s="256"/>
      <c r="C7" s="256" t="s">
        <v>404</v>
      </c>
      <c r="D7" s="230">
        <v>316</v>
      </c>
      <c r="E7" s="231"/>
      <c r="F7" s="231"/>
    </row>
    <row r="8" spans="1:8" ht="24" customHeight="1">
      <c r="A8" s="935" t="s">
        <v>51</v>
      </c>
      <c r="B8" s="936"/>
      <c r="C8" s="937"/>
      <c r="D8" s="229">
        <f>SUM(D6:D7)</f>
        <v>638</v>
      </c>
      <c r="E8" s="232"/>
      <c r="F8" s="232"/>
    </row>
    <row r="9" spans="1:8" ht="2.25" customHeight="1"/>
    <row r="10" spans="1:8" ht="159.75" customHeight="1">
      <c r="B10" s="938" t="s">
        <v>522</v>
      </c>
      <c r="C10" s="939"/>
      <c r="D10" s="939"/>
      <c r="E10" s="939"/>
      <c r="F10" s="939"/>
    </row>
    <row r="11" spans="1:8" ht="32.25" customHeight="1"/>
    <row r="12" spans="1:8">
      <c r="A12" s="940" t="s">
        <v>571</v>
      </c>
      <c r="B12" s="940"/>
      <c r="C12" s="940"/>
      <c r="D12" s="940"/>
      <c r="E12" s="940"/>
      <c r="F12" s="940"/>
      <c r="G12" s="257"/>
      <c r="H12" s="257"/>
    </row>
  </sheetData>
  <mergeCells count="10">
    <mergeCell ref="A8:C8"/>
    <mergeCell ref="B10:F10"/>
    <mergeCell ref="A12:F12"/>
    <mergeCell ref="A1:F1"/>
    <mergeCell ref="A2:F2"/>
    <mergeCell ref="A4:A5"/>
    <mergeCell ref="B4:C4"/>
    <mergeCell ref="D4:D5"/>
    <mergeCell ref="E4:E5"/>
    <mergeCell ref="F4:F5"/>
  </mergeCells>
  <printOptions horizontalCentered="1"/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zoomScale="60" zoomScaleNormal="100" workbookViewId="0">
      <selection activeCell="K16" sqref="K16"/>
    </sheetView>
  </sheetViews>
  <sheetFormatPr defaultRowHeight="12.75"/>
  <cols>
    <col min="1" max="1" width="4" style="321" customWidth="1"/>
    <col min="2" max="3" width="19.85546875" style="321" customWidth="1"/>
    <col min="4" max="4" width="19.5703125" style="321" customWidth="1"/>
    <col min="5" max="5" width="18" style="321" customWidth="1"/>
    <col min="6" max="6" width="13" style="321" customWidth="1"/>
    <col min="7" max="16384" width="9.140625" style="321"/>
  </cols>
  <sheetData>
    <row r="1" spans="1:8" ht="27.75" customHeight="1">
      <c r="A1" s="950" t="s">
        <v>590</v>
      </c>
      <c r="B1" s="950"/>
      <c r="C1" s="950"/>
      <c r="D1" s="950"/>
      <c r="E1" s="950"/>
      <c r="F1" s="950"/>
    </row>
    <row r="2" spans="1:8" ht="72.75" customHeight="1">
      <c r="A2" s="943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44"/>
      <c r="C2" s="944"/>
      <c r="D2" s="944"/>
      <c r="E2" s="944"/>
      <c r="F2" s="944"/>
      <c r="G2" s="219"/>
      <c r="H2" s="219"/>
    </row>
    <row r="3" spans="1:8" ht="16.5">
      <c r="A3" s="327"/>
      <c r="B3" s="327"/>
      <c r="C3" s="327"/>
      <c r="D3" s="327"/>
      <c r="E3" s="327"/>
    </row>
    <row r="4" spans="1:8" ht="35.25" customHeight="1">
      <c r="A4" s="951" t="s">
        <v>0</v>
      </c>
      <c r="B4" s="951" t="s">
        <v>194</v>
      </c>
      <c r="C4" s="951"/>
      <c r="D4" s="949" t="s">
        <v>224</v>
      </c>
      <c r="E4" s="949" t="s">
        <v>7</v>
      </c>
      <c r="F4" s="949" t="s">
        <v>139</v>
      </c>
    </row>
    <row r="5" spans="1:8" ht="27" customHeight="1">
      <c r="A5" s="951"/>
      <c r="B5" s="452" t="s">
        <v>192</v>
      </c>
      <c r="C5" s="452" t="s">
        <v>193</v>
      </c>
      <c r="D5" s="949"/>
      <c r="E5" s="949"/>
      <c r="F5" s="949"/>
    </row>
    <row r="6" spans="1:8" ht="27" customHeight="1">
      <c r="A6" s="643">
        <v>1</v>
      </c>
      <c r="B6" s="452" t="s">
        <v>371</v>
      </c>
      <c r="C6" s="452" t="s">
        <v>287</v>
      </c>
      <c r="D6" s="313" t="s">
        <v>176</v>
      </c>
      <c r="E6" s="313">
        <v>740</v>
      </c>
      <c r="F6" s="313"/>
    </row>
    <row r="7" spans="1:8" ht="23.25" customHeight="1">
      <c r="A7" s="951" t="s">
        <v>51</v>
      </c>
      <c r="B7" s="951"/>
      <c r="C7" s="951"/>
      <c r="D7" s="392"/>
      <c r="E7" s="392">
        <f>E6</f>
        <v>740</v>
      </c>
      <c r="F7" s="367"/>
    </row>
    <row r="8" spans="1:8" ht="22.5" customHeight="1">
      <c r="A8" s="650"/>
      <c r="B8" s="953" t="s">
        <v>314</v>
      </c>
      <c r="C8" s="953"/>
      <c r="D8" s="651"/>
      <c r="E8" s="651"/>
      <c r="F8" s="652"/>
    </row>
    <row r="9" spans="1:8" ht="22.5" customHeight="1">
      <c r="A9" s="643">
        <v>1</v>
      </c>
      <c r="B9" s="954" t="s">
        <v>315</v>
      </c>
      <c r="C9" s="955"/>
      <c r="D9" s="392" t="s">
        <v>223</v>
      </c>
      <c r="E9" s="392">
        <f>E7/4</f>
        <v>185</v>
      </c>
      <c r="F9" s="328"/>
    </row>
    <row r="10" spans="1:8" ht="22.5" customHeight="1">
      <c r="A10" s="643">
        <v>2</v>
      </c>
      <c r="B10" s="954" t="s">
        <v>316</v>
      </c>
      <c r="C10" s="955"/>
      <c r="D10" s="392" t="s">
        <v>223</v>
      </c>
      <c r="E10" s="392">
        <f>E7/2</f>
        <v>370</v>
      </c>
      <c r="F10" s="328"/>
    </row>
    <row r="11" spans="1:8" ht="22.5" customHeight="1">
      <c r="A11" s="643">
        <v>3</v>
      </c>
      <c r="B11" s="954" t="s">
        <v>317</v>
      </c>
      <c r="C11" s="955"/>
      <c r="D11" s="392" t="s">
        <v>223</v>
      </c>
      <c r="E11" s="392">
        <f>E9</f>
        <v>185</v>
      </c>
      <c r="F11" s="328"/>
    </row>
    <row r="12" spans="1:8" ht="22.5" customHeight="1">
      <c r="A12" s="643">
        <v>4</v>
      </c>
      <c r="B12" s="954" t="s">
        <v>318</v>
      </c>
      <c r="C12" s="955"/>
      <c r="D12" s="392" t="s">
        <v>223</v>
      </c>
      <c r="E12" s="392">
        <v>2</v>
      </c>
      <c r="F12" s="328"/>
    </row>
    <row r="13" spans="1:8" ht="22.5" customHeight="1">
      <c r="A13" s="643">
        <v>5</v>
      </c>
      <c r="B13" s="954" t="s">
        <v>319</v>
      </c>
      <c r="C13" s="955"/>
      <c r="D13" s="392" t="s">
        <v>223</v>
      </c>
      <c r="E13" s="392">
        <v>2</v>
      </c>
      <c r="F13" s="328"/>
    </row>
    <row r="14" spans="1:8" ht="33" customHeight="1">
      <c r="A14" s="327"/>
      <c r="B14" s="391"/>
      <c r="C14" s="391"/>
      <c r="D14" s="327"/>
      <c r="E14" s="327"/>
    </row>
    <row r="15" spans="1:8" ht="16.5">
      <c r="A15" s="891" t="s">
        <v>572</v>
      </c>
      <c r="B15" s="891"/>
      <c r="C15" s="891"/>
      <c r="D15" s="891"/>
      <c r="E15" s="891"/>
      <c r="F15" s="891"/>
    </row>
    <row r="19" spans="1:6" ht="20.25" customHeight="1">
      <c r="B19" s="393" t="s">
        <v>195</v>
      </c>
    </row>
    <row r="20" spans="1:6" ht="33.75" customHeight="1">
      <c r="A20" s="388"/>
      <c r="B20" s="952" t="s">
        <v>312</v>
      </c>
      <c r="C20" s="952"/>
      <c r="D20" s="952"/>
      <c r="E20" s="952"/>
      <c r="F20" s="952"/>
    </row>
    <row r="21" spans="1:6" ht="78" customHeight="1">
      <c r="A21" s="388"/>
      <c r="B21" s="952" t="s">
        <v>313</v>
      </c>
      <c r="C21" s="952"/>
      <c r="D21" s="952"/>
      <c r="E21" s="952"/>
      <c r="F21" s="952"/>
    </row>
    <row r="22" spans="1:6" ht="18.75">
      <c r="A22" s="388"/>
      <c r="B22" s="389"/>
      <c r="C22" s="388"/>
      <c r="D22" s="388"/>
      <c r="E22" s="388"/>
      <c r="F22" s="388"/>
    </row>
    <row r="23" spans="1:6">
      <c r="A23" s="388"/>
      <c r="B23" s="390"/>
      <c r="C23" s="388"/>
      <c r="D23" s="388"/>
      <c r="E23" s="388"/>
      <c r="F23" s="388"/>
    </row>
  </sheetData>
  <mergeCells count="17">
    <mergeCell ref="B21:F21"/>
    <mergeCell ref="B20:F20"/>
    <mergeCell ref="B8:C8"/>
    <mergeCell ref="B9:C9"/>
    <mergeCell ref="B10:C10"/>
    <mergeCell ref="B11:C11"/>
    <mergeCell ref="B12:C12"/>
    <mergeCell ref="B13:C13"/>
    <mergeCell ref="F4:F5"/>
    <mergeCell ref="A1:F1"/>
    <mergeCell ref="A2:F2"/>
    <mergeCell ref="A15:F15"/>
    <mergeCell ref="A7:C7"/>
    <mergeCell ref="A4:A5"/>
    <mergeCell ref="B4:C4"/>
    <mergeCell ref="D4:D5"/>
    <mergeCell ref="E4:E5"/>
  </mergeCells>
  <printOptions horizontalCentered="1"/>
  <pageMargins left="0.39370078740157483" right="0.39370078740157483" top="0.3937007874015748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67" zoomScaleNormal="100" zoomScaleSheetLayoutView="100" workbookViewId="0">
      <selection activeCell="K16" sqref="K16"/>
    </sheetView>
  </sheetViews>
  <sheetFormatPr defaultRowHeight="12.75"/>
  <cols>
    <col min="1" max="1" width="4.85546875" style="38" customWidth="1"/>
    <col min="2" max="2" width="19.28515625" style="38" customWidth="1"/>
    <col min="3" max="3" width="53.42578125" style="38" customWidth="1"/>
    <col min="4" max="4" width="13.85546875" style="38" customWidth="1"/>
    <col min="5" max="5" width="12.28515625" style="38" customWidth="1"/>
    <col min="6" max="6" width="14" style="38" customWidth="1"/>
    <col min="7" max="7" width="12.28515625" style="38" customWidth="1"/>
    <col min="8" max="8" width="15.28515625" style="38" customWidth="1"/>
    <col min="9" max="9" width="12.140625" style="38" customWidth="1"/>
    <col min="10" max="16384" width="9.140625" style="38"/>
  </cols>
  <sheetData>
    <row r="1" spans="1:9" s="60" customFormat="1" ht="20.25" customHeight="1">
      <c r="A1" s="963" t="s">
        <v>11</v>
      </c>
      <c r="B1" s="963"/>
      <c r="C1" s="963"/>
      <c r="D1" s="963"/>
      <c r="E1" s="963"/>
      <c r="F1" s="963"/>
      <c r="G1" s="963"/>
      <c r="H1" s="963"/>
      <c r="I1" s="59"/>
    </row>
    <row r="2" spans="1:9" s="60" customFormat="1" ht="3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s="60" customFormat="1" ht="15.75" customHeight="1">
      <c r="A3" s="959" t="s">
        <v>162</v>
      </c>
      <c r="B3" s="959"/>
      <c r="C3" s="959"/>
      <c r="D3" s="959"/>
      <c r="E3" s="959"/>
      <c r="F3" s="133">
        <f>H95</f>
        <v>4485.1186848366733</v>
      </c>
      <c r="G3" s="964" t="s">
        <v>147</v>
      </c>
      <c r="H3" s="964"/>
      <c r="I3" s="61"/>
    </row>
    <row r="4" spans="1:9" s="60" customFormat="1" ht="0.75" customHeight="1">
      <c r="A4" s="59"/>
      <c r="B4" s="59"/>
      <c r="C4" s="59"/>
      <c r="D4" s="59"/>
      <c r="E4" s="59"/>
      <c r="F4" s="59"/>
      <c r="G4" s="59"/>
      <c r="H4" s="59"/>
      <c r="I4" s="59"/>
    </row>
    <row r="5" spans="1:9" s="60" customFormat="1" ht="15.75" customHeight="1">
      <c r="A5" s="59"/>
      <c r="B5" s="59"/>
      <c r="C5" s="959" t="s">
        <v>12</v>
      </c>
      <c r="D5" s="959"/>
      <c r="E5" s="959"/>
      <c r="F5" s="959"/>
      <c r="G5" s="59"/>
      <c r="H5" s="59"/>
      <c r="I5" s="59"/>
    </row>
    <row r="6" spans="1:9" s="60" customFormat="1" ht="2.25" customHeight="1">
      <c r="A6" s="59"/>
      <c r="B6" s="59"/>
      <c r="C6" s="59"/>
      <c r="D6" s="59"/>
      <c r="E6" s="59"/>
      <c r="F6" s="59"/>
      <c r="G6" s="59"/>
      <c r="H6" s="59"/>
      <c r="I6" s="59"/>
    </row>
    <row r="7" spans="1:9" s="60" customFormat="1" ht="18.75" customHeight="1">
      <c r="A7" s="965" t="s">
        <v>135</v>
      </c>
      <c r="B7" s="965"/>
      <c r="C7" s="965"/>
      <c r="D7" s="965"/>
      <c r="E7" s="965"/>
      <c r="F7" s="965"/>
      <c r="G7" s="965"/>
      <c r="H7" s="965"/>
      <c r="I7" s="59"/>
    </row>
    <row r="8" spans="1:9" s="60" customFormat="1" ht="2.2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s="60" customFormat="1" ht="15" customHeight="1">
      <c r="A9" s="959" t="s">
        <v>219</v>
      </c>
      <c r="B9" s="959"/>
      <c r="C9" s="959"/>
      <c r="D9" s="959"/>
      <c r="E9" s="959"/>
      <c r="F9" s="959"/>
      <c r="G9" s="959"/>
      <c r="H9" s="959"/>
      <c r="I9" s="59"/>
    </row>
    <row r="10" spans="1:9" s="60" customFormat="1" ht="1.5" customHeight="1">
      <c r="A10" s="59"/>
      <c r="B10" s="59"/>
      <c r="C10" s="59"/>
      <c r="D10" s="59"/>
      <c r="E10" s="59"/>
      <c r="F10" s="59"/>
      <c r="G10" s="59"/>
      <c r="H10" s="59"/>
      <c r="I10" s="59"/>
    </row>
    <row r="11" spans="1:9" s="60" customFormat="1" ht="15.75" customHeight="1">
      <c r="A11" s="959" t="s">
        <v>161</v>
      </c>
      <c r="B11" s="959"/>
      <c r="C11" s="959"/>
      <c r="D11" s="959"/>
      <c r="E11" s="959"/>
      <c r="F11" s="959"/>
      <c r="G11" s="959"/>
      <c r="H11" s="959"/>
      <c r="I11" s="61"/>
    </row>
    <row r="12" spans="1:9" s="60" customFormat="1" ht="3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33" customHeight="1">
      <c r="A13" s="956" t="s">
        <v>586</v>
      </c>
      <c r="B13" s="957"/>
      <c r="C13" s="957"/>
      <c r="D13" s="957"/>
      <c r="E13" s="957"/>
      <c r="F13" s="957"/>
      <c r="G13" s="957"/>
      <c r="H13" s="957"/>
    </row>
    <row r="14" spans="1:9" ht="3" customHeight="1">
      <c r="A14" s="37"/>
      <c r="B14" s="37"/>
      <c r="C14" s="37"/>
      <c r="D14" s="37"/>
      <c r="E14" s="37"/>
      <c r="F14" s="37"/>
      <c r="G14" s="37"/>
      <c r="H14" s="37"/>
    </row>
    <row r="15" spans="1:9" s="60" customFormat="1" ht="15.75" customHeight="1">
      <c r="A15" s="37"/>
      <c r="B15" s="37"/>
      <c r="C15" s="37"/>
      <c r="D15" s="37"/>
      <c r="E15" s="959" t="s">
        <v>406</v>
      </c>
      <c r="F15" s="959"/>
      <c r="G15" s="959"/>
      <c r="H15" s="959"/>
      <c r="I15" s="37"/>
    </row>
    <row r="16" spans="1:9" s="60" customFormat="1" ht="22.5" customHeight="1">
      <c r="A16" s="62"/>
      <c r="B16" s="62"/>
      <c r="C16" s="62"/>
      <c r="D16" s="960" t="s">
        <v>159</v>
      </c>
      <c r="E16" s="961"/>
      <c r="F16" s="961"/>
      <c r="G16" s="962"/>
      <c r="H16" s="62" t="s">
        <v>13</v>
      </c>
      <c r="I16" s="63"/>
    </row>
    <row r="17" spans="1:9" s="60" customFormat="1" ht="15.75" customHeight="1">
      <c r="A17" s="64"/>
      <c r="B17" s="64"/>
      <c r="C17" s="64" t="s">
        <v>14</v>
      </c>
      <c r="D17" s="62" t="s">
        <v>15</v>
      </c>
      <c r="E17" s="62"/>
      <c r="F17" s="62" t="s">
        <v>16</v>
      </c>
      <c r="G17" s="62"/>
      <c r="H17" s="64" t="s">
        <v>160</v>
      </c>
      <c r="I17" s="63"/>
    </row>
    <row r="18" spans="1:9" s="60" customFormat="1" ht="15.75" customHeight="1">
      <c r="A18" s="64" t="s">
        <v>17</v>
      </c>
      <c r="B18" s="64" t="s">
        <v>5</v>
      </c>
      <c r="C18" s="64" t="s">
        <v>18</v>
      </c>
      <c r="D18" s="64" t="s">
        <v>19</v>
      </c>
      <c r="E18" s="64" t="s">
        <v>20</v>
      </c>
      <c r="F18" s="64" t="s">
        <v>21</v>
      </c>
      <c r="G18" s="64" t="s">
        <v>22</v>
      </c>
      <c r="H18" s="64" t="s">
        <v>23</v>
      </c>
      <c r="I18" s="63"/>
    </row>
    <row r="19" spans="1:9" s="60" customFormat="1" ht="15.75" customHeight="1">
      <c r="A19" s="64"/>
      <c r="B19" s="64"/>
      <c r="C19" s="64"/>
      <c r="D19" s="64" t="s">
        <v>24</v>
      </c>
      <c r="E19" s="64" t="s">
        <v>25</v>
      </c>
      <c r="F19" s="64" t="s">
        <v>26</v>
      </c>
      <c r="G19" s="64" t="s">
        <v>25</v>
      </c>
      <c r="H19" s="64"/>
      <c r="I19" s="63"/>
    </row>
    <row r="20" spans="1:9" s="60" customFormat="1" ht="3" customHeight="1">
      <c r="A20" s="65"/>
      <c r="B20" s="65"/>
      <c r="C20" s="65"/>
      <c r="D20" s="65"/>
      <c r="E20" s="65"/>
      <c r="F20" s="65"/>
      <c r="G20" s="65"/>
      <c r="H20" s="65"/>
      <c r="I20" s="63"/>
    </row>
    <row r="21" spans="1:9" s="60" customFormat="1" ht="14.25" customHeight="1">
      <c r="A21" s="131">
        <v>1</v>
      </c>
      <c r="B21" s="131">
        <v>2</v>
      </c>
      <c r="C21" s="132">
        <v>3</v>
      </c>
      <c r="D21" s="132">
        <v>4</v>
      </c>
      <c r="E21" s="132">
        <v>5</v>
      </c>
      <c r="F21" s="132">
        <v>6</v>
      </c>
      <c r="G21" s="132">
        <v>7</v>
      </c>
      <c r="H21" s="132">
        <v>8</v>
      </c>
      <c r="I21" s="63"/>
    </row>
    <row r="22" spans="1:9" s="60" customFormat="1" ht="17.25" customHeight="1">
      <c r="A22" s="56"/>
      <c r="B22" s="186"/>
      <c r="C22" s="121" t="s">
        <v>27</v>
      </c>
      <c r="D22" s="56"/>
      <c r="E22" s="56"/>
      <c r="F22" s="56"/>
      <c r="G22" s="56"/>
      <c r="H22" s="56"/>
      <c r="I22" s="59"/>
    </row>
    <row r="23" spans="1:9" s="60" customFormat="1" ht="15.75" customHeight="1">
      <c r="A23" s="54"/>
      <c r="B23" s="58"/>
      <c r="C23" s="66" t="s">
        <v>28</v>
      </c>
      <c r="D23" s="54"/>
      <c r="E23" s="54"/>
      <c r="F23" s="54"/>
      <c r="G23" s="54"/>
      <c r="H23" s="54"/>
      <c r="I23" s="59"/>
    </row>
    <row r="24" spans="1:9" s="60" customFormat="1" ht="15.75" customHeight="1">
      <c r="A24" s="42">
        <v>1</v>
      </c>
      <c r="B24" s="208" t="s">
        <v>187</v>
      </c>
      <c r="C24" s="66" t="s">
        <v>677</v>
      </c>
      <c r="D24" s="67">
        <f>დემონტაჯი!G8</f>
        <v>2.1808893047040003</v>
      </c>
      <c r="E24" s="54"/>
      <c r="F24" s="54"/>
      <c r="G24" s="54"/>
      <c r="H24" s="67">
        <f>D24</f>
        <v>2.1808893047040003</v>
      </c>
      <c r="I24" s="59"/>
    </row>
    <row r="25" spans="1:9" s="60" customFormat="1" ht="2.25" customHeight="1">
      <c r="A25" s="54"/>
      <c r="B25" s="58"/>
      <c r="C25" s="66"/>
      <c r="D25" s="54"/>
      <c r="E25" s="54"/>
      <c r="F25" s="54"/>
      <c r="G25" s="54"/>
      <c r="H25" s="67"/>
      <c r="I25" s="59"/>
    </row>
    <row r="26" spans="1:9" s="60" customFormat="1" ht="14.25" customHeight="1">
      <c r="A26" s="54"/>
      <c r="B26" s="58"/>
      <c r="C26" s="66" t="s">
        <v>29</v>
      </c>
      <c r="D26" s="54"/>
      <c r="E26" s="54"/>
      <c r="F26" s="54"/>
      <c r="G26" s="54"/>
      <c r="H26" s="68"/>
      <c r="I26" s="59"/>
    </row>
    <row r="27" spans="1:9" s="60" customFormat="1" ht="1.5" customHeight="1">
      <c r="A27" s="54"/>
      <c r="B27" s="58"/>
      <c r="C27" s="66"/>
      <c r="D27" s="54"/>
      <c r="E27" s="54"/>
      <c r="F27" s="54"/>
      <c r="G27" s="54"/>
      <c r="H27" s="68"/>
      <c r="I27" s="59"/>
    </row>
    <row r="28" spans="1:9" s="60" customFormat="1" ht="18" customHeight="1">
      <c r="A28" s="42">
        <v>2</v>
      </c>
      <c r="B28" s="208" t="s">
        <v>169</v>
      </c>
      <c r="C28" s="209" t="s">
        <v>336</v>
      </c>
      <c r="D28" s="48">
        <f>'მიწის ვაკისი'!G8</f>
        <v>1892.5035124102592</v>
      </c>
      <c r="E28" s="42"/>
      <c r="F28" s="42"/>
      <c r="G28" s="42"/>
      <c r="H28" s="48">
        <f>D28</f>
        <v>1892.5035124102592</v>
      </c>
      <c r="I28" s="59"/>
    </row>
    <row r="29" spans="1:9" s="60" customFormat="1" ht="1.5" customHeight="1">
      <c r="A29" s="42"/>
      <c r="B29" s="208"/>
      <c r="C29" s="209"/>
      <c r="D29" s="48"/>
      <c r="E29" s="42"/>
      <c r="F29" s="42"/>
      <c r="G29" s="42"/>
      <c r="H29" s="48"/>
      <c r="I29" s="59"/>
    </row>
    <row r="30" spans="1:9" s="60" customFormat="1" ht="18" customHeight="1">
      <c r="A30" s="42">
        <v>3</v>
      </c>
      <c r="B30" s="208" t="s">
        <v>220</v>
      </c>
      <c r="C30" s="209" t="s">
        <v>410</v>
      </c>
      <c r="D30" s="48">
        <f>'რკ.ბეტონის კიუვეტი'!F4</f>
        <v>104.1860563526598</v>
      </c>
      <c r="E30" s="42"/>
      <c r="F30" s="42"/>
      <c r="G30" s="42"/>
      <c r="H30" s="48">
        <f>D30</f>
        <v>104.1860563526598</v>
      </c>
      <c r="I30" s="59"/>
    </row>
    <row r="31" spans="1:9" s="60" customFormat="1" ht="1.5" customHeight="1">
      <c r="A31" s="42"/>
      <c r="B31" s="208"/>
      <c r="C31" s="209"/>
      <c r="D31" s="48"/>
      <c r="E31" s="42"/>
      <c r="F31" s="42"/>
      <c r="G31" s="42"/>
      <c r="H31" s="48"/>
      <c r="I31" s="59"/>
    </row>
    <row r="32" spans="1:9" s="60" customFormat="1" ht="18.75" customHeight="1">
      <c r="A32" s="42">
        <v>4</v>
      </c>
      <c r="B32" s="208" t="s">
        <v>212</v>
      </c>
      <c r="C32" s="209" t="s">
        <v>378</v>
      </c>
      <c r="D32" s="48">
        <f>'რკ.ბეტონის კიუვეტი (2)'!F4</f>
        <v>88.044106268516103</v>
      </c>
      <c r="E32" s="42"/>
      <c r="F32" s="42"/>
      <c r="G32" s="42"/>
      <c r="H32" s="48">
        <f>D32</f>
        <v>88.044106268516103</v>
      </c>
      <c r="I32" s="59"/>
    </row>
    <row r="33" spans="1:9" s="60" customFormat="1" ht="1.5" customHeight="1">
      <c r="A33" s="52"/>
      <c r="B33" s="226"/>
      <c r="C33" s="69"/>
      <c r="D33" s="52"/>
      <c r="E33" s="52"/>
      <c r="F33" s="52"/>
      <c r="G33" s="52"/>
      <c r="H33" s="70"/>
      <c r="I33" s="59"/>
    </row>
    <row r="34" spans="1:9" s="60" customFormat="1" ht="2.25" customHeight="1">
      <c r="A34" s="54"/>
      <c r="B34" s="58"/>
      <c r="C34" s="66"/>
      <c r="D34" s="54"/>
      <c r="E34" s="54"/>
      <c r="F34" s="54"/>
      <c r="G34" s="54"/>
      <c r="H34" s="68"/>
      <c r="I34" s="59"/>
    </row>
    <row r="35" spans="1:9" s="60" customFormat="1" ht="15.75" customHeight="1">
      <c r="A35" s="54"/>
      <c r="B35" s="58"/>
      <c r="C35" s="66" t="s">
        <v>89</v>
      </c>
      <c r="D35" s="67">
        <f>SUM(D28:D33)</f>
        <v>2084.7336750314353</v>
      </c>
      <c r="E35" s="54"/>
      <c r="F35" s="54"/>
      <c r="G35" s="54"/>
      <c r="H35" s="67">
        <f>D35</f>
        <v>2084.7336750314353</v>
      </c>
      <c r="I35" s="59"/>
    </row>
    <row r="36" spans="1:9" s="60" customFormat="1" ht="1.5" customHeight="1">
      <c r="A36" s="54"/>
      <c r="B36" s="58"/>
      <c r="C36" s="66"/>
      <c r="D36" s="54"/>
      <c r="E36" s="54"/>
      <c r="F36" s="54"/>
      <c r="G36" s="54"/>
      <c r="H36" s="67"/>
      <c r="I36" s="59"/>
    </row>
    <row r="37" spans="1:9" s="60" customFormat="1" ht="15.75" customHeight="1">
      <c r="A37" s="54"/>
      <c r="B37" s="58"/>
      <c r="C37" s="66" t="s">
        <v>30</v>
      </c>
      <c r="D37" s="54"/>
      <c r="E37" s="54"/>
      <c r="F37" s="54"/>
      <c r="G37" s="54"/>
      <c r="H37" s="67"/>
      <c r="I37" s="59"/>
    </row>
    <row r="38" spans="1:9" s="60" customFormat="1" ht="1.5" customHeight="1">
      <c r="A38" s="54"/>
      <c r="B38" s="58"/>
      <c r="C38" s="66"/>
      <c r="D38" s="54"/>
      <c r="E38" s="54"/>
      <c r="F38" s="54"/>
      <c r="G38" s="54"/>
      <c r="H38" s="67"/>
      <c r="I38" s="59"/>
    </row>
    <row r="39" spans="1:9" s="60" customFormat="1" ht="16.5" customHeight="1">
      <c r="A39" s="54">
        <v>5</v>
      </c>
      <c r="B39" s="58" t="s">
        <v>225</v>
      </c>
      <c r="C39" s="66" t="s">
        <v>133</v>
      </c>
      <c r="D39" s="67">
        <f>ა.ბეტონი!F4</f>
        <v>329.58692007096238</v>
      </c>
      <c r="E39" s="54"/>
      <c r="F39" s="54"/>
      <c r="G39" s="54"/>
      <c r="H39" s="67">
        <f>D39</f>
        <v>329.58692007096238</v>
      </c>
      <c r="I39" s="213"/>
    </row>
    <row r="40" spans="1:9" s="60" customFormat="1" ht="1.5" customHeight="1">
      <c r="A40" s="54"/>
      <c r="B40" s="58"/>
      <c r="C40" s="66"/>
      <c r="D40" s="54"/>
      <c r="E40" s="54"/>
      <c r="F40" s="54"/>
      <c r="G40" s="54"/>
      <c r="H40" s="67"/>
      <c r="I40" s="59"/>
    </row>
    <row r="41" spans="1:9" s="60" customFormat="1" ht="33" customHeight="1">
      <c r="A41" s="42">
        <v>6</v>
      </c>
      <c r="B41" s="208" t="s">
        <v>238</v>
      </c>
      <c r="C41" s="220" t="s">
        <v>405</v>
      </c>
      <c r="D41" s="48">
        <f>'ა.ბეტონი მიერთ'!F4</f>
        <v>44.044669437436795</v>
      </c>
      <c r="E41" s="42"/>
      <c r="F41" s="42"/>
      <c r="G41" s="42"/>
      <c r="H41" s="48">
        <f>D41</f>
        <v>44.044669437436795</v>
      </c>
      <c r="I41" s="59"/>
    </row>
    <row r="42" spans="1:9" s="60" customFormat="1" ht="15.75" customHeight="1">
      <c r="A42" s="54"/>
      <c r="B42" s="83"/>
      <c r="C42" s="81" t="s">
        <v>90</v>
      </c>
      <c r="D42" s="122">
        <f>SUM(D39:D41)</f>
        <v>373.6315895083992</v>
      </c>
      <c r="E42" s="56"/>
      <c r="F42" s="56"/>
      <c r="G42" s="56"/>
      <c r="H42" s="122">
        <f>D42</f>
        <v>373.6315895083992</v>
      </c>
      <c r="I42" s="59"/>
    </row>
    <row r="43" spans="1:9" s="60" customFormat="1" ht="16.5" customHeight="1">
      <c r="A43" s="56"/>
      <c r="B43" s="186"/>
      <c r="C43" s="121" t="s">
        <v>31</v>
      </c>
      <c r="D43" s="56"/>
      <c r="E43" s="56"/>
      <c r="F43" s="183"/>
      <c r="G43" s="56"/>
      <c r="H43" s="187"/>
      <c r="I43" s="59"/>
    </row>
    <row r="44" spans="1:9" s="60" customFormat="1" ht="1.5" customHeight="1">
      <c r="A44" s="54"/>
      <c r="B44" s="58"/>
      <c r="C44" s="66"/>
      <c r="D44" s="54"/>
      <c r="E44" s="54"/>
      <c r="F44" s="184"/>
      <c r="G44" s="54"/>
      <c r="H44" s="188"/>
      <c r="I44" s="59"/>
    </row>
    <row r="45" spans="1:9" s="60" customFormat="1" ht="19.5" customHeight="1">
      <c r="A45" s="54">
        <v>7</v>
      </c>
      <c r="B45" s="58" t="s">
        <v>222</v>
      </c>
      <c r="C45" s="66" t="s">
        <v>684</v>
      </c>
      <c r="D45" s="67">
        <f>'მილი 1.0'!F6</f>
        <v>53.289533461623229</v>
      </c>
      <c r="E45" s="54"/>
      <c r="F45" s="184"/>
      <c r="G45" s="54"/>
      <c r="H45" s="189">
        <f>D45</f>
        <v>53.289533461623229</v>
      </c>
      <c r="I45" s="59"/>
    </row>
    <row r="46" spans="1:9" s="60" customFormat="1" ht="1.5" customHeight="1">
      <c r="A46" s="54"/>
      <c r="B46" s="58"/>
      <c r="C46" s="66"/>
      <c r="D46" s="67"/>
      <c r="E46" s="54"/>
      <c r="F46" s="184"/>
      <c r="G46" s="54"/>
      <c r="H46" s="189"/>
      <c r="I46" s="59"/>
    </row>
    <row r="47" spans="1:9" s="60" customFormat="1" ht="16.5" customHeight="1">
      <c r="A47" s="54">
        <v>8</v>
      </c>
      <c r="B47" s="58" t="s">
        <v>182</v>
      </c>
      <c r="C47" s="66" t="s">
        <v>325</v>
      </c>
      <c r="D47" s="67">
        <f>'მილი (2X2)'!F6</f>
        <v>78.955988273593576</v>
      </c>
      <c r="E47" s="54"/>
      <c r="F47" s="184"/>
      <c r="G47" s="54"/>
      <c r="H47" s="189">
        <f>D47</f>
        <v>78.955988273593576</v>
      </c>
      <c r="I47" s="59"/>
    </row>
    <row r="48" spans="1:9" s="60" customFormat="1" ht="1.5" customHeight="1">
      <c r="A48" s="54"/>
      <c r="B48" s="58"/>
      <c r="C48" s="66"/>
      <c r="D48" s="67"/>
      <c r="E48" s="54"/>
      <c r="F48" s="184"/>
      <c r="G48" s="54"/>
      <c r="H48" s="189"/>
      <c r="I48" s="59"/>
    </row>
    <row r="49" spans="1:9" s="60" customFormat="1" ht="16.5" customHeight="1">
      <c r="A49" s="54">
        <v>9</v>
      </c>
      <c r="B49" s="58" t="s">
        <v>173</v>
      </c>
      <c r="C49" s="66" t="str">
        <f>გაბიონი!A4</f>
        <v>gabionebis mowyoba</v>
      </c>
      <c r="D49" s="67">
        <f>გაბიონი!G6</f>
        <v>912.08517695222395</v>
      </c>
      <c r="E49" s="54"/>
      <c r="F49" s="184"/>
      <c r="G49" s="54"/>
      <c r="H49" s="189">
        <f>D49</f>
        <v>912.08517695222395</v>
      </c>
      <c r="I49" s="59"/>
    </row>
    <row r="50" spans="1:9" s="60" customFormat="1" ht="1.5" customHeight="1">
      <c r="A50" s="54"/>
      <c r="B50" s="58"/>
      <c r="C50" s="69"/>
      <c r="D50" s="52"/>
      <c r="E50" s="52"/>
      <c r="F50" s="185"/>
      <c r="G50" s="52"/>
      <c r="H50" s="190"/>
      <c r="I50" s="59"/>
    </row>
    <row r="51" spans="1:9" s="60" customFormat="1" ht="18" customHeight="1">
      <c r="A51" s="52"/>
      <c r="B51" s="84"/>
      <c r="C51" s="82" t="s">
        <v>32</v>
      </c>
      <c r="D51" s="71">
        <f>SUM(D44:D50)</f>
        <v>1044.3306986874409</v>
      </c>
      <c r="E51" s="52"/>
      <c r="F51" s="52"/>
      <c r="G51" s="52"/>
      <c r="H51" s="71">
        <f>D51</f>
        <v>1044.3306986874409</v>
      </c>
      <c r="I51" s="59"/>
    </row>
    <row r="52" spans="1:9" s="60" customFormat="1" ht="3" customHeight="1">
      <c r="A52" s="56"/>
      <c r="B52" s="56"/>
      <c r="C52" s="121"/>
      <c r="D52" s="56"/>
      <c r="E52" s="56"/>
      <c r="F52" s="56"/>
      <c r="G52" s="56"/>
      <c r="H52" s="122"/>
      <c r="I52" s="59"/>
    </row>
    <row r="53" spans="1:9" s="60" customFormat="1" ht="13.5" customHeight="1">
      <c r="A53" s="54"/>
      <c r="B53" s="54"/>
      <c r="C53" s="66" t="s">
        <v>33</v>
      </c>
      <c r="D53" s="54"/>
      <c r="E53" s="54"/>
      <c r="F53" s="54"/>
      <c r="G53" s="54"/>
      <c r="H53" s="67"/>
      <c r="I53" s="59"/>
    </row>
    <row r="54" spans="1:9" s="60" customFormat="1" ht="3.75" customHeight="1">
      <c r="A54" s="54"/>
      <c r="B54" s="54"/>
      <c r="C54" s="66"/>
      <c r="D54" s="54"/>
      <c r="E54" s="54"/>
      <c r="F54" s="54"/>
      <c r="G54" s="54"/>
      <c r="H54" s="67"/>
      <c r="I54" s="59"/>
    </row>
    <row r="55" spans="1:9" s="60" customFormat="1" ht="14.25" customHeight="1">
      <c r="A55" s="54"/>
      <c r="B55" s="54"/>
      <c r="C55" s="66" t="s">
        <v>34</v>
      </c>
      <c r="D55" s="54"/>
      <c r="E55" s="54"/>
      <c r="F55" s="54"/>
      <c r="G55" s="54"/>
      <c r="H55" s="67"/>
      <c r="I55" s="59"/>
    </row>
    <row r="56" spans="1:9" s="60" customFormat="1" ht="3" customHeight="1">
      <c r="A56" s="54"/>
      <c r="B56" s="58"/>
      <c r="C56" s="66"/>
      <c r="D56" s="54"/>
      <c r="E56" s="54"/>
      <c r="F56" s="54"/>
      <c r="G56" s="54"/>
      <c r="H56" s="67"/>
      <c r="I56" s="59"/>
    </row>
    <row r="57" spans="1:9" s="60" customFormat="1" ht="16.5">
      <c r="A57" s="54">
        <v>10</v>
      </c>
      <c r="B57" s="58" t="s">
        <v>351</v>
      </c>
      <c r="C57" s="66" t="s">
        <v>183</v>
      </c>
      <c r="D57" s="67">
        <f>MONISHVNA!G4</f>
        <v>2.0027300673599995</v>
      </c>
      <c r="E57" s="54"/>
      <c r="F57" s="54"/>
      <c r="G57" s="54"/>
      <c r="H57" s="67">
        <f>D57</f>
        <v>2.0027300673599995</v>
      </c>
      <c r="I57" s="59"/>
    </row>
    <row r="58" spans="1:9" s="60" customFormat="1" ht="2.25" customHeight="1">
      <c r="A58" s="54"/>
      <c r="B58" s="58"/>
      <c r="C58" s="66"/>
      <c r="D58" s="67"/>
      <c r="E58" s="54"/>
      <c r="F58" s="54"/>
      <c r="G58" s="54"/>
      <c r="H58" s="67"/>
      <c r="I58" s="59"/>
    </row>
    <row r="59" spans="1:9" s="60" customFormat="1" ht="16.5">
      <c r="A59" s="54">
        <v>11</v>
      </c>
      <c r="B59" s="58" t="s">
        <v>407</v>
      </c>
      <c r="C59" s="66" t="str">
        <f>თვალამრიდი!A3</f>
        <v>liTonis Tvalamridebis mowyoba</v>
      </c>
      <c r="D59" s="67">
        <f>თვალამრიდი!E4</f>
        <v>73.966080934944003</v>
      </c>
      <c r="E59" s="54"/>
      <c r="F59" s="54"/>
      <c r="G59" s="54"/>
      <c r="H59" s="67">
        <f>D59</f>
        <v>73.966080934944003</v>
      </c>
      <c r="I59" s="59"/>
    </row>
    <row r="60" spans="1:9" s="60" customFormat="1" ht="3.75" customHeight="1">
      <c r="A60" s="54"/>
      <c r="B60" s="58"/>
      <c r="C60" s="66"/>
      <c r="D60" s="67"/>
      <c r="E60" s="54"/>
      <c r="F60" s="54"/>
      <c r="G60" s="54"/>
      <c r="H60" s="67"/>
      <c r="I60" s="59"/>
    </row>
    <row r="61" spans="1:9" s="60" customFormat="1" ht="19.5" customHeight="1">
      <c r="A61" s="54"/>
      <c r="B61" s="54"/>
      <c r="C61" s="258" t="s">
        <v>216</v>
      </c>
      <c r="D61" s="122">
        <f>SUM(D57:D60)</f>
        <v>75.968811002304008</v>
      </c>
      <c r="E61" s="56"/>
      <c r="F61" s="56"/>
      <c r="G61" s="56"/>
      <c r="H61" s="122">
        <f>D61</f>
        <v>75.968811002304008</v>
      </c>
      <c r="I61" s="59"/>
    </row>
    <row r="62" spans="1:9" s="60" customFormat="1" ht="19.5" customHeight="1">
      <c r="A62" s="54"/>
      <c r="B62" s="54"/>
      <c r="C62" s="213" t="s">
        <v>491</v>
      </c>
      <c r="D62" s="122"/>
      <c r="E62" s="56"/>
      <c r="F62" s="56"/>
      <c r="G62" s="56"/>
      <c r="H62" s="122"/>
      <c r="I62" s="59"/>
    </row>
    <row r="63" spans="1:9" s="60" customFormat="1" ht="19.5" customHeight="1">
      <c r="A63" s="54">
        <v>12</v>
      </c>
      <c r="B63" s="58" t="s">
        <v>507</v>
      </c>
      <c r="C63" s="66" t="s">
        <v>492</v>
      </c>
      <c r="D63" s="67">
        <f>განათება!F4</f>
        <v>39.094848843984003</v>
      </c>
      <c r="E63" s="54"/>
      <c r="F63" s="54"/>
      <c r="G63" s="54"/>
      <c r="H63" s="67">
        <f>D63</f>
        <v>39.094848843984003</v>
      </c>
      <c r="I63" s="59"/>
    </row>
    <row r="64" spans="1:9" s="60" customFormat="1" ht="6" customHeight="1">
      <c r="A64" s="54"/>
      <c r="B64" s="54"/>
      <c r="C64" s="570"/>
      <c r="D64" s="71"/>
      <c r="E64" s="52"/>
      <c r="F64" s="52"/>
      <c r="G64" s="52"/>
      <c r="H64" s="71"/>
      <c r="I64" s="59"/>
    </row>
    <row r="65" spans="1:9" s="60" customFormat="1" ht="17.25" customHeight="1">
      <c r="A65" s="52"/>
      <c r="B65" s="52"/>
      <c r="C65" s="69" t="s">
        <v>35</v>
      </c>
      <c r="D65" s="225">
        <f>D51+D42+D35+D61+D24+D63</f>
        <v>3619.9405123782676</v>
      </c>
      <c r="E65" s="52"/>
      <c r="F65" s="52"/>
      <c r="G65" s="71"/>
      <c r="H65" s="71">
        <f>D65</f>
        <v>3619.9405123782676</v>
      </c>
      <c r="I65" s="59"/>
    </row>
    <row r="66" spans="1:9" s="60" customFormat="1" ht="3" customHeight="1">
      <c r="A66" s="56"/>
      <c r="B66" s="56"/>
      <c r="C66" s="121"/>
      <c r="D66" s="56"/>
      <c r="E66" s="56"/>
      <c r="F66" s="56"/>
      <c r="G66" s="56"/>
      <c r="H66" s="122"/>
      <c r="I66" s="59"/>
    </row>
    <row r="67" spans="1:9" s="60" customFormat="1" ht="16.5">
      <c r="A67" s="54"/>
      <c r="B67" s="54"/>
      <c r="C67" s="66" t="s">
        <v>170</v>
      </c>
      <c r="D67" s="54"/>
      <c r="E67" s="54"/>
      <c r="F67" s="54"/>
      <c r="G67" s="54"/>
      <c r="H67" s="67"/>
      <c r="I67" s="59"/>
    </row>
    <row r="68" spans="1:9" s="73" customFormat="1" ht="3" customHeight="1">
      <c r="A68" s="54"/>
      <c r="B68" s="54"/>
      <c r="C68" s="69"/>
      <c r="D68" s="71"/>
      <c r="E68" s="71"/>
      <c r="F68" s="71"/>
      <c r="G68" s="71"/>
      <c r="H68" s="71"/>
      <c r="I68" s="59"/>
    </row>
    <row r="69" spans="1:9" s="73" customFormat="1" ht="18" customHeight="1">
      <c r="A69" s="54">
        <v>13</v>
      </c>
      <c r="B69" s="58" t="s">
        <v>519</v>
      </c>
      <c r="C69" s="66" t="s">
        <v>520</v>
      </c>
      <c r="D69" s="67"/>
      <c r="E69" s="67"/>
      <c r="F69" s="67"/>
      <c r="G69" s="67"/>
      <c r="H69" s="67"/>
      <c r="I69" s="59"/>
    </row>
    <row r="70" spans="1:9" s="73" customFormat="1" ht="16.5">
      <c r="A70" s="54"/>
      <c r="B70" s="54"/>
      <c r="C70" s="66" t="s">
        <v>36</v>
      </c>
      <c r="D70" s="67">
        <f>D65+D69+0.01</f>
        <v>3619.9505123782678</v>
      </c>
      <c r="E70" s="54"/>
      <c r="F70" s="54"/>
      <c r="G70" s="54"/>
      <c r="H70" s="67">
        <f>D70</f>
        <v>3619.9505123782678</v>
      </c>
      <c r="I70" s="59"/>
    </row>
    <row r="71" spans="1:9" s="73" customFormat="1" ht="2.25" customHeight="1">
      <c r="A71" s="54"/>
      <c r="B71" s="54"/>
      <c r="C71" s="66"/>
      <c r="D71" s="54"/>
      <c r="E71" s="54"/>
      <c r="F71" s="54"/>
      <c r="G71" s="54"/>
      <c r="H71" s="54"/>
      <c r="I71" s="59"/>
    </row>
    <row r="72" spans="1:9" s="73" customFormat="1" ht="16.5">
      <c r="A72" s="54"/>
      <c r="B72" s="54"/>
      <c r="C72" s="66" t="s">
        <v>37</v>
      </c>
      <c r="D72" s="54"/>
      <c r="E72" s="54"/>
      <c r="F72" s="54"/>
      <c r="G72" s="54"/>
      <c r="H72" s="54"/>
      <c r="I72" s="59"/>
    </row>
    <row r="73" spans="1:9" s="73" customFormat="1" ht="3" customHeight="1">
      <c r="A73" s="54"/>
      <c r="B73" s="54"/>
      <c r="C73" s="66"/>
      <c r="D73" s="54"/>
      <c r="E73" s="54"/>
      <c r="F73" s="54"/>
      <c r="G73" s="54"/>
      <c r="H73" s="54"/>
      <c r="I73" s="59"/>
    </row>
    <row r="74" spans="1:9" s="73" customFormat="1" ht="16.5">
      <c r="A74" s="54">
        <v>14</v>
      </c>
      <c r="B74" s="54"/>
      <c r="C74" s="72" t="s">
        <v>92</v>
      </c>
      <c r="D74" s="54"/>
      <c r="E74" s="54"/>
      <c r="F74" s="54"/>
      <c r="G74" s="54"/>
      <c r="H74" s="67"/>
      <c r="I74" s="59"/>
    </row>
    <row r="75" spans="1:9" s="73" customFormat="1" ht="3" customHeight="1">
      <c r="A75" s="54"/>
      <c r="B75" s="54"/>
      <c r="C75" s="69"/>
      <c r="D75" s="52"/>
      <c r="E75" s="52"/>
      <c r="F75" s="52"/>
      <c r="G75" s="71"/>
      <c r="H75" s="71"/>
      <c r="I75" s="59"/>
    </row>
    <row r="76" spans="1:9" s="60" customFormat="1" ht="20.25" customHeight="1">
      <c r="A76" s="54"/>
      <c r="B76" s="54"/>
      <c r="C76" s="66" t="s">
        <v>38</v>
      </c>
      <c r="D76" s="67"/>
      <c r="E76" s="54"/>
      <c r="F76" s="54"/>
      <c r="G76" s="67"/>
      <c r="H76" s="67"/>
      <c r="I76" s="59"/>
    </row>
    <row r="77" spans="1:9" s="60" customFormat="1" ht="3" customHeight="1">
      <c r="A77" s="54"/>
      <c r="B77" s="54"/>
      <c r="C77" s="66"/>
      <c r="D77" s="67"/>
      <c r="E77" s="54"/>
      <c r="F77" s="54"/>
      <c r="G77" s="67"/>
      <c r="H77" s="67"/>
      <c r="I77" s="59"/>
    </row>
    <row r="78" spans="1:9" s="60" customFormat="1" ht="16.5">
      <c r="A78" s="54"/>
      <c r="B78" s="54"/>
      <c r="C78" s="66" t="s">
        <v>39</v>
      </c>
      <c r="D78" s="54"/>
      <c r="E78" s="54"/>
      <c r="F78" s="54"/>
      <c r="G78" s="54"/>
      <c r="H78" s="67"/>
      <c r="I78" s="59"/>
    </row>
    <row r="79" spans="1:9" s="60" customFormat="1" ht="3" customHeight="1">
      <c r="A79" s="54"/>
      <c r="B79" s="54"/>
      <c r="C79" s="66"/>
      <c r="D79" s="54"/>
      <c r="E79" s="54"/>
      <c r="F79" s="54"/>
      <c r="G79" s="54"/>
      <c r="H79" s="67"/>
      <c r="I79" s="59"/>
    </row>
    <row r="80" spans="1:9" s="73" customFormat="1" ht="18.75" customHeight="1">
      <c r="A80" s="54">
        <v>15</v>
      </c>
      <c r="B80" s="54"/>
      <c r="C80" s="66" t="s">
        <v>91</v>
      </c>
      <c r="D80" s="54"/>
      <c r="E80" s="54"/>
      <c r="F80" s="54"/>
      <c r="G80" s="54"/>
      <c r="H80" s="54"/>
      <c r="I80" s="59"/>
    </row>
    <row r="81" spans="1:9" s="73" customFormat="1" ht="18.75" customHeight="1">
      <c r="A81" s="54"/>
      <c r="B81" s="54"/>
      <c r="C81" s="74" t="s">
        <v>352</v>
      </c>
      <c r="D81" s="54"/>
      <c r="E81" s="54"/>
      <c r="F81" s="54"/>
      <c r="G81" s="67"/>
      <c r="H81" s="67"/>
      <c r="I81" s="59"/>
    </row>
    <row r="82" spans="1:9" s="73" customFormat="1" ht="3" customHeight="1">
      <c r="A82" s="54"/>
      <c r="B82" s="54"/>
      <c r="C82" s="74"/>
      <c r="D82" s="54"/>
      <c r="E82" s="54"/>
      <c r="F82" s="54"/>
      <c r="G82" s="75"/>
      <c r="H82" s="67"/>
      <c r="I82" s="59"/>
    </row>
    <row r="83" spans="1:9" s="73" customFormat="1" ht="15.75" customHeight="1">
      <c r="A83" s="52"/>
      <c r="B83" s="52"/>
      <c r="C83" s="76" t="s">
        <v>40</v>
      </c>
      <c r="D83" s="52"/>
      <c r="E83" s="52"/>
      <c r="F83" s="52"/>
      <c r="G83" s="71"/>
      <c r="H83" s="71"/>
      <c r="I83" s="59"/>
    </row>
    <row r="84" spans="1:9" s="73" customFormat="1" ht="18" customHeight="1">
      <c r="A84" s="54"/>
      <c r="B84" s="54"/>
      <c r="C84" s="66" t="s">
        <v>41</v>
      </c>
      <c r="D84" s="67">
        <f>D70</f>
        <v>3619.9505123782678</v>
      </c>
      <c r="E84" s="54"/>
      <c r="F84" s="54"/>
      <c r="G84" s="67"/>
      <c r="H84" s="67">
        <f>H83+H70</f>
        <v>3619.9505123782678</v>
      </c>
      <c r="I84" s="59"/>
    </row>
    <row r="85" spans="1:9" s="78" customFormat="1" ht="2.25" customHeight="1">
      <c r="A85" s="54"/>
      <c r="B85" s="54"/>
      <c r="C85" s="79"/>
      <c r="D85" s="71"/>
      <c r="E85" s="52"/>
      <c r="F85" s="52"/>
      <c r="G85" s="71"/>
      <c r="H85" s="71"/>
      <c r="I85" s="59"/>
    </row>
    <row r="86" spans="1:9" s="78" customFormat="1" ht="17.25" customHeight="1">
      <c r="A86" s="54"/>
      <c r="B86" s="54"/>
      <c r="C86" s="77" t="s">
        <v>1</v>
      </c>
      <c r="D86" s="67">
        <f>D84</f>
        <v>3619.9505123782678</v>
      </c>
      <c r="E86" s="54"/>
      <c r="F86" s="54"/>
      <c r="G86" s="67"/>
      <c r="H86" s="67">
        <f>H84</f>
        <v>3619.9505123782678</v>
      </c>
      <c r="I86" s="59"/>
    </row>
    <row r="87" spans="1:9" s="78" customFormat="1" ht="2.25" customHeight="1">
      <c r="A87" s="54"/>
      <c r="B87" s="54"/>
      <c r="C87" s="77"/>
      <c r="D87" s="67"/>
      <c r="E87" s="54"/>
      <c r="F87" s="54"/>
      <c r="G87" s="67"/>
      <c r="H87" s="67"/>
      <c r="I87" s="59"/>
    </row>
    <row r="88" spans="1:9" s="78" customFormat="1" ht="17.25" customHeight="1">
      <c r="A88" s="54">
        <v>16</v>
      </c>
      <c r="B88" s="54"/>
      <c r="C88" s="77" t="s">
        <v>678</v>
      </c>
      <c r="D88" s="67">
        <f>D86*0.05</f>
        <v>180.99752561891341</v>
      </c>
      <c r="E88" s="54"/>
      <c r="F88" s="54"/>
      <c r="G88" s="67"/>
      <c r="H88" s="67">
        <f>D88</f>
        <v>180.99752561891341</v>
      </c>
      <c r="I88" s="59"/>
    </row>
    <row r="89" spans="1:9" s="78" customFormat="1" ht="2.25" customHeight="1">
      <c r="A89" s="54"/>
      <c r="B89" s="54"/>
      <c r="C89" s="77"/>
      <c r="D89" s="67"/>
      <c r="E89" s="54"/>
      <c r="F89" s="54"/>
      <c r="G89" s="67"/>
      <c r="H89" s="67"/>
      <c r="I89" s="59"/>
    </row>
    <row r="90" spans="1:9" s="78" customFormat="1" ht="17.25" customHeight="1">
      <c r="A90" s="54"/>
      <c r="B90" s="54"/>
      <c r="C90" s="77" t="s">
        <v>189</v>
      </c>
      <c r="D90" s="67">
        <f>D86+D88</f>
        <v>3800.948037997181</v>
      </c>
      <c r="E90" s="54"/>
      <c r="F90" s="54"/>
      <c r="G90" s="67"/>
      <c r="H90" s="67">
        <f>H86+H88</f>
        <v>3800.948037997181</v>
      </c>
      <c r="I90" s="59"/>
    </row>
    <row r="91" spans="1:9" s="78" customFormat="1" ht="3" customHeight="1">
      <c r="A91" s="54"/>
      <c r="B91" s="54"/>
      <c r="C91" s="77"/>
      <c r="D91" s="67"/>
      <c r="E91" s="54"/>
      <c r="F91" s="54"/>
      <c r="G91" s="67"/>
      <c r="H91" s="67"/>
      <c r="I91" s="59"/>
    </row>
    <row r="92" spans="1:9" s="78" customFormat="1" ht="17.25" customHeight="1">
      <c r="A92" s="54">
        <v>17</v>
      </c>
      <c r="B92" s="54"/>
      <c r="C92" s="176" t="s">
        <v>42</v>
      </c>
      <c r="D92" s="177"/>
      <c r="E92" s="175"/>
      <c r="F92" s="175"/>
      <c r="G92" s="175"/>
      <c r="H92" s="177"/>
      <c r="I92" s="59"/>
    </row>
    <row r="93" spans="1:9" s="78" customFormat="1" ht="18" customHeight="1">
      <c r="A93" s="54"/>
      <c r="B93" s="54"/>
      <c r="C93" s="178" t="s">
        <v>43</v>
      </c>
      <c r="D93" s="177">
        <f>D90*0.18</f>
        <v>684.17064683949252</v>
      </c>
      <c r="E93" s="175"/>
      <c r="F93" s="175"/>
      <c r="G93" s="177"/>
      <c r="H93" s="177">
        <f>H90*0.18</f>
        <v>684.17064683949252</v>
      </c>
      <c r="I93" s="63"/>
    </row>
    <row r="94" spans="1:9" s="78" customFormat="1" ht="3" customHeight="1">
      <c r="A94" s="54"/>
      <c r="B94" s="54"/>
      <c r="C94" s="69"/>
      <c r="D94" s="71"/>
      <c r="E94" s="52"/>
      <c r="F94" s="52"/>
      <c r="G94" s="71"/>
      <c r="H94" s="71"/>
      <c r="I94" s="63"/>
    </row>
    <row r="95" spans="1:9" s="78" customFormat="1" ht="19.5" customHeight="1">
      <c r="A95" s="54"/>
      <c r="B95" s="54"/>
      <c r="C95" s="54" t="s">
        <v>44</v>
      </c>
      <c r="D95" s="67">
        <f>D90+D93</f>
        <v>4485.1186848366733</v>
      </c>
      <c r="E95" s="54"/>
      <c r="F95" s="54"/>
      <c r="G95" s="67"/>
      <c r="H95" s="67">
        <f>H90+H93</f>
        <v>4485.1186848366733</v>
      </c>
      <c r="I95" s="63"/>
    </row>
    <row r="96" spans="1:9" s="78" customFormat="1" ht="3" customHeight="1">
      <c r="A96" s="54"/>
      <c r="B96" s="54"/>
      <c r="C96" s="54"/>
      <c r="D96" s="67"/>
      <c r="E96" s="54"/>
      <c r="F96" s="54"/>
      <c r="G96" s="67"/>
      <c r="H96" s="67"/>
      <c r="I96" s="63"/>
    </row>
    <row r="97" spans="1:9" s="78" customFormat="1" ht="15.75" customHeight="1">
      <c r="A97" s="52"/>
      <c r="B97" s="52"/>
      <c r="C97" s="76" t="s">
        <v>45</v>
      </c>
      <c r="D97" s="71"/>
      <c r="E97" s="76"/>
      <c r="F97" s="76"/>
      <c r="G97" s="71"/>
      <c r="H97" s="71"/>
      <c r="I97" s="63"/>
    </row>
    <row r="98" spans="1:9" s="78" customFormat="1" ht="18" customHeight="1">
      <c r="A98" s="58"/>
      <c r="B98" s="58"/>
      <c r="C98" s="58"/>
      <c r="D98" s="58"/>
      <c r="E98" s="58"/>
      <c r="F98" s="58"/>
      <c r="G98" s="58"/>
      <c r="H98" s="58"/>
      <c r="I98" s="63"/>
    </row>
    <row r="99" spans="1:9" s="73" customFormat="1" ht="19.5" customHeight="1">
      <c r="A99" s="958" t="s">
        <v>574</v>
      </c>
      <c r="B99" s="958"/>
      <c r="C99" s="958"/>
      <c r="D99" s="958"/>
      <c r="E99" s="958"/>
      <c r="F99" s="958"/>
      <c r="G99" s="958"/>
      <c r="H99" s="958"/>
      <c r="I99" s="63"/>
    </row>
    <row r="100" spans="1:9" s="63" customFormat="1" ht="16.5">
      <c r="A100" s="58"/>
      <c r="B100" s="58"/>
      <c r="C100" s="80"/>
      <c r="D100" s="80"/>
      <c r="E100" s="80"/>
      <c r="F100" s="80"/>
      <c r="G100" s="80"/>
      <c r="H100" s="58"/>
    </row>
    <row r="101" spans="1:9" s="73" customFormat="1" ht="16.5">
      <c r="A101" s="58"/>
      <c r="B101" s="58"/>
      <c r="C101" s="80"/>
      <c r="D101" s="130"/>
      <c r="E101" s="80"/>
      <c r="F101" s="80"/>
      <c r="G101" s="80"/>
      <c r="H101" s="134"/>
      <c r="I101" s="63"/>
    </row>
    <row r="102" spans="1:9" s="78" customFormat="1" ht="16.5">
      <c r="A102" s="58"/>
      <c r="B102" s="58"/>
      <c r="C102" s="80"/>
      <c r="D102" s="80"/>
      <c r="E102" s="80"/>
      <c r="F102" s="80"/>
      <c r="G102" s="80"/>
      <c r="H102" s="134"/>
      <c r="I102" s="63"/>
    </row>
    <row r="103" spans="1:9" s="78" customFormat="1" ht="16.5">
      <c r="A103" s="58"/>
      <c r="B103" s="58"/>
      <c r="C103" s="80"/>
      <c r="D103" s="130"/>
      <c r="E103" s="80"/>
      <c r="F103" s="80"/>
      <c r="G103" s="80"/>
      <c r="H103" s="134"/>
      <c r="I103" s="63"/>
    </row>
    <row r="104" spans="1:9" s="78" customFormat="1" ht="16.5">
      <c r="A104" s="58"/>
      <c r="B104" s="58"/>
      <c r="C104" s="80"/>
      <c r="D104" s="130"/>
      <c r="E104" s="80"/>
      <c r="F104" s="80"/>
      <c r="G104" s="80"/>
      <c r="H104" s="134"/>
      <c r="I104" s="63"/>
    </row>
    <row r="105" spans="1:9" ht="12.75" customHeight="1">
      <c r="C105" s="80"/>
      <c r="D105" s="80"/>
      <c r="E105" s="80"/>
      <c r="F105" s="80"/>
      <c r="G105" s="80"/>
    </row>
    <row r="106" spans="1:9" ht="12.75" customHeight="1">
      <c r="C106" s="80"/>
      <c r="D106" s="80"/>
      <c r="E106" s="80"/>
      <c r="F106" s="80"/>
      <c r="G106" s="80"/>
    </row>
    <row r="107" spans="1:9" ht="12.75" customHeight="1">
      <c r="C107" s="80"/>
      <c r="D107" s="80"/>
      <c r="E107" s="80"/>
      <c r="F107" s="80"/>
      <c r="G107" s="80"/>
    </row>
    <row r="108" spans="1:9" ht="12.75" customHeight="1">
      <c r="C108" s="80"/>
      <c r="D108" s="80"/>
      <c r="E108" s="80"/>
      <c r="F108" s="80"/>
      <c r="G108" s="80"/>
    </row>
    <row r="109" spans="1:9" ht="12.75" customHeight="1">
      <c r="C109" s="80"/>
      <c r="D109" s="80"/>
      <c r="E109" s="80"/>
      <c r="F109" s="80"/>
      <c r="G109" s="80"/>
    </row>
  </sheetData>
  <mergeCells count="11">
    <mergeCell ref="A13:H13"/>
    <mergeCell ref="A99:H99"/>
    <mergeCell ref="E15:H15"/>
    <mergeCell ref="D16:G16"/>
    <mergeCell ref="A1:H1"/>
    <mergeCell ref="C5:F5"/>
    <mergeCell ref="A9:H9"/>
    <mergeCell ref="A11:H11"/>
    <mergeCell ref="A3:E3"/>
    <mergeCell ref="G3:H3"/>
    <mergeCell ref="A7:H7"/>
  </mergeCells>
  <phoneticPr fontId="15" type="noConversion"/>
  <printOptions horizontalCentered="1"/>
  <pageMargins left="0.31496062992125984" right="0.19685039370078741" top="0.19685039370078741" bottom="0.3" header="0.19685039370078741" footer="0.2362204724409449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K16" sqref="K16"/>
    </sheetView>
  </sheetViews>
  <sheetFormatPr defaultRowHeight="15"/>
  <cols>
    <col min="1" max="1" width="4.5703125" style="498" customWidth="1"/>
    <col min="2" max="2" width="9.7109375" style="498" customWidth="1"/>
    <col min="3" max="3" width="67.42578125" style="499" customWidth="1"/>
    <col min="4" max="4" width="9.5703125" style="498" customWidth="1"/>
    <col min="5" max="5" width="10.7109375" style="498" customWidth="1"/>
    <col min="6" max="6" width="14.42578125" style="498" customWidth="1"/>
    <col min="7" max="7" width="12" style="498" customWidth="1"/>
    <col min="8" max="8" width="14.140625" style="498" customWidth="1"/>
    <col min="9" max="16384" width="9.140625" style="498"/>
  </cols>
  <sheetData>
    <row r="1" spans="1:8" ht="3.75" customHeight="1"/>
    <row r="2" spans="1:8" ht="34.5" customHeight="1">
      <c r="A2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71"/>
      <c r="C2" s="971"/>
      <c r="D2" s="971"/>
      <c r="E2" s="971"/>
      <c r="F2" s="971"/>
      <c r="G2" s="971"/>
      <c r="H2" s="971"/>
    </row>
    <row r="3" spans="1:8" ht="4.5" customHeight="1">
      <c r="A3" s="500"/>
      <c r="B3" s="500"/>
      <c r="C3" s="495"/>
      <c r="D3" s="500"/>
      <c r="E3" s="500"/>
      <c r="F3" s="500"/>
      <c r="G3" s="500"/>
      <c r="H3" s="500"/>
    </row>
    <row r="4" spans="1:8" ht="20.25" customHeight="1">
      <c r="A4" s="972" t="s">
        <v>188</v>
      </c>
      <c r="B4" s="972"/>
      <c r="C4" s="972"/>
      <c r="D4" s="972"/>
      <c r="E4" s="972"/>
      <c r="F4" s="972"/>
      <c r="G4" s="972"/>
      <c r="H4" s="972"/>
    </row>
    <row r="5" spans="1:8" ht="2.25" customHeight="1">
      <c r="A5" s="500"/>
      <c r="B5" s="500"/>
      <c r="C5" s="495"/>
      <c r="D5" s="500"/>
      <c r="E5" s="500"/>
      <c r="F5" s="500"/>
      <c r="G5" s="500"/>
      <c r="H5" s="500"/>
    </row>
    <row r="6" spans="1:8" ht="21.75" customHeight="1">
      <c r="A6" s="972" t="s">
        <v>677</v>
      </c>
      <c r="B6" s="972"/>
      <c r="C6" s="972"/>
      <c r="D6" s="972"/>
      <c r="E6" s="972"/>
      <c r="F6" s="972"/>
      <c r="G6" s="972"/>
      <c r="H6" s="972"/>
    </row>
    <row r="7" spans="1:8" ht="2.25" customHeight="1">
      <c r="A7" s="500"/>
      <c r="B7" s="500"/>
      <c r="C7" s="495"/>
      <c r="D7" s="500"/>
      <c r="E7" s="500"/>
      <c r="F7" s="500"/>
      <c r="G7" s="500"/>
      <c r="H7" s="500"/>
    </row>
    <row r="8" spans="1:8" ht="21.75" customHeight="1">
      <c r="A8" s="973" t="s">
        <v>61</v>
      </c>
      <c r="B8" s="973"/>
      <c r="C8" s="973"/>
      <c r="D8" s="974" t="s">
        <v>4</v>
      </c>
      <c r="E8" s="974"/>
      <c r="F8" s="974"/>
      <c r="G8" s="501">
        <f>H26/1000</f>
        <v>2.1808893047040003</v>
      </c>
      <c r="H8" s="128" t="s">
        <v>55</v>
      </c>
    </row>
    <row r="9" spans="1:8" ht="19.5" customHeight="1">
      <c r="A9" s="984" t="s">
        <v>17</v>
      </c>
      <c r="B9" s="984" t="s">
        <v>5</v>
      </c>
      <c r="C9" s="984" t="s">
        <v>62</v>
      </c>
      <c r="D9" s="986" t="s">
        <v>181</v>
      </c>
      <c r="E9" s="987" t="s">
        <v>7</v>
      </c>
      <c r="F9" s="988"/>
      <c r="G9" s="966" t="s">
        <v>2</v>
      </c>
      <c r="H9" s="966"/>
    </row>
    <row r="10" spans="1:8" ht="36.75" customHeight="1">
      <c r="A10" s="985"/>
      <c r="B10" s="985"/>
      <c r="C10" s="985"/>
      <c r="D10" s="986"/>
      <c r="E10" s="96" t="s">
        <v>10</v>
      </c>
      <c r="F10" s="112" t="s">
        <v>63</v>
      </c>
      <c r="G10" s="102" t="s">
        <v>10</v>
      </c>
      <c r="H10" s="102" t="s">
        <v>1</v>
      </c>
    </row>
    <row r="11" spans="1:8" ht="14.25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</row>
    <row r="12" spans="1:8" ht="27.75" customHeight="1">
      <c r="A12" s="96">
        <v>1</v>
      </c>
      <c r="B12" s="96" t="s">
        <v>465</v>
      </c>
      <c r="C12" s="508" t="str">
        <f>xarjtar!B8</f>
        <v>trasis dakvalva da damagreba</v>
      </c>
      <c r="D12" s="96" t="str">
        <f>xarjtar!C8</f>
        <v>grZ.m</v>
      </c>
      <c r="E12" s="96"/>
      <c r="F12" s="96">
        <f>xarjtar!D8</f>
        <v>547</v>
      </c>
      <c r="G12" s="96">
        <v>0.5</v>
      </c>
      <c r="H12" s="96">
        <f>F12*G12</f>
        <v>273.5</v>
      </c>
    </row>
    <row r="13" spans="1:8" ht="36" customHeight="1">
      <c r="A13" s="93">
        <v>2</v>
      </c>
      <c r="B13" s="731" t="s">
        <v>634</v>
      </c>
      <c r="C13" s="95" t="s">
        <v>635</v>
      </c>
      <c r="D13" s="96" t="s">
        <v>347</v>
      </c>
      <c r="E13" s="96"/>
      <c r="F13" s="98">
        <f>xarjtar!D9</f>
        <v>2.19</v>
      </c>
      <c r="G13" s="96"/>
      <c r="H13" s="98">
        <f>H17+H15+H14+H16</f>
        <v>1562.2654080000004</v>
      </c>
    </row>
    <row r="14" spans="1:8" ht="20.25" customHeight="1">
      <c r="A14" s="99"/>
      <c r="B14" s="100"/>
      <c r="C14" s="101" t="s">
        <v>659</v>
      </c>
      <c r="D14" s="102" t="s">
        <v>58</v>
      </c>
      <c r="E14" s="102">
        <v>3.58</v>
      </c>
      <c r="F14" s="103">
        <f>E14*F13</f>
        <v>7.8402000000000003</v>
      </c>
      <c r="G14" s="102">
        <v>34.200000000000003</v>
      </c>
      <c r="H14" s="103">
        <f>F14*G14</f>
        <v>268.13484000000005</v>
      </c>
    </row>
    <row r="15" spans="1:8" ht="20.25" customHeight="1">
      <c r="A15" s="99"/>
      <c r="B15" s="100"/>
      <c r="C15" s="101" t="s">
        <v>348</v>
      </c>
      <c r="D15" s="102" t="s">
        <v>64</v>
      </c>
      <c r="E15" s="102">
        <v>10.8</v>
      </c>
      <c r="F15" s="103">
        <f>E15*F13</f>
        <v>23.652000000000001</v>
      </c>
      <c r="G15" s="199">
        <v>34.200000000000003</v>
      </c>
      <c r="H15" s="103">
        <f>F15*G15</f>
        <v>808.89840000000015</v>
      </c>
    </row>
    <row r="16" spans="1:8" ht="20.25" customHeight="1">
      <c r="A16" s="99"/>
      <c r="B16" s="100"/>
      <c r="C16" s="101" t="s">
        <v>660</v>
      </c>
      <c r="D16" s="102" t="s">
        <v>64</v>
      </c>
      <c r="E16" s="102">
        <v>6.61</v>
      </c>
      <c r="F16" s="103">
        <f>E16*F13</f>
        <v>14.475900000000001</v>
      </c>
      <c r="G16" s="199">
        <v>1.23</v>
      </c>
      <c r="H16" s="103">
        <f>F16*G16</f>
        <v>17.805357000000001</v>
      </c>
    </row>
    <row r="17" spans="1:8" ht="20.25" customHeight="1">
      <c r="A17" s="105"/>
      <c r="B17" s="105"/>
      <c r="C17" s="106" t="s">
        <v>349</v>
      </c>
      <c r="D17" s="107" t="s">
        <v>64</v>
      </c>
      <c r="E17" s="107">
        <v>6.61</v>
      </c>
      <c r="F17" s="108">
        <f>E17*F13</f>
        <v>14.475900000000001</v>
      </c>
      <c r="G17" s="107">
        <v>32.29</v>
      </c>
      <c r="H17" s="103">
        <f>F17*G17</f>
        <v>467.42681100000004</v>
      </c>
    </row>
    <row r="18" spans="1:8" ht="52.5" customHeight="1">
      <c r="A18" s="975">
        <v>3</v>
      </c>
      <c r="B18" s="978" t="s">
        <v>630</v>
      </c>
      <c r="C18" s="736" t="s">
        <v>502</v>
      </c>
      <c r="D18" s="740" t="s">
        <v>633</v>
      </c>
      <c r="E18" s="96"/>
      <c r="F18" s="600">
        <v>0</v>
      </c>
      <c r="G18" s="96"/>
      <c r="H18" s="468">
        <f>H19+H20+H21</f>
        <v>0</v>
      </c>
    </row>
    <row r="19" spans="1:8" ht="21" customHeight="1">
      <c r="A19" s="976"/>
      <c r="B19" s="979"/>
      <c r="C19" s="737" t="s">
        <v>57</v>
      </c>
      <c r="D19" s="558" t="s">
        <v>58</v>
      </c>
      <c r="E19" s="102">
        <v>3.76</v>
      </c>
      <c r="F19" s="562">
        <f>E19*F18</f>
        <v>0</v>
      </c>
      <c r="G19" s="102">
        <v>6</v>
      </c>
      <c r="H19" s="472">
        <f>F19*G19</f>
        <v>0</v>
      </c>
    </row>
    <row r="20" spans="1:8" ht="21" customHeight="1">
      <c r="A20" s="976"/>
      <c r="B20" s="979"/>
      <c r="C20" s="738" t="s">
        <v>631</v>
      </c>
      <c r="D20" s="558" t="s">
        <v>64</v>
      </c>
      <c r="E20" s="102">
        <v>1.2</v>
      </c>
      <c r="F20" s="562">
        <f>E20*F18</f>
        <v>0</v>
      </c>
      <c r="G20" s="200">
        <v>34.200000000000003</v>
      </c>
      <c r="H20" s="472">
        <f>F20*G20</f>
        <v>0</v>
      </c>
    </row>
    <row r="21" spans="1:8" ht="21" customHeight="1">
      <c r="A21" s="977"/>
      <c r="B21" s="980"/>
      <c r="C21" s="739" t="s">
        <v>632</v>
      </c>
      <c r="D21" s="586" t="s">
        <v>64</v>
      </c>
      <c r="E21" s="107">
        <v>1.97</v>
      </c>
      <c r="F21" s="564">
        <f>E21*F18</f>
        <v>0</v>
      </c>
      <c r="G21" s="107">
        <v>32.29</v>
      </c>
      <c r="H21" s="113">
        <f>F21*G21</f>
        <v>0</v>
      </c>
    </row>
    <row r="22" spans="1:8" ht="21" customHeight="1">
      <c r="A22" s="967" t="s">
        <v>51</v>
      </c>
      <c r="B22" s="968"/>
      <c r="C22" s="968"/>
      <c r="D22" s="968"/>
      <c r="E22" s="968"/>
      <c r="F22" s="968"/>
      <c r="G22" s="969"/>
      <c r="H22" s="113">
        <f>H13+H18+H12</f>
        <v>1835.7654080000004</v>
      </c>
    </row>
    <row r="23" spans="1:8" ht="21" customHeight="1">
      <c r="A23" s="981" t="s">
        <v>372</v>
      </c>
      <c r="B23" s="982"/>
      <c r="C23" s="982"/>
      <c r="D23" s="982"/>
      <c r="E23" s="982"/>
      <c r="F23" s="982"/>
      <c r="G23" s="983"/>
      <c r="H23" s="28">
        <f>H22*0.1</f>
        <v>183.57654080000006</v>
      </c>
    </row>
    <row r="24" spans="1:8" ht="21" customHeight="1">
      <c r="A24" s="981" t="s">
        <v>68</v>
      </c>
      <c r="B24" s="982"/>
      <c r="C24" s="982"/>
      <c r="D24" s="982"/>
      <c r="E24" s="982"/>
      <c r="F24" s="982"/>
      <c r="G24" s="983"/>
      <c r="H24" s="28">
        <f>H22+H23</f>
        <v>2019.3419488000004</v>
      </c>
    </row>
    <row r="25" spans="1:8" ht="21" customHeight="1">
      <c r="A25" s="981" t="s">
        <v>373</v>
      </c>
      <c r="B25" s="982"/>
      <c r="C25" s="982"/>
      <c r="D25" s="982"/>
      <c r="E25" s="982"/>
      <c r="F25" s="982"/>
      <c r="G25" s="983"/>
      <c r="H25" s="28">
        <f>H24*0.08</f>
        <v>161.54735590400003</v>
      </c>
    </row>
    <row r="26" spans="1:8" ht="21" customHeight="1">
      <c r="A26" s="981" t="s">
        <v>69</v>
      </c>
      <c r="B26" s="982"/>
      <c r="C26" s="982"/>
      <c r="D26" s="982"/>
      <c r="E26" s="982"/>
      <c r="F26" s="982"/>
      <c r="G26" s="983"/>
      <c r="H26" s="28">
        <f>H24+H25</f>
        <v>2180.8893047040006</v>
      </c>
    </row>
    <row r="27" spans="1:8" ht="2.25" customHeight="1">
      <c r="A27" s="507"/>
      <c r="B27" s="507"/>
      <c r="C27" s="507"/>
      <c r="D27" s="507"/>
      <c r="E27" s="507"/>
      <c r="F27" s="507"/>
      <c r="G27" s="507"/>
      <c r="H27" s="26"/>
    </row>
    <row r="28" spans="1:8" ht="9" customHeight="1">
      <c r="A28" s="507"/>
      <c r="B28" s="507"/>
      <c r="C28" s="507"/>
      <c r="D28" s="507"/>
      <c r="E28" s="507"/>
      <c r="F28" s="507"/>
      <c r="G28" s="507"/>
      <c r="H28" s="26"/>
    </row>
    <row r="29" spans="1:8" ht="18" customHeight="1">
      <c r="A29" s="866" t="s">
        <v>149</v>
      </c>
      <c r="B29" s="866"/>
      <c r="C29" s="866"/>
      <c r="D29" s="866"/>
      <c r="E29" s="866"/>
      <c r="F29" s="866"/>
      <c r="G29" s="866"/>
      <c r="H29" s="866"/>
    </row>
  </sheetData>
  <mergeCells count="19">
    <mergeCell ref="A29:H29"/>
    <mergeCell ref="A25:G25"/>
    <mergeCell ref="A26:G26"/>
    <mergeCell ref="D9:D10"/>
    <mergeCell ref="E9:F9"/>
    <mergeCell ref="A23:G23"/>
    <mergeCell ref="A24:G24"/>
    <mergeCell ref="A9:A10"/>
    <mergeCell ref="B9:B10"/>
    <mergeCell ref="C9:C10"/>
    <mergeCell ref="G9:H9"/>
    <mergeCell ref="A22:G22"/>
    <mergeCell ref="A2:H2"/>
    <mergeCell ref="A4:H4"/>
    <mergeCell ref="A6:H6"/>
    <mergeCell ref="A8:C8"/>
    <mergeCell ref="D8:F8"/>
    <mergeCell ref="A18:A21"/>
    <mergeCell ref="B18:B21"/>
  </mergeCells>
  <phoneticPr fontId="0" type="noConversion"/>
  <printOptions horizontalCentered="1"/>
  <pageMargins left="0.39370078740157483" right="0.31496062992125984" top="0.19685039370078741" bottom="0.19685039370078741" header="0.23622047244094491" footer="0.19685039370078741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25" zoomScaleNormal="100" zoomScaleSheetLayoutView="100" workbookViewId="0">
      <selection activeCell="K16" sqref="K16"/>
    </sheetView>
  </sheetViews>
  <sheetFormatPr defaultRowHeight="15"/>
  <cols>
    <col min="1" max="1" width="4.5703125" style="498" customWidth="1"/>
    <col min="2" max="2" width="18" style="498" customWidth="1"/>
    <col min="3" max="3" width="65.7109375" style="499" customWidth="1"/>
    <col min="4" max="4" width="8.7109375" style="498" customWidth="1"/>
    <col min="5" max="5" width="10.140625" style="498" customWidth="1"/>
    <col min="6" max="6" width="13" style="498" customWidth="1"/>
    <col min="7" max="7" width="9.28515625" style="498" customWidth="1"/>
    <col min="8" max="8" width="13.28515625" style="498" customWidth="1"/>
    <col min="9" max="16384" width="9.140625" style="498"/>
  </cols>
  <sheetData>
    <row r="1" spans="1:9" ht="3.75" customHeight="1"/>
    <row r="2" spans="1:9" ht="36" customHeight="1">
      <c r="A2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71"/>
      <c r="C2" s="971"/>
      <c r="D2" s="971"/>
      <c r="E2" s="971"/>
      <c r="F2" s="971"/>
      <c r="G2" s="971"/>
      <c r="H2" s="971"/>
    </row>
    <row r="3" spans="1:9" ht="2.25" customHeight="1">
      <c r="A3" s="500"/>
      <c r="B3" s="500"/>
      <c r="C3" s="495"/>
      <c r="D3" s="500"/>
      <c r="E3" s="500"/>
      <c r="F3" s="500"/>
      <c r="G3" s="500"/>
      <c r="H3" s="500"/>
    </row>
    <row r="4" spans="1:9" ht="15" customHeight="1">
      <c r="A4" s="972" t="s">
        <v>168</v>
      </c>
      <c r="B4" s="972"/>
      <c r="C4" s="972"/>
      <c r="D4" s="972"/>
      <c r="E4" s="972"/>
      <c r="F4" s="972"/>
      <c r="G4" s="972"/>
      <c r="H4" s="972"/>
    </row>
    <row r="5" spans="1:9" ht="2.25" customHeight="1">
      <c r="A5" s="500"/>
      <c r="B5" s="500"/>
      <c r="C5" s="495"/>
      <c r="D5" s="500"/>
      <c r="E5" s="500"/>
      <c r="F5" s="500"/>
      <c r="G5" s="500"/>
      <c r="H5" s="500"/>
    </row>
    <row r="6" spans="1:9" ht="15" customHeight="1">
      <c r="A6" s="972" t="s">
        <v>345</v>
      </c>
      <c r="B6" s="972"/>
      <c r="C6" s="972"/>
      <c r="D6" s="972"/>
      <c r="E6" s="972"/>
      <c r="F6" s="972"/>
      <c r="G6" s="972"/>
      <c r="H6" s="972"/>
    </row>
    <row r="7" spans="1:9" ht="2.25" customHeight="1">
      <c r="A7" s="500"/>
      <c r="B7" s="500"/>
      <c r="C7" s="495"/>
      <c r="D7" s="500"/>
      <c r="E7" s="500"/>
      <c r="F7" s="500"/>
      <c r="G7" s="500"/>
      <c r="H7" s="500"/>
    </row>
    <row r="8" spans="1:9" ht="15" customHeight="1">
      <c r="A8" s="973" t="s">
        <v>61</v>
      </c>
      <c r="B8" s="973"/>
      <c r="C8" s="973"/>
      <c r="D8" s="974" t="s">
        <v>4</v>
      </c>
      <c r="E8" s="974"/>
      <c r="F8" s="974"/>
      <c r="G8" s="501">
        <f>H44/1000</f>
        <v>1892.5035124102592</v>
      </c>
      <c r="H8" s="128" t="s">
        <v>55</v>
      </c>
    </row>
    <row r="9" spans="1:9" ht="15.75" customHeight="1">
      <c r="A9" s="984" t="s">
        <v>17</v>
      </c>
      <c r="B9" s="984" t="s">
        <v>5</v>
      </c>
      <c r="C9" s="984" t="s">
        <v>62</v>
      </c>
      <c r="D9" s="986" t="s">
        <v>181</v>
      </c>
      <c r="E9" s="987" t="s">
        <v>7</v>
      </c>
      <c r="F9" s="988"/>
      <c r="G9" s="966" t="s">
        <v>2</v>
      </c>
      <c r="H9" s="966"/>
    </row>
    <row r="10" spans="1:9" ht="33" customHeight="1">
      <c r="A10" s="985"/>
      <c r="B10" s="985"/>
      <c r="C10" s="985"/>
      <c r="D10" s="986"/>
      <c r="E10" s="96" t="s">
        <v>10</v>
      </c>
      <c r="F10" s="112" t="s">
        <v>63</v>
      </c>
      <c r="G10" s="102" t="s">
        <v>10</v>
      </c>
      <c r="H10" s="102" t="s">
        <v>1</v>
      </c>
    </row>
    <row r="11" spans="1:9" ht="14.25" customHeight="1">
      <c r="A11" s="110">
        <v>1</v>
      </c>
      <c r="B11" s="110">
        <v>2</v>
      </c>
      <c r="C11" s="110">
        <v>3</v>
      </c>
      <c r="D11" s="110">
        <v>4</v>
      </c>
      <c r="E11" s="110">
        <v>5</v>
      </c>
      <c r="F11" s="110">
        <v>6</v>
      </c>
      <c r="G11" s="110">
        <v>7</v>
      </c>
      <c r="H11" s="110">
        <v>8</v>
      </c>
    </row>
    <row r="12" spans="1:9" ht="45.75" customHeight="1">
      <c r="A12" s="93">
        <v>1</v>
      </c>
      <c r="B12" s="94" t="s">
        <v>249</v>
      </c>
      <c r="C12" s="95" t="s">
        <v>679</v>
      </c>
      <c r="D12" s="96" t="s">
        <v>53</v>
      </c>
      <c r="E12" s="96"/>
      <c r="F12" s="98">
        <f>xarjtar!D12</f>
        <v>67337</v>
      </c>
      <c r="G12" s="96"/>
      <c r="H12" s="98">
        <f>H13+H14</f>
        <v>66457.578780000011</v>
      </c>
    </row>
    <row r="13" spans="1:9" ht="21" customHeight="1">
      <c r="A13" s="99"/>
      <c r="B13" s="100"/>
      <c r="C13" s="101" t="s">
        <v>57</v>
      </c>
      <c r="D13" s="102" t="s">
        <v>58</v>
      </c>
      <c r="E13" s="102">
        <v>7.5799999999999999E-3</v>
      </c>
      <c r="F13" s="103">
        <f>E13*F12</f>
        <v>510.41446000000002</v>
      </c>
      <c r="G13" s="102">
        <v>6</v>
      </c>
      <c r="H13" s="103">
        <f>F13*G13</f>
        <v>3062.4867600000002</v>
      </c>
    </row>
    <row r="14" spans="1:9" ht="21" customHeight="1">
      <c r="A14" s="99"/>
      <c r="B14" s="100"/>
      <c r="C14" s="101" t="s">
        <v>377</v>
      </c>
      <c r="D14" s="102" t="s">
        <v>64</v>
      </c>
      <c r="E14" s="102">
        <f>17/1000</f>
        <v>1.7000000000000001E-2</v>
      </c>
      <c r="F14" s="103">
        <f>E14*F12</f>
        <v>1144.729</v>
      </c>
      <c r="G14" s="199">
        <v>55.38</v>
      </c>
      <c r="H14" s="103">
        <f>F14*G14</f>
        <v>63395.092020000004</v>
      </c>
    </row>
    <row r="15" spans="1:9" ht="54" customHeight="1">
      <c r="A15" s="93">
        <v>2</v>
      </c>
      <c r="B15" s="997" t="s">
        <v>599</v>
      </c>
      <c r="C15" s="465" t="s">
        <v>669</v>
      </c>
      <c r="D15" s="466" t="s">
        <v>53</v>
      </c>
      <c r="E15" s="467"/>
      <c r="F15" s="468">
        <f>xarjtar!D13</f>
        <v>1163</v>
      </c>
      <c r="G15" s="98"/>
      <c r="H15" s="98">
        <f>H17+H16</f>
        <v>12522.649020000001</v>
      </c>
    </row>
    <row r="16" spans="1:9" ht="21.75" customHeight="1">
      <c r="A16" s="99"/>
      <c r="B16" s="998"/>
      <c r="C16" s="469" t="s">
        <v>600</v>
      </c>
      <c r="D16" s="470" t="s">
        <v>358</v>
      </c>
      <c r="E16" s="471">
        <v>0.193</v>
      </c>
      <c r="F16" s="472">
        <f>E16*F15</f>
        <v>224.459</v>
      </c>
      <c r="G16" s="103">
        <v>55.38</v>
      </c>
      <c r="H16" s="103">
        <f>F16*G16</f>
        <v>12430.539420000001</v>
      </c>
      <c r="I16" s="498" t="e">
        <f>#REF!/#REF!</f>
        <v>#REF!</v>
      </c>
    </row>
    <row r="17" spans="1:8" ht="21.75" customHeight="1">
      <c r="A17" s="105"/>
      <c r="B17" s="999"/>
      <c r="C17" s="473" t="s">
        <v>57</v>
      </c>
      <c r="D17" s="474" t="s">
        <v>46</v>
      </c>
      <c r="E17" s="475" t="s">
        <v>601</v>
      </c>
      <c r="F17" s="113">
        <f>E17*F15</f>
        <v>15.351599999999999</v>
      </c>
      <c r="G17" s="108">
        <v>6</v>
      </c>
      <c r="H17" s="103">
        <f>F17*G17</f>
        <v>92.1096</v>
      </c>
    </row>
    <row r="18" spans="1:8" ht="38.25" customHeight="1">
      <c r="A18" s="93">
        <v>2</v>
      </c>
      <c r="B18" s="94" t="s">
        <v>460</v>
      </c>
      <c r="C18" s="95" t="s">
        <v>670</v>
      </c>
      <c r="D18" s="96" t="s">
        <v>53</v>
      </c>
      <c r="E18" s="96"/>
      <c r="F18" s="98">
        <f>F12-F15</f>
        <v>66174</v>
      </c>
      <c r="G18" s="96"/>
      <c r="H18" s="98">
        <f>H21+H20</f>
        <v>76147.612932000004</v>
      </c>
    </row>
    <row r="19" spans="1:8" ht="21" customHeight="1">
      <c r="A19" s="99"/>
      <c r="B19" s="100"/>
      <c r="C19" s="101" t="s">
        <v>57</v>
      </c>
      <c r="D19" s="102" t="s">
        <v>58</v>
      </c>
      <c r="E19" s="102">
        <v>9.2499999999999995E-3</v>
      </c>
      <c r="F19" s="103">
        <f>E19*F18</f>
        <v>612.10950000000003</v>
      </c>
      <c r="G19" s="102">
        <v>6</v>
      </c>
      <c r="H19" s="103">
        <f>F19*G19</f>
        <v>3672.6570000000002</v>
      </c>
    </row>
    <row r="20" spans="1:8" ht="21" customHeight="1">
      <c r="A20" s="99"/>
      <c r="B20" s="100"/>
      <c r="C20" s="101" t="s">
        <v>377</v>
      </c>
      <c r="D20" s="102" t="s">
        <v>64</v>
      </c>
      <c r="E20" s="102">
        <v>2.07E-2</v>
      </c>
      <c r="F20" s="103">
        <f>E20*F18</f>
        <v>1369.8018</v>
      </c>
      <c r="G20" s="199">
        <v>55.38</v>
      </c>
      <c r="H20" s="103">
        <f>F20*G20</f>
        <v>75859.623684000006</v>
      </c>
    </row>
    <row r="21" spans="1:8" ht="21" customHeight="1">
      <c r="A21" s="105"/>
      <c r="B21" s="105"/>
      <c r="C21" s="106" t="s">
        <v>59</v>
      </c>
      <c r="D21" s="107" t="s">
        <v>47</v>
      </c>
      <c r="E21" s="107">
        <v>1.3600000000000001E-3</v>
      </c>
      <c r="F21" s="108">
        <f>E21*F18</f>
        <v>89.996640000000014</v>
      </c>
      <c r="G21" s="107">
        <v>3.2</v>
      </c>
      <c r="H21" s="103">
        <f>F21*G21</f>
        <v>287.98924800000003</v>
      </c>
    </row>
    <row r="22" spans="1:8" ht="22.5" customHeight="1">
      <c r="A22" s="476">
        <v>4</v>
      </c>
      <c r="B22" s="477" t="s">
        <v>132</v>
      </c>
      <c r="C22" s="478" t="s">
        <v>397</v>
      </c>
      <c r="D22" s="110" t="s">
        <v>65</v>
      </c>
      <c r="E22" s="110" t="s">
        <v>685</v>
      </c>
      <c r="F22" s="479">
        <f>(F18)*1.6</f>
        <v>105878.40000000001</v>
      </c>
      <c r="G22" s="110">
        <v>6.96</v>
      </c>
      <c r="H22" s="479">
        <f>G22*F22</f>
        <v>736913.66400000011</v>
      </c>
    </row>
    <row r="23" spans="1:8" ht="34.5" customHeight="1">
      <c r="A23" s="989">
        <v>5</v>
      </c>
      <c r="B23" s="992" t="s">
        <v>595</v>
      </c>
      <c r="C23" s="141" t="s">
        <v>458</v>
      </c>
      <c r="D23" s="688" t="s">
        <v>53</v>
      </c>
      <c r="E23" s="18"/>
      <c r="F23" s="352">
        <f>xarjtar!D16</f>
        <v>12087.2</v>
      </c>
      <c r="G23" s="18"/>
      <c r="H23" s="19">
        <f>H25+H26+H24</f>
        <v>446331.59787991998</v>
      </c>
    </row>
    <row r="24" spans="1:8" ht="19.5" customHeight="1">
      <c r="A24" s="990"/>
      <c r="B24" s="993"/>
      <c r="C24" s="250" t="s">
        <v>284</v>
      </c>
      <c r="D24" s="689" t="s">
        <v>154</v>
      </c>
      <c r="E24" s="197">
        <f>(16.9+6.39)/1000</f>
        <v>2.3289999999999998E-2</v>
      </c>
      <c r="F24" s="198">
        <f>E24*F23</f>
        <v>281.51088800000002</v>
      </c>
      <c r="G24" s="505">
        <v>32.29</v>
      </c>
      <c r="H24" s="200">
        <f>F24*G24</f>
        <v>9089.9865735200001</v>
      </c>
    </row>
    <row r="25" spans="1:8" ht="21.75" customHeight="1">
      <c r="A25" s="990"/>
      <c r="B25" s="993"/>
      <c r="C25" s="250" t="s">
        <v>285</v>
      </c>
      <c r="D25" s="689" t="s">
        <v>154</v>
      </c>
      <c r="E25" s="197">
        <f>0.79/100</f>
        <v>7.9000000000000008E-3</v>
      </c>
      <c r="F25" s="198">
        <f>E25*F23</f>
        <v>95.488880000000009</v>
      </c>
      <c r="G25" s="505">
        <v>33.630000000000003</v>
      </c>
      <c r="H25" s="200">
        <f>F25*G25</f>
        <v>3211.2910344000006</v>
      </c>
    </row>
    <row r="26" spans="1:8" ht="21" customHeight="1">
      <c r="A26" s="991"/>
      <c r="B26" s="994"/>
      <c r="C26" s="691" t="s">
        <v>368</v>
      </c>
      <c r="D26" s="690" t="s">
        <v>87</v>
      </c>
      <c r="E26" s="204">
        <v>1.22</v>
      </c>
      <c r="F26" s="205">
        <f>E26*F23</f>
        <v>14746.384</v>
      </c>
      <c r="G26" s="206">
        <f>კალკულაცია!J20</f>
        <v>29.433</v>
      </c>
      <c r="H26" s="207">
        <f>F26*G26</f>
        <v>434030.32027199998</v>
      </c>
    </row>
    <row r="27" spans="1:8" ht="37.5" customHeight="1">
      <c r="A27" s="502">
        <v>6</v>
      </c>
      <c r="B27" s="995" t="s">
        <v>459</v>
      </c>
      <c r="C27" s="588" t="s">
        <v>671</v>
      </c>
      <c r="D27" s="194" t="s">
        <v>53</v>
      </c>
      <c r="E27" s="503"/>
      <c r="F27" s="352">
        <f>F26</f>
        <v>14746.384</v>
      </c>
      <c r="G27" s="503"/>
      <c r="H27" s="19">
        <f>H29+H30+H28</f>
        <v>11039.659185840001</v>
      </c>
    </row>
    <row r="28" spans="1:8" ht="21.75" customHeight="1">
      <c r="A28" s="504"/>
      <c r="B28" s="996"/>
      <c r="C28" s="489" t="s">
        <v>283</v>
      </c>
      <c r="D28" s="196" t="s">
        <v>154</v>
      </c>
      <c r="E28" s="505">
        <f>1.85/1000*6</f>
        <v>1.11E-2</v>
      </c>
      <c r="F28" s="198">
        <f>E28*F27</f>
        <v>163.68486240000001</v>
      </c>
      <c r="G28" s="505">
        <v>3.27</v>
      </c>
      <c r="H28" s="200">
        <f>F28*G28</f>
        <v>535.24950004800007</v>
      </c>
    </row>
    <row r="29" spans="1:8" ht="21.75" customHeight="1">
      <c r="A29" s="504"/>
      <c r="B29" s="996"/>
      <c r="C29" s="489" t="s">
        <v>284</v>
      </c>
      <c r="D29" s="196" t="s">
        <v>154</v>
      </c>
      <c r="E29" s="505">
        <f>10.5/1000</f>
        <v>1.0500000000000001E-2</v>
      </c>
      <c r="F29" s="198">
        <f>E29*F27</f>
        <v>154.83703200000002</v>
      </c>
      <c r="G29" s="505">
        <v>32.29</v>
      </c>
      <c r="H29" s="200">
        <f>F29*G29</f>
        <v>4999.6877632800006</v>
      </c>
    </row>
    <row r="30" spans="1:8" ht="21.75" customHeight="1">
      <c r="A30" s="504"/>
      <c r="B30" s="996"/>
      <c r="C30" s="489" t="s">
        <v>285</v>
      </c>
      <c r="D30" s="196" t="s">
        <v>154</v>
      </c>
      <c r="E30" s="687">
        <f>1.85/1000*6</f>
        <v>1.11E-2</v>
      </c>
      <c r="F30" s="587">
        <f>E30*F27</f>
        <v>163.68486240000001</v>
      </c>
      <c r="G30" s="505">
        <v>33.630000000000003</v>
      </c>
      <c r="H30" s="200">
        <f>F30*G30</f>
        <v>5504.7219225120007</v>
      </c>
    </row>
    <row r="31" spans="1:8" ht="66.75" customHeight="1">
      <c r="A31" s="502">
        <v>7</v>
      </c>
      <c r="B31" s="1000" t="s">
        <v>629</v>
      </c>
      <c r="C31" s="214" t="s">
        <v>523</v>
      </c>
      <c r="D31" s="285" t="s">
        <v>478</v>
      </c>
      <c r="E31" s="503"/>
      <c r="F31" s="19">
        <f>8230/100</f>
        <v>82.3</v>
      </c>
      <c r="G31" s="503"/>
      <c r="H31" s="19">
        <f>H33+H36+H32+H38+H34+H35+H37+H39</f>
        <v>243603.66279</v>
      </c>
    </row>
    <row r="32" spans="1:8" ht="21.75" customHeight="1">
      <c r="A32" s="504"/>
      <c r="B32" s="1001"/>
      <c r="C32" s="493" t="s">
        <v>3</v>
      </c>
      <c r="D32" s="288" t="s">
        <v>46</v>
      </c>
      <c r="E32" s="505">
        <v>15.72</v>
      </c>
      <c r="F32" s="732">
        <f>E32*F31</f>
        <v>1293.7560000000001</v>
      </c>
      <c r="G32" s="505">
        <v>7.8</v>
      </c>
      <c r="H32" s="200">
        <f>F32*G32</f>
        <v>10091.2968</v>
      </c>
    </row>
    <row r="33" spans="1:8" ht="21.75" customHeight="1">
      <c r="A33" s="504"/>
      <c r="B33" s="1001"/>
      <c r="C33" s="483" t="s">
        <v>616</v>
      </c>
      <c r="D33" s="288" t="s">
        <v>154</v>
      </c>
      <c r="E33" s="505">
        <v>1.77</v>
      </c>
      <c r="F33" s="732">
        <f>E33*F31</f>
        <v>145.67099999999999</v>
      </c>
      <c r="G33" s="505">
        <v>4.2</v>
      </c>
      <c r="H33" s="200">
        <f>F33*G33</f>
        <v>611.81820000000005</v>
      </c>
    </row>
    <row r="34" spans="1:8" ht="21.75" customHeight="1">
      <c r="A34" s="504"/>
      <c r="B34" s="1001"/>
      <c r="C34" s="483" t="s">
        <v>625</v>
      </c>
      <c r="D34" s="288" t="s">
        <v>154</v>
      </c>
      <c r="E34" s="505">
        <v>4.8000000000000001E-2</v>
      </c>
      <c r="F34" s="732">
        <f>E34*F31</f>
        <v>3.9504000000000001</v>
      </c>
      <c r="G34" s="505">
        <v>41.05</v>
      </c>
      <c r="H34" s="200">
        <f t="shared" ref="H34:H39" si="0">F34*G34</f>
        <v>162.16391999999999</v>
      </c>
    </row>
    <row r="35" spans="1:8" ht="21.75" customHeight="1">
      <c r="A35" s="504"/>
      <c r="B35" s="1001"/>
      <c r="C35" s="483" t="s">
        <v>626</v>
      </c>
      <c r="D35" s="288" t="s">
        <v>154</v>
      </c>
      <c r="E35" s="505">
        <v>1</v>
      </c>
      <c r="F35" s="732">
        <f>F31</f>
        <v>82.3</v>
      </c>
      <c r="G35" s="505">
        <v>10.11</v>
      </c>
      <c r="H35" s="200">
        <f t="shared" si="0"/>
        <v>832.05299999999988</v>
      </c>
    </row>
    <row r="36" spans="1:8" ht="21.75" customHeight="1">
      <c r="A36" s="504"/>
      <c r="B36" s="1001"/>
      <c r="C36" s="489" t="s">
        <v>627</v>
      </c>
      <c r="D36" s="288" t="s">
        <v>154</v>
      </c>
      <c r="E36" s="505">
        <v>0.87</v>
      </c>
      <c r="F36" s="25">
        <f>E36*F31</f>
        <v>71.600999999999999</v>
      </c>
      <c r="G36" s="505">
        <v>6.56</v>
      </c>
      <c r="H36" s="200">
        <f t="shared" si="0"/>
        <v>469.70255999999995</v>
      </c>
    </row>
    <row r="37" spans="1:8" ht="21.75" customHeight="1">
      <c r="A37" s="504"/>
      <c r="B37" s="1001"/>
      <c r="C37" s="489" t="s">
        <v>617</v>
      </c>
      <c r="D37" s="288" t="s">
        <v>154</v>
      </c>
      <c r="E37" s="505">
        <v>1.77</v>
      </c>
      <c r="F37" s="25">
        <f>E37*F31</f>
        <v>145.67099999999999</v>
      </c>
      <c r="G37" s="505">
        <v>4.6100000000000003</v>
      </c>
      <c r="H37" s="200">
        <f t="shared" si="0"/>
        <v>671.54331000000002</v>
      </c>
    </row>
    <row r="38" spans="1:8" ht="21.75" customHeight="1">
      <c r="A38" s="504"/>
      <c r="B38" s="1001"/>
      <c r="C38" s="489" t="s">
        <v>524</v>
      </c>
      <c r="D38" s="406" t="s">
        <v>235</v>
      </c>
      <c r="E38" s="505">
        <v>100</v>
      </c>
      <c r="F38" s="25">
        <f>E38*F31</f>
        <v>8230</v>
      </c>
      <c r="G38" s="505">
        <v>27.945</v>
      </c>
      <c r="H38" s="200">
        <f t="shared" si="0"/>
        <v>229987.35</v>
      </c>
    </row>
    <row r="39" spans="1:8" ht="21.75" customHeight="1">
      <c r="A39" s="506"/>
      <c r="B39" s="733"/>
      <c r="C39" s="490" t="s">
        <v>628</v>
      </c>
      <c r="D39" s="413" t="s">
        <v>49</v>
      </c>
      <c r="E39" s="496">
        <v>2.7</v>
      </c>
      <c r="F39" s="21">
        <f>E39*F31</f>
        <v>222.21</v>
      </c>
      <c r="G39" s="496">
        <v>3.5</v>
      </c>
      <c r="H39" s="207">
        <f t="shared" si="0"/>
        <v>777.73500000000001</v>
      </c>
    </row>
    <row r="40" spans="1:8" ht="21" customHeight="1">
      <c r="A40" s="967" t="s">
        <v>51</v>
      </c>
      <c r="B40" s="968"/>
      <c r="C40" s="968"/>
      <c r="D40" s="968"/>
      <c r="E40" s="968"/>
      <c r="F40" s="968"/>
      <c r="G40" s="969"/>
      <c r="H40" s="113">
        <f>H31+H27+H23+H22+H18+H12+H15</f>
        <v>1593016.4245877601</v>
      </c>
    </row>
    <row r="41" spans="1:8" ht="21" customHeight="1">
      <c r="A41" s="981" t="s">
        <v>372</v>
      </c>
      <c r="B41" s="982"/>
      <c r="C41" s="982"/>
      <c r="D41" s="982"/>
      <c r="E41" s="982"/>
      <c r="F41" s="982"/>
      <c r="G41" s="983"/>
      <c r="H41" s="28">
        <f>H40*0.1</f>
        <v>159301.64245877601</v>
      </c>
    </row>
    <row r="42" spans="1:8" ht="21" customHeight="1">
      <c r="A42" s="981" t="s">
        <v>68</v>
      </c>
      <c r="B42" s="982"/>
      <c r="C42" s="982"/>
      <c r="D42" s="982"/>
      <c r="E42" s="982"/>
      <c r="F42" s="982"/>
      <c r="G42" s="983"/>
      <c r="H42" s="28">
        <f>H40+H41</f>
        <v>1752318.0670465361</v>
      </c>
    </row>
    <row r="43" spans="1:8" ht="21" customHeight="1">
      <c r="A43" s="981" t="s">
        <v>373</v>
      </c>
      <c r="B43" s="982"/>
      <c r="C43" s="982"/>
      <c r="D43" s="982"/>
      <c r="E43" s="982"/>
      <c r="F43" s="982"/>
      <c r="G43" s="983"/>
      <c r="H43" s="28">
        <f>H42*0.08</f>
        <v>140185.44536372289</v>
      </c>
    </row>
    <row r="44" spans="1:8" ht="21" customHeight="1">
      <c r="A44" s="981" t="s">
        <v>69</v>
      </c>
      <c r="B44" s="982"/>
      <c r="C44" s="982"/>
      <c r="D44" s="982"/>
      <c r="E44" s="982"/>
      <c r="F44" s="982"/>
      <c r="G44" s="983"/>
      <c r="H44" s="28">
        <f>H42+H43</f>
        <v>1892503.5124102591</v>
      </c>
    </row>
    <row r="45" spans="1:8" ht="2.25" customHeight="1">
      <c r="A45" s="507"/>
      <c r="B45" s="507"/>
      <c r="C45" s="507"/>
      <c r="D45" s="507"/>
      <c r="E45" s="507"/>
      <c r="F45" s="507"/>
      <c r="G45" s="507"/>
      <c r="H45" s="26"/>
    </row>
    <row r="46" spans="1:8" ht="28.5" customHeight="1">
      <c r="A46" s="507"/>
      <c r="B46" s="507"/>
      <c r="C46" s="507"/>
      <c r="D46" s="507"/>
      <c r="E46" s="507"/>
      <c r="F46" s="507"/>
      <c r="G46" s="507"/>
      <c r="H46" s="26"/>
    </row>
    <row r="47" spans="1:8" ht="27.75" customHeight="1">
      <c r="A47" s="507"/>
      <c r="B47" s="507"/>
      <c r="C47" s="507"/>
      <c r="D47" s="507"/>
      <c r="E47" s="507"/>
      <c r="F47" s="507"/>
      <c r="G47" s="507"/>
      <c r="H47" s="26"/>
    </row>
    <row r="48" spans="1:8" ht="18" customHeight="1">
      <c r="A48" s="866" t="s">
        <v>575</v>
      </c>
      <c r="B48" s="866"/>
      <c r="C48" s="866"/>
      <c r="D48" s="866"/>
      <c r="E48" s="866"/>
      <c r="F48" s="866"/>
      <c r="G48" s="866"/>
      <c r="H48" s="866"/>
    </row>
  </sheetData>
  <mergeCells count="22">
    <mergeCell ref="A2:H2"/>
    <mergeCell ref="A4:H4"/>
    <mergeCell ref="A6:H6"/>
    <mergeCell ref="A8:C8"/>
    <mergeCell ref="D8:F8"/>
    <mergeCell ref="D9:D10"/>
    <mergeCell ref="A44:G44"/>
    <mergeCell ref="A43:G43"/>
    <mergeCell ref="E9:F9"/>
    <mergeCell ref="A9:A10"/>
    <mergeCell ref="A41:G41"/>
    <mergeCell ref="B15:B17"/>
    <mergeCell ref="A42:G42"/>
    <mergeCell ref="B31:B38"/>
    <mergeCell ref="B9:B10"/>
    <mergeCell ref="G9:H9"/>
    <mergeCell ref="C9:C10"/>
    <mergeCell ref="A48:H48"/>
    <mergeCell ref="A23:A26"/>
    <mergeCell ref="B23:B26"/>
    <mergeCell ref="B27:B30"/>
    <mergeCell ref="A40:G40"/>
  </mergeCells>
  <printOptions horizontalCentered="1"/>
  <pageMargins left="0.39370078740157483" right="0.31496062992125984" top="0.19685039370078741" bottom="0.19685039370078741" header="0.2362204724409449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6" zoomScale="85" zoomScaleNormal="100" zoomScaleSheetLayoutView="85" workbookViewId="0">
      <selection activeCell="K16" sqref="K16"/>
    </sheetView>
  </sheetViews>
  <sheetFormatPr defaultRowHeight="16.5"/>
  <cols>
    <col min="1" max="1" width="4.7109375" style="14" customWidth="1"/>
    <col min="2" max="2" width="11.5703125" style="15" customWidth="1"/>
    <col min="3" max="3" width="62.28515625" style="14" customWidth="1"/>
    <col min="4" max="4" width="10.42578125" style="14" customWidth="1"/>
    <col min="5" max="5" width="13.5703125" style="14" customWidth="1"/>
    <col min="6" max="6" width="14.7109375" style="14" customWidth="1"/>
    <col min="7" max="7" width="12.5703125" style="14" customWidth="1"/>
    <col min="8" max="8" width="14.7109375" style="14" customWidth="1"/>
    <col min="9" max="16384" width="9.140625" style="14"/>
  </cols>
  <sheetData>
    <row r="1" spans="1:8" ht="42.7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19.5" customHeight="1">
      <c r="A2" s="957" t="s">
        <v>221</v>
      </c>
      <c r="B2" s="957"/>
      <c r="C2" s="957"/>
      <c r="D2" s="957"/>
      <c r="E2" s="957"/>
      <c r="F2" s="957"/>
      <c r="G2" s="957"/>
      <c r="H2" s="957"/>
    </row>
    <row r="3" spans="1:8" ht="19.5" customHeight="1">
      <c r="A3" s="1020" t="s">
        <v>517</v>
      </c>
      <c r="B3" s="1020"/>
      <c r="C3" s="1020"/>
      <c r="D3" s="1020"/>
      <c r="E3" s="1020"/>
      <c r="F3" s="1020"/>
      <c r="G3" s="1020"/>
      <c r="H3" s="1020"/>
    </row>
    <row r="4" spans="1:8" ht="17.25" customHeight="1">
      <c r="A4" s="15"/>
      <c r="B4" s="1021" t="s">
        <v>4</v>
      </c>
      <c r="C4" s="1021"/>
      <c r="D4" s="1021"/>
      <c r="E4" s="1021"/>
      <c r="F4" s="139">
        <f>H48/1000</f>
        <v>104.1860563526598</v>
      </c>
      <c r="G4" s="1022" t="s">
        <v>147</v>
      </c>
      <c r="H4" s="1022"/>
    </row>
    <row r="5" spans="1:8" ht="22.5" customHeight="1">
      <c r="A5" s="986" t="s">
        <v>0</v>
      </c>
      <c r="B5" s="986" t="s">
        <v>5</v>
      </c>
      <c r="C5" s="986" t="s">
        <v>6</v>
      </c>
      <c r="D5" s="986" t="s">
        <v>181</v>
      </c>
      <c r="E5" s="986" t="s">
        <v>7</v>
      </c>
      <c r="F5" s="986"/>
      <c r="G5" s="986" t="s">
        <v>2</v>
      </c>
      <c r="H5" s="986"/>
    </row>
    <row r="6" spans="1:8" ht="37.5" customHeight="1">
      <c r="A6" s="986"/>
      <c r="B6" s="986"/>
      <c r="C6" s="986"/>
      <c r="D6" s="986"/>
      <c r="E6" s="16" t="s">
        <v>8</v>
      </c>
      <c r="F6" s="16" t="s">
        <v>9</v>
      </c>
      <c r="G6" s="16" t="s">
        <v>10</v>
      </c>
      <c r="H6" s="16" t="s">
        <v>1</v>
      </c>
    </row>
    <row r="7" spans="1:8" ht="18.7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56.25" customHeight="1">
      <c r="A8" s="93">
        <v>1</v>
      </c>
      <c r="B8" s="400" t="s">
        <v>249</v>
      </c>
      <c r="C8" s="95" t="s">
        <v>393</v>
      </c>
      <c r="D8" s="96" t="s">
        <v>53</v>
      </c>
      <c r="E8" s="96"/>
      <c r="F8" s="97">
        <f>'rk.kiu (2)'!E6</f>
        <v>348</v>
      </c>
      <c r="G8" s="96"/>
      <c r="H8" s="98">
        <f>H11+H9+H10</f>
        <v>419.76386400000001</v>
      </c>
    </row>
    <row r="9" spans="1:8" ht="19.5" customHeight="1">
      <c r="A9" s="99"/>
      <c r="B9" s="100"/>
      <c r="C9" s="270" t="s">
        <v>57</v>
      </c>
      <c r="D9" s="406" t="s">
        <v>58</v>
      </c>
      <c r="E9" s="406">
        <v>9.2499999999999995E-3</v>
      </c>
      <c r="F9" s="103">
        <f>E9*F8</f>
        <v>3.2189999999999999</v>
      </c>
      <c r="G9" s="102">
        <v>6</v>
      </c>
      <c r="H9" s="103">
        <f>F9*G9</f>
        <v>19.314</v>
      </c>
    </row>
    <row r="10" spans="1:8" ht="19.5" customHeight="1">
      <c r="A10" s="99"/>
      <c r="B10" s="104"/>
      <c r="C10" s="271" t="s">
        <v>304</v>
      </c>
      <c r="D10" s="406" t="s">
        <v>64</v>
      </c>
      <c r="E10" s="406">
        <v>2.07E-2</v>
      </c>
      <c r="F10" s="103">
        <f>E10*F8</f>
        <v>7.2035999999999998</v>
      </c>
      <c r="G10" s="772">
        <v>55.38</v>
      </c>
      <c r="H10" s="103">
        <f>F10*G10</f>
        <v>398.93536799999998</v>
      </c>
    </row>
    <row r="11" spans="1:8" ht="19.5" customHeight="1">
      <c r="A11" s="105"/>
      <c r="B11" s="105"/>
      <c r="C11" s="272" t="s">
        <v>59</v>
      </c>
      <c r="D11" s="413" t="s">
        <v>47</v>
      </c>
      <c r="E11" s="413">
        <v>1.3600000000000001E-3</v>
      </c>
      <c r="F11" s="108">
        <f>E11*F8</f>
        <v>0.47328000000000003</v>
      </c>
      <c r="G11" s="107">
        <v>3.2</v>
      </c>
      <c r="H11" s="103">
        <f>F11*G11</f>
        <v>1.5144960000000003</v>
      </c>
    </row>
    <row r="12" spans="1:8" ht="26.25" customHeight="1">
      <c r="A12" s="399">
        <v>2</v>
      </c>
      <c r="B12" s="1018" t="s">
        <v>602</v>
      </c>
      <c r="C12" s="401" t="s">
        <v>386</v>
      </c>
      <c r="D12" s="402" t="s">
        <v>53</v>
      </c>
      <c r="E12" s="402"/>
      <c r="F12" s="693">
        <f>'rk.kiu (2)'!E7</f>
        <v>24.700000000000003</v>
      </c>
      <c r="G12" s="402"/>
      <c r="H12" s="403">
        <f>H13</f>
        <v>366.35040000000004</v>
      </c>
    </row>
    <row r="13" spans="1:8" ht="21" customHeight="1">
      <c r="A13" s="416"/>
      <c r="B13" s="1019"/>
      <c r="C13" s="272" t="s">
        <v>57</v>
      </c>
      <c r="D13" s="413" t="s">
        <v>58</v>
      </c>
      <c r="E13" s="413">
        <f>2.06*1.2</f>
        <v>2.472</v>
      </c>
      <c r="F13" s="417">
        <f>E13*F12</f>
        <v>61.058400000000006</v>
      </c>
      <c r="G13" s="413">
        <v>6</v>
      </c>
      <c r="H13" s="417">
        <f>G13*F13</f>
        <v>366.35040000000004</v>
      </c>
    </row>
    <row r="14" spans="1:8" ht="52.5" customHeight="1">
      <c r="A14" s="399">
        <v>2</v>
      </c>
      <c r="B14" s="997" t="s">
        <v>599</v>
      </c>
      <c r="C14" s="465" t="s">
        <v>664</v>
      </c>
      <c r="D14" s="466" t="s">
        <v>53</v>
      </c>
      <c r="E14" s="467"/>
      <c r="F14" s="694">
        <f>'rk.kiu (2)'!E8</f>
        <v>7</v>
      </c>
      <c r="G14" s="403"/>
      <c r="H14" s="403">
        <f>H16+H15</f>
        <v>75.372780000000006</v>
      </c>
    </row>
    <row r="15" spans="1:8" ht="21" customHeight="1">
      <c r="A15" s="404"/>
      <c r="B15" s="998"/>
      <c r="C15" s="469" t="s">
        <v>600</v>
      </c>
      <c r="D15" s="470" t="s">
        <v>358</v>
      </c>
      <c r="E15" s="471">
        <v>0.193</v>
      </c>
      <c r="F15" s="695">
        <f>E15*F14</f>
        <v>1.351</v>
      </c>
      <c r="G15" s="409">
        <v>55.38</v>
      </c>
      <c r="H15" s="409">
        <f>F15*G15</f>
        <v>74.818380000000005</v>
      </c>
    </row>
    <row r="16" spans="1:8" ht="21" customHeight="1">
      <c r="A16" s="412"/>
      <c r="B16" s="999"/>
      <c r="C16" s="473" t="s">
        <v>57</v>
      </c>
      <c r="D16" s="474" t="s">
        <v>46</v>
      </c>
      <c r="E16" s="475" t="s">
        <v>601</v>
      </c>
      <c r="F16" s="696">
        <f>E16*F14</f>
        <v>9.2399999999999996E-2</v>
      </c>
      <c r="G16" s="417">
        <v>6</v>
      </c>
      <c r="H16" s="409">
        <f>F16*G16</f>
        <v>0.5544</v>
      </c>
    </row>
    <row r="17" spans="1:8" ht="23.25" customHeight="1">
      <c r="A17" s="476">
        <v>4</v>
      </c>
      <c r="B17" s="477" t="s">
        <v>132</v>
      </c>
      <c r="C17" s="478" t="s">
        <v>397</v>
      </c>
      <c r="D17" s="110" t="s">
        <v>65</v>
      </c>
      <c r="E17" s="421" t="s">
        <v>603</v>
      </c>
      <c r="F17" s="479">
        <f>'rk.kiu (2)'!E9</f>
        <v>607.52</v>
      </c>
      <c r="G17" s="174">
        <v>5.63</v>
      </c>
      <c r="H17" s="479">
        <f>G17*F17</f>
        <v>3420.3375999999998</v>
      </c>
    </row>
    <row r="18" spans="1:8" ht="32.25" customHeight="1">
      <c r="A18" s="666">
        <v>5</v>
      </c>
      <c r="B18" s="721" t="s">
        <v>359</v>
      </c>
      <c r="C18" s="438" t="s">
        <v>672</v>
      </c>
      <c r="D18" s="722" t="s">
        <v>171</v>
      </c>
      <c r="E18" s="723"/>
      <c r="F18" s="709">
        <f>'rk.kiu (2)'!E11</f>
        <v>290</v>
      </c>
      <c r="G18" s="710"/>
      <c r="H18" s="709">
        <f>H19+H20+H22+H23+H21</f>
        <v>61791.545840000006</v>
      </c>
    </row>
    <row r="19" spans="1:8" ht="18" customHeight="1">
      <c r="A19" s="667"/>
      <c r="B19" s="724"/>
      <c r="C19" s="429" t="s">
        <v>57</v>
      </c>
      <c r="D19" s="23" t="s">
        <v>46</v>
      </c>
      <c r="E19" s="713">
        <v>1.62</v>
      </c>
      <c r="F19" s="712">
        <f>E19*F18</f>
        <v>469.8</v>
      </c>
      <c r="G19" s="672">
        <v>6</v>
      </c>
      <c r="H19" s="712">
        <f>F19*G19</f>
        <v>2818.8</v>
      </c>
    </row>
    <row r="20" spans="1:8" ht="18" customHeight="1">
      <c r="A20" s="667"/>
      <c r="B20" s="724"/>
      <c r="C20" s="429" t="s">
        <v>361</v>
      </c>
      <c r="D20" s="288" t="s">
        <v>154</v>
      </c>
      <c r="E20" s="713">
        <v>0.41599999999999998</v>
      </c>
      <c r="F20" s="712">
        <f>E20*F18</f>
        <v>120.64</v>
      </c>
      <c r="G20" s="672">
        <v>14.21</v>
      </c>
      <c r="H20" s="712">
        <f>F20*G20</f>
        <v>1714.2944000000002</v>
      </c>
    </row>
    <row r="21" spans="1:8" ht="18" customHeight="1">
      <c r="A21" s="667"/>
      <c r="B21" s="724"/>
      <c r="C21" s="429" t="s">
        <v>152</v>
      </c>
      <c r="D21" s="23" t="s">
        <v>53</v>
      </c>
      <c r="E21" s="713">
        <f>16.9/100</f>
        <v>0.16899999999999998</v>
      </c>
      <c r="F21" s="712">
        <f>F18*E21</f>
        <v>49.01</v>
      </c>
      <c r="G21" s="714">
        <f>კალკულაცია!J12</f>
        <v>26.103999999999999</v>
      </c>
      <c r="H21" s="712">
        <f>F21*G21</f>
        <v>1279.3570399999999</v>
      </c>
    </row>
    <row r="22" spans="1:8" ht="18" customHeight="1">
      <c r="A22" s="667"/>
      <c r="B22" s="724"/>
      <c r="C22" s="429" t="s">
        <v>362</v>
      </c>
      <c r="D22" s="725" t="s">
        <v>171</v>
      </c>
      <c r="E22" s="713">
        <v>1</v>
      </c>
      <c r="F22" s="712">
        <f>E22*F18</f>
        <v>290</v>
      </c>
      <c r="G22" s="714">
        <v>193</v>
      </c>
      <c r="H22" s="712">
        <f>F22*G22</f>
        <v>55970</v>
      </c>
    </row>
    <row r="23" spans="1:8" ht="18" customHeight="1">
      <c r="A23" s="668"/>
      <c r="B23" s="726"/>
      <c r="C23" s="727" t="s">
        <v>59</v>
      </c>
      <c r="D23" s="718" t="s">
        <v>47</v>
      </c>
      <c r="E23" s="728">
        <v>9.7999999999999997E-3</v>
      </c>
      <c r="F23" s="719">
        <f>E23*F18</f>
        <v>2.8420000000000001</v>
      </c>
      <c r="G23" s="720">
        <v>3.2</v>
      </c>
      <c r="H23" s="719">
        <f>F23*G23</f>
        <v>9.0944000000000003</v>
      </c>
    </row>
    <row r="24" spans="1:8" ht="33" customHeight="1">
      <c r="A24" s="989">
        <v>6</v>
      </c>
      <c r="B24" s="1015" t="s">
        <v>606</v>
      </c>
      <c r="C24" s="800" t="s">
        <v>673</v>
      </c>
      <c r="D24" s="96" t="s">
        <v>461</v>
      </c>
      <c r="E24" s="18"/>
      <c r="F24" s="580">
        <f>'rk.kiu (2)'!E16/100</f>
        <v>8.9600000000000082E-2</v>
      </c>
      <c r="G24" s="18"/>
      <c r="H24" s="19">
        <f>H25+H26+H27+H28+H29</f>
        <v>2420.257559552002</v>
      </c>
    </row>
    <row r="25" spans="1:8" ht="17.25" customHeight="1">
      <c r="A25" s="990"/>
      <c r="B25" s="1016"/>
      <c r="C25" s="544" t="s">
        <v>3</v>
      </c>
      <c r="D25" s="545" t="s">
        <v>46</v>
      </c>
      <c r="E25" s="24">
        <v>846</v>
      </c>
      <c r="F25" s="25">
        <f>E25*F24</f>
        <v>75.801600000000064</v>
      </c>
      <c r="G25" s="26">
        <v>6</v>
      </c>
      <c r="H25" s="25">
        <f>F25*G25</f>
        <v>454.80960000000039</v>
      </c>
    </row>
    <row r="26" spans="1:8" ht="17.25" customHeight="1">
      <c r="A26" s="990"/>
      <c r="B26" s="1016"/>
      <c r="C26" s="544" t="s">
        <v>148</v>
      </c>
      <c r="D26" s="545" t="s">
        <v>47</v>
      </c>
      <c r="E26" s="24">
        <v>82</v>
      </c>
      <c r="F26" s="25">
        <f>E26*F24</f>
        <v>7.3472000000000071</v>
      </c>
      <c r="G26" s="26">
        <v>3.2</v>
      </c>
      <c r="H26" s="25">
        <f>F26*G26</f>
        <v>23.511040000000023</v>
      </c>
    </row>
    <row r="27" spans="1:8" ht="17.25" customHeight="1">
      <c r="A27" s="990"/>
      <c r="B27" s="1016"/>
      <c r="C27" s="266" t="s">
        <v>464</v>
      </c>
      <c r="D27" s="146" t="s">
        <v>462</v>
      </c>
      <c r="E27" s="24">
        <v>101.5</v>
      </c>
      <c r="F27" s="25">
        <f>E27*F24</f>
        <v>9.0944000000000091</v>
      </c>
      <c r="G27" s="26">
        <f>კალკულაცია!J17</f>
        <v>134.45599999999999</v>
      </c>
      <c r="H27" s="25">
        <f>F27*G27</f>
        <v>1222.7966464000012</v>
      </c>
    </row>
    <row r="28" spans="1:8" ht="17.25" customHeight="1">
      <c r="A28" s="990"/>
      <c r="B28" s="1016"/>
      <c r="C28" s="266" t="s">
        <v>151</v>
      </c>
      <c r="D28" s="146" t="s">
        <v>462</v>
      </c>
      <c r="E28" s="24">
        <f>4*4.58</f>
        <v>18.32</v>
      </c>
      <c r="F28" s="25">
        <f>E28*F24</f>
        <v>1.6414720000000016</v>
      </c>
      <c r="G28" s="26">
        <f>კალკულაცია!J15</f>
        <v>419.94099999999997</v>
      </c>
      <c r="H28" s="25">
        <f>F28*G28</f>
        <v>689.32139315200061</v>
      </c>
    </row>
    <row r="29" spans="1:8" ht="17.25" customHeight="1">
      <c r="A29" s="991"/>
      <c r="B29" s="1017"/>
      <c r="C29" s="546" t="s">
        <v>463</v>
      </c>
      <c r="D29" s="547" t="s">
        <v>47</v>
      </c>
      <c r="E29" s="20">
        <v>104</v>
      </c>
      <c r="F29" s="21">
        <f>E29*F24</f>
        <v>9.3184000000000093</v>
      </c>
      <c r="G29" s="139">
        <v>3.2</v>
      </c>
      <c r="H29" s="21">
        <f>G29*F29</f>
        <v>29.818880000000032</v>
      </c>
    </row>
    <row r="30" spans="1:8" ht="27.75" customHeight="1">
      <c r="A30" s="140">
        <v>7</v>
      </c>
      <c r="B30" s="155" t="s">
        <v>156</v>
      </c>
      <c r="C30" s="156" t="s">
        <v>247</v>
      </c>
      <c r="D30" s="17" t="s">
        <v>235</v>
      </c>
      <c r="E30" s="151"/>
      <c r="F30" s="157">
        <f>'rk.kiu (2)'!E18</f>
        <v>1044</v>
      </c>
      <c r="G30" s="157"/>
      <c r="H30" s="143">
        <f>H31+H32+H33+H34</f>
        <v>9229.3567199999998</v>
      </c>
    </row>
    <row r="31" spans="1:8" ht="18.75" customHeight="1">
      <c r="A31" s="144"/>
      <c r="B31" s="158"/>
      <c r="C31" s="145" t="s">
        <v>3</v>
      </c>
      <c r="D31" s="23" t="s">
        <v>46</v>
      </c>
      <c r="E31" s="159">
        <f>56.4/100</f>
        <v>0.56399999999999995</v>
      </c>
      <c r="F31" s="152">
        <f>E31*F30</f>
        <v>588.81599999999992</v>
      </c>
      <c r="G31" s="152">
        <v>6</v>
      </c>
      <c r="H31" s="147">
        <f>F31*G31</f>
        <v>3532.8959999999997</v>
      </c>
    </row>
    <row r="32" spans="1:8" ht="18.75" customHeight="1">
      <c r="A32" s="144"/>
      <c r="B32" s="158"/>
      <c r="C32" s="145" t="s">
        <v>148</v>
      </c>
      <c r="D32" s="146" t="s">
        <v>47</v>
      </c>
      <c r="E32" s="159">
        <f>4.09/100</f>
        <v>4.0899999999999999E-2</v>
      </c>
      <c r="F32" s="152">
        <f>E32*F30</f>
        <v>42.699599999999997</v>
      </c>
      <c r="G32" s="152">
        <v>3.2</v>
      </c>
      <c r="H32" s="147">
        <f>F32*G32</f>
        <v>136.63872000000001</v>
      </c>
    </row>
    <row r="33" spans="1:8" ht="18.75" customHeight="1">
      <c r="A33" s="144"/>
      <c r="B33" s="158"/>
      <c r="C33" s="160" t="s">
        <v>157</v>
      </c>
      <c r="D33" s="159" t="s">
        <v>54</v>
      </c>
      <c r="E33" s="159">
        <f>0.45/100</f>
        <v>4.5000000000000005E-3</v>
      </c>
      <c r="F33" s="152">
        <f>E33*F30</f>
        <v>4.6980000000000004</v>
      </c>
      <c r="G33" s="152">
        <v>995</v>
      </c>
      <c r="H33" s="147">
        <f>F33*G33</f>
        <v>4674.51</v>
      </c>
    </row>
    <row r="34" spans="1:8" ht="18.75" customHeight="1">
      <c r="A34" s="148"/>
      <c r="B34" s="161"/>
      <c r="C34" s="259" t="s">
        <v>48</v>
      </c>
      <c r="D34" s="146" t="s">
        <v>47</v>
      </c>
      <c r="E34" s="159">
        <f>26.5/100</f>
        <v>0.26500000000000001</v>
      </c>
      <c r="F34" s="152">
        <f>E34*F30</f>
        <v>276.66000000000003</v>
      </c>
      <c r="G34" s="154">
        <v>3.2</v>
      </c>
      <c r="H34" s="150">
        <f>F34*G34</f>
        <v>885.31200000000013</v>
      </c>
    </row>
    <row r="35" spans="1:8" ht="31.5" customHeight="1">
      <c r="A35" s="1012">
        <v>8</v>
      </c>
      <c r="B35" s="989" t="s">
        <v>583</v>
      </c>
      <c r="C35" s="656" t="s">
        <v>591</v>
      </c>
      <c r="D35" s="659" t="s">
        <v>232</v>
      </c>
      <c r="E35" s="659"/>
      <c r="F35" s="210">
        <v>11</v>
      </c>
      <c r="G35" s="333"/>
      <c r="H35" s="143">
        <f>H36+H37+H38+H39</f>
        <v>2537.1280000000002</v>
      </c>
    </row>
    <row r="36" spans="1:8" ht="18" customHeight="1">
      <c r="A36" s="1013"/>
      <c r="B36" s="990"/>
      <c r="C36" s="657" t="s">
        <v>579</v>
      </c>
      <c r="D36" s="660" t="s">
        <v>580</v>
      </c>
      <c r="E36" s="660">
        <v>1.54</v>
      </c>
      <c r="F36" s="655">
        <f>E36*F35</f>
        <v>16.940000000000001</v>
      </c>
      <c r="G36" s="333">
        <v>6</v>
      </c>
      <c r="H36" s="147">
        <f>F36*G36</f>
        <v>101.64000000000001</v>
      </c>
    </row>
    <row r="37" spans="1:8" ht="18" customHeight="1">
      <c r="A37" s="1013"/>
      <c r="B37" s="990"/>
      <c r="C37" s="657" t="s">
        <v>148</v>
      </c>
      <c r="D37" s="660" t="s">
        <v>47</v>
      </c>
      <c r="E37" s="660">
        <v>0.09</v>
      </c>
      <c r="F37" s="655">
        <f>F35*E37</f>
        <v>0.99</v>
      </c>
      <c r="G37" s="333">
        <v>3.2</v>
      </c>
      <c r="H37" s="147">
        <f>F37*G37</f>
        <v>3.1680000000000001</v>
      </c>
    </row>
    <row r="38" spans="1:8" ht="18" customHeight="1">
      <c r="A38" s="1013"/>
      <c r="B38" s="990"/>
      <c r="C38" s="657" t="s">
        <v>581</v>
      </c>
      <c r="D38" s="660" t="s">
        <v>53</v>
      </c>
      <c r="E38" s="660">
        <v>1.4E-2</v>
      </c>
      <c r="F38" s="655">
        <f>F35*E38</f>
        <v>0.154</v>
      </c>
      <c r="G38" s="333">
        <v>80</v>
      </c>
      <c r="H38" s="147">
        <f>F38*G38</f>
        <v>12.32</v>
      </c>
    </row>
    <row r="39" spans="1:8" ht="18" customHeight="1">
      <c r="A39" s="1014"/>
      <c r="B39" s="991"/>
      <c r="C39" s="658" t="s">
        <v>592</v>
      </c>
      <c r="D39" s="661" t="s">
        <v>232</v>
      </c>
      <c r="E39" s="661">
        <v>1</v>
      </c>
      <c r="F39" s="662">
        <f>E39*F35</f>
        <v>11</v>
      </c>
      <c r="G39" s="333">
        <v>220</v>
      </c>
      <c r="H39" s="150">
        <f>F39*G39</f>
        <v>2420</v>
      </c>
    </row>
    <row r="40" spans="1:8" ht="38.25" customHeight="1">
      <c r="A40" s="989">
        <v>9</v>
      </c>
      <c r="B40" s="1006" t="s">
        <v>158</v>
      </c>
      <c r="C40" s="483" t="s">
        <v>376</v>
      </c>
      <c r="D40" s="196" t="s">
        <v>53</v>
      </c>
      <c r="E40" s="24"/>
      <c r="F40" s="655">
        <f>'rk.kiu (2)'!E19</f>
        <v>203</v>
      </c>
      <c r="G40" s="18"/>
      <c r="H40" s="19">
        <f>H42+H43+H41</f>
        <v>7438.5878699999994</v>
      </c>
    </row>
    <row r="41" spans="1:8" ht="18" customHeight="1">
      <c r="A41" s="990"/>
      <c r="B41" s="1007"/>
      <c r="C41" s="195" t="s">
        <v>3</v>
      </c>
      <c r="D41" s="196" t="s">
        <v>46</v>
      </c>
      <c r="E41" s="197">
        <v>1.6500000000000001E-2</v>
      </c>
      <c r="F41" s="198">
        <f>E41*F40</f>
        <v>3.3495000000000004</v>
      </c>
      <c r="G41" s="199">
        <v>6</v>
      </c>
      <c r="H41" s="200">
        <f>F41*G41</f>
        <v>20.097000000000001</v>
      </c>
    </row>
    <row r="42" spans="1:8" ht="18" customHeight="1">
      <c r="A42" s="990"/>
      <c r="B42" s="1007"/>
      <c r="C42" s="201" t="s">
        <v>172</v>
      </c>
      <c r="D42" s="196" t="s">
        <v>154</v>
      </c>
      <c r="E42" s="197">
        <v>3.6999999999999998E-2</v>
      </c>
      <c r="F42" s="198">
        <f>E42*F40</f>
        <v>7.5109999999999992</v>
      </c>
      <c r="G42" s="268">
        <v>17.190000000000001</v>
      </c>
      <c r="H42" s="200">
        <f>F42*G42</f>
        <v>129.11409</v>
      </c>
    </row>
    <row r="43" spans="1:8" ht="18" customHeight="1">
      <c r="A43" s="991"/>
      <c r="B43" s="1008"/>
      <c r="C43" s="202" t="s">
        <v>368</v>
      </c>
      <c r="D43" s="203" t="s">
        <v>87</v>
      </c>
      <c r="E43" s="204">
        <v>1.22</v>
      </c>
      <c r="F43" s="205">
        <f>E43*F40</f>
        <v>247.66</v>
      </c>
      <c r="G43" s="206">
        <f>კალკულაცია!J20</f>
        <v>29.433</v>
      </c>
      <c r="H43" s="207">
        <f>F43*G43</f>
        <v>7289.3767799999996</v>
      </c>
    </row>
    <row r="44" spans="1:8" ht="21" customHeight="1">
      <c r="A44" s="1009" t="s">
        <v>50</v>
      </c>
      <c r="B44" s="1010"/>
      <c r="C44" s="1010"/>
      <c r="D44" s="1010"/>
      <c r="E44" s="1010"/>
      <c r="F44" s="1011"/>
      <c r="G44" s="491"/>
      <c r="H44" s="21">
        <f>H40+H30+H17+H8+H12+H14+H18+H24+H35</f>
        <v>87698.700633552013</v>
      </c>
    </row>
    <row r="45" spans="1:8" ht="21" customHeight="1">
      <c r="A45" s="1002" t="s">
        <v>374</v>
      </c>
      <c r="B45" s="1003"/>
      <c r="C45" s="1003"/>
      <c r="D45" s="1003"/>
      <c r="E45" s="1003"/>
      <c r="F45" s="1004"/>
      <c r="G45" s="492"/>
      <c r="H45" s="28">
        <f>H44*0.1</f>
        <v>8769.8700633552016</v>
      </c>
    </row>
    <row r="46" spans="1:8" ht="21" customHeight="1">
      <c r="A46" s="1002" t="s">
        <v>51</v>
      </c>
      <c r="B46" s="1003"/>
      <c r="C46" s="1003"/>
      <c r="D46" s="1003"/>
      <c r="E46" s="1003"/>
      <c r="F46" s="1004"/>
      <c r="G46" s="492"/>
      <c r="H46" s="28">
        <f>H45+H44</f>
        <v>96468.57069690722</v>
      </c>
    </row>
    <row r="47" spans="1:8" ht="21" customHeight="1">
      <c r="A47" s="1002" t="s">
        <v>375</v>
      </c>
      <c r="B47" s="1003"/>
      <c r="C47" s="1003"/>
      <c r="D47" s="1003"/>
      <c r="E47" s="1003"/>
      <c r="F47" s="1004"/>
      <c r="G47" s="492"/>
      <c r="H47" s="28">
        <f>H46*0.08</f>
        <v>7717.4856557525782</v>
      </c>
    </row>
    <row r="48" spans="1:8" ht="21" customHeight="1">
      <c r="A48" s="1002" t="s">
        <v>52</v>
      </c>
      <c r="B48" s="1003"/>
      <c r="C48" s="1003"/>
      <c r="D48" s="1003"/>
      <c r="E48" s="1003"/>
      <c r="F48" s="1004"/>
      <c r="G48" s="492"/>
      <c r="H48" s="28">
        <f>H47+H46</f>
        <v>104186.0563526598</v>
      </c>
    </row>
    <row r="49" spans="1:8" ht="54.75" customHeight="1">
      <c r="A49" s="1005" t="s">
        <v>149</v>
      </c>
      <c r="B49" s="1005"/>
      <c r="C49" s="1005"/>
      <c r="D49" s="1005"/>
      <c r="E49" s="1005"/>
      <c r="F49" s="1005"/>
      <c r="G49" s="1005"/>
      <c r="H49" s="1005"/>
    </row>
  </sheetData>
  <mergeCells count="25">
    <mergeCell ref="G5:H5"/>
    <mergeCell ref="A1:H1"/>
    <mergeCell ref="A2:H2"/>
    <mergeCell ref="A3:H3"/>
    <mergeCell ref="B4:E4"/>
    <mergeCell ref="G4:H4"/>
    <mergeCell ref="A5:A6"/>
    <mergeCell ref="B5:B6"/>
    <mergeCell ref="C5:C6"/>
    <mergeCell ref="D5:D6"/>
    <mergeCell ref="E5:F5"/>
    <mergeCell ref="A24:A29"/>
    <mergeCell ref="B24:B29"/>
    <mergeCell ref="B12:B13"/>
    <mergeCell ref="A45:F45"/>
    <mergeCell ref="B35:B39"/>
    <mergeCell ref="A46:F46"/>
    <mergeCell ref="A47:F47"/>
    <mergeCell ref="A48:F48"/>
    <mergeCell ref="A49:H49"/>
    <mergeCell ref="B14:B16"/>
    <mergeCell ref="A40:A43"/>
    <mergeCell ref="B40:B43"/>
    <mergeCell ref="A44:F44"/>
    <mergeCell ref="A35:A39"/>
  </mergeCells>
  <printOptions horizontalCentered="1"/>
  <pageMargins left="0.31496062992125984" right="0.23622047244094491" top="0.19685039370078741" bottom="0.19685039370078741" header="0.19685039370078741" footer="0.2362204724409449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view="pageBreakPreview" topLeftCell="A49" zoomScaleNormal="100" zoomScaleSheetLayoutView="100" workbookViewId="0">
      <selection activeCell="K16" sqref="K16"/>
    </sheetView>
  </sheetViews>
  <sheetFormatPr defaultRowHeight="16.5"/>
  <cols>
    <col min="1" max="1" width="4.7109375" style="14" customWidth="1"/>
    <col min="2" max="2" width="18.42578125" style="15" customWidth="1"/>
    <col min="3" max="3" width="59.28515625" style="14" customWidth="1"/>
    <col min="4" max="4" width="8.85546875" style="14" customWidth="1"/>
    <col min="5" max="5" width="12.42578125" style="14" customWidth="1"/>
    <col min="6" max="6" width="13.5703125" style="14" customWidth="1"/>
    <col min="7" max="7" width="12.5703125" style="14" customWidth="1"/>
    <col min="8" max="8" width="14.7109375" style="14" customWidth="1"/>
    <col min="9" max="9" width="10.140625" style="14" bestFit="1" customWidth="1"/>
    <col min="10" max="16384" width="9.140625" style="14"/>
  </cols>
  <sheetData>
    <row r="1" spans="1:8" ht="44.2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29.25" customHeight="1">
      <c r="A2" s="957" t="s">
        <v>504</v>
      </c>
      <c r="B2" s="957"/>
      <c r="C2" s="957"/>
      <c r="D2" s="957"/>
      <c r="E2" s="957"/>
      <c r="F2" s="957"/>
      <c r="G2" s="957"/>
      <c r="H2" s="957"/>
    </row>
    <row r="3" spans="1:8" ht="19.5" customHeight="1">
      <c r="A3" s="1020" t="s">
        <v>384</v>
      </c>
      <c r="B3" s="1020"/>
      <c r="C3" s="1020"/>
      <c r="D3" s="1020"/>
      <c r="E3" s="1020"/>
      <c r="F3" s="1020"/>
      <c r="G3" s="1020"/>
      <c r="H3" s="1020"/>
    </row>
    <row r="4" spans="1:8" ht="17.25" customHeight="1">
      <c r="A4" s="15"/>
      <c r="B4" s="1021" t="s">
        <v>4</v>
      </c>
      <c r="C4" s="1021"/>
      <c r="D4" s="1021"/>
      <c r="E4" s="1021"/>
      <c r="F4" s="139">
        <f>H65/1000</f>
        <v>88.044106268516103</v>
      </c>
      <c r="G4" s="1022" t="s">
        <v>147</v>
      </c>
      <c r="H4" s="1022"/>
    </row>
    <row r="5" spans="1:8" ht="22.5" customHeight="1">
      <c r="A5" s="986" t="s">
        <v>0</v>
      </c>
      <c r="B5" s="986" t="s">
        <v>5</v>
      </c>
      <c r="C5" s="986" t="s">
        <v>6</v>
      </c>
      <c r="D5" s="986" t="s">
        <v>181</v>
      </c>
      <c r="E5" s="986" t="s">
        <v>7</v>
      </c>
      <c r="F5" s="986"/>
      <c r="G5" s="986" t="s">
        <v>2</v>
      </c>
      <c r="H5" s="986"/>
    </row>
    <row r="6" spans="1:8" ht="37.5" customHeight="1">
      <c r="A6" s="986"/>
      <c r="B6" s="986"/>
      <c r="C6" s="986"/>
      <c r="D6" s="986"/>
      <c r="E6" s="16" t="s">
        <v>8</v>
      </c>
      <c r="F6" s="16" t="s">
        <v>9</v>
      </c>
      <c r="G6" s="16" t="s">
        <v>10</v>
      </c>
      <c r="H6" s="16" t="s">
        <v>1</v>
      </c>
    </row>
    <row r="7" spans="1:8" ht="18.7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54" customHeight="1">
      <c r="A8" s="93">
        <v>1</v>
      </c>
      <c r="B8" s="400" t="s">
        <v>249</v>
      </c>
      <c r="C8" s="95" t="s">
        <v>387</v>
      </c>
      <c r="D8" s="96" t="s">
        <v>53</v>
      </c>
      <c r="E8" s="96"/>
      <c r="F8" s="97">
        <f>'rk.kiu (3)'!E6</f>
        <v>328</v>
      </c>
      <c r="G8" s="96"/>
      <c r="H8" s="98">
        <f>H11+H9+H10</f>
        <v>395.63950400000004</v>
      </c>
    </row>
    <row r="9" spans="1:8" ht="18.75" customHeight="1">
      <c r="A9" s="99"/>
      <c r="B9" s="100"/>
      <c r="C9" s="270" t="s">
        <v>57</v>
      </c>
      <c r="D9" s="406" t="s">
        <v>58</v>
      </c>
      <c r="E9" s="407">
        <v>9.2499999999999995E-3</v>
      </c>
      <c r="F9" s="103">
        <f>E9*F8</f>
        <v>3.0339999999999998</v>
      </c>
      <c r="G9" s="102">
        <v>6</v>
      </c>
      <c r="H9" s="103">
        <f>F9*G9</f>
        <v>18.204000000000001</v>
      </c>
    </row>
    <row r="10" spans="1:8" ht="18.75" customHeight="1">
      <c r="A10" s="99"/>
      <c r="B10" s="104"/>
      <c r="C10" s="271" t="s">
        <v>304</v>
      </c>
      <c r="D10" s="406" t="s">
        <v>64</v>
      </c>
      <c r="E10" s="407">
        <v>2.07E-2</v>
      </c>
      <c r="F10" s="103">
        <f>E10*F8</f>
        <v>6.7896000000000001</v>
      </c>
      <c r="G10" s="411">
        <v>55.38</v>
      </c>
      <c r="H10" s="103">
        <f>F10*G10</f>
        <v>376.00804800000003</v>
      </c>
    </row>
    <row r="11" spans="1:8" ht="18.75" customHeight="1">
      <c r="A11" s="105"/>
      <c r="B11" s="105"/>
      <c r="C11" s="272" t="s">
        <v>59</v>
      </c>
      <c r="D11" s="413" t="s">
        <v>47</v>
      </c>
      <c r="E11" s="414">
        <v>1.3600000000000001E-3</v>
      </c>
      <c r="F11" s="108">
        <f>E11*F8</f>
        <v>0.44608000000000003</v>
      </c>
      <c r="G11" s="107">
        <v>3.2</v>
      </c>
      <c r="H11" s="103">
        <f>F11*G11</f>
        <v>1.4274560000000003</v>
      </c>
    </row>
    <row r="12" spans="1:8" ht="26.25" customHeight="1">
      <c r="A12" s="399">
        <v>2</v>
      </c>
      <c r="B12" s="1018" t="s">
        <v>602</v>
      </c>
      <c r="C12" s="401" t="s">
        <v>386</v>
      </c>
      <c r="D12" s="402" t="s">
        <v>53</v>
      </c>
      <c r="E12" s="402"/>
      <c r="F12" s="693">
        <f>'rk.kiu (3)'!E7</f>
        <v>33</v>
      </c>
      <c r="G12" s="402"/>
      <c r="H12" s="403">
        <f>H13</f>
        <v>489.45599999999996</v>
      </c>
    </row>
    <row r="13" spans="1:8" ht="21" customHeight="1">
      <c r="A13" s="416"/>
      <c r="B13" s="1019"/>
      <c r="C13" s="272" t="s">
        <v>57</v>
      </c>
      <c r="D13" s="413" t="s">
        <v>58</v>
      </c>
      <c r="E13" s="413">
        <f>2.06*1.2</f>
        <v>2.472</v>
      </c>
      <c r="F13" s="417">
        <f>E13*F12</f>
        <v>81.575999999999993</v>
      </c>
      <c r="G13" s="413">
        <v>6</v>
      </c>
      <c r="H13" s="417">
        <f>G13*F13</f>
        <v>489.45599999999996</v>
      </c>
    </row>
    <row r="14" spans="1:8" ht="35.25" customHeight="1">
      <c r="A14" s="399">
        <v>3</v>
      </c>
      <c r="B14" s="997" t="s">
        <v>599</v>
      </c>
      <c r="C14" s="465" t="s">
        <v>664</v>
      </c>
      <c r="D14" s="466" t="s">
        <v>53</v>
      </c>
      <c r="E14" s="467"/>
      <c r="F14" s="694">
        <f>'rk.kiu (3)'!E8</f>
        <v>15</v>
      </c>
      <c r="G14" s="403"/>
      <c r="H14" s="403">
        <f>H16+H15</f>
        <v>161.51310000000001</v>
      </c>
    </row>
    <row r="15" spans="1:8" ht="21" customHeight="1">
      <c r="A15" s="404"/>
      <c r="B15" s="998"/>
      <c r="C15" s="469" t="s">
        <v>600</v>
      </c>
      <c r="D15" s="470" t="s">
        <v>358</v>
      </c>
      <c r="E15" s="471">
        <v>0.193</v>
      </c>
      <c r="F15" s="695">
        <f>E15*F14</f>
        <v>2.895</v>
      </c>
      <c r="G15" s="409">
        <v>55.38</v>
      </c>
      <c r="H15" s="409">
        <f>F15*G15</f>
        <v>160.32510000000002</v>
      </c>
    </row>
    <row r="16" spans="1:8" ht="21" customHeight="1">
      <c r="A16" s="412"/>
      <c r="B16" s="999"/>
      <c r="C16" s="473" t="s">
        <v>57</v>
      </c>
      <c r="D16" s="474" t="s">
        <v>46</v>
      </c>
      <c r="E16" s="475" t="s">
        <v>601</v>
      </c>
      <c r="F16" s="696">
        <f>E16*F14</f>
        <v>0.19800000000000001</v>
      </c>
      <c r="G16" s="417">
        <v>6</v>
      </c>
      <c r="H16" s="409">
        <f>F16*G16</f>
        <v>1.1880000000000002</v>
      </c>
    </row>
    <row r="17" spans="1:8" ht="23.25" customHeight="1">
      <c r="A17" s="476">
        <v>4</v>
      </c>
      <c r="B17" s="477" t="s">
        <v>132</v>
      </c>
      <c r="C17" s="478" t="s">
        <v>397</v>
      </c>
      <c r="D17" s="110" t="s">
        <v>65</v>
      </c>
      <c r="E17" s="110" t="s">
        <v>665</v>
      </c>
      <c r="F17" s="479">
        <f>'rk.kiu (3)'!E9</f>
        <v>601.6</v>
      </c>
      <c r="G17" s="110">
        <v>5.63</v>
      </c>
      <c r="H17" s="479">
        <f>G17*F17</f>
        <v>3387.0080000000003</v>
      </c>
    </row>
    <row r="18" spans="1:8" ht="36" customHeight="1">
      <c r="A18" s="480">
        <v>5</v>
      </c>
      <c r="B18" s="706" t="s">
        <v>359</v>
      </c>
      <c r="C18" s="434" t="s">
        <v>360</v>
      </c>
      <c r="D18" s="707" t="s">
        <v>171</v>
      </c>
      <c r="E18" s="708"/>
      <c r="F18" s="709">
        <f>'rk.kiu (3)'!E11</f>
        <v>648</v>
      </c>
      <c r="G18" s="710"/>
      <c r="H18" s="709">
        <f>H19+H20+H22+H23+H21</f>
        <v>47093.642352000003</v>
      </c>
    </row>
    <row r="19" spans="1:8" ht="18.600000000000001" customHeight="1">
      <c r="A19" s="482"/>
      <c r="B19" s="711"/>
      <c r="C19" s="426" t="s">
        <v>57</v>
      </c>
      <c r="D19" s="135" t="s">
        <v>46</v>
      </c>
      <c r="E19" s="432">
        <v>1.62</v>
      </c>
      <c r="F19" s="712">
        <f>E19*F18</f>
        <v>1049.76</v>
      </c>
      <c r="G19" s="672">
        <v>6</v>
      </c>
      <c r="H19" s="712">
        <f>F19*G19</f>
        <v>6298.5599999999995</v>
      </c>
    </row>
    <row r="20" spans="1:8" ht="18.600000000000001" customHeight="1">
      <c r="A20" s="482"/>
      <c r="B20" s="711"/>
      <c r="C20" s="426" t="s">
        <v>361</v>
      </c>
      <c r="D20" s="288" t="s">
        <v>154</v>
      </c>
      <c r="E20" s="432">
        <v>0.41599999999999998</v>
      </c>
      <c r="F20" s="712">
        <f>E20*F18</f>
        <v>269.56799999999998</v>
      </c>
      <c r="G20" s="672">
        <v>14.21</v>
      </c>
      <c r="H20" s="712">
        <f>F20*G20</f>
        <v>3830.5612799999999</v>
      </c>
    </row>
    <row r="21" spans="1:8" ht="18.600000000000001" customHeight="1">
      <c r="A21" s="482"/>
      <c r="B21" s="711"/>
      <c r="C21" s="429" t="s">
        <v>152</v>
      </c>
      <c r="D21" s="23" t="s">
        <v>53</v>
      </c>
      <c r="E21" s="713">
        <f>7.6/100</f>
        <v>7.5999999999999998E-2</v>
      </c>
      <c r="F21" s="712">
        <f>F18*E21</f>
        <v>49.247999999999998</v>
      </c>
      <c r="G21" s="714">
        <f>კალკულაცია!J12</f>
        <v>26.103999999999999</v>
      </c>
      <c r="H21" s="712">
        <f>F21*G21</f>
        <v>1285.569792</v>
      </c>
    </row>
    <row r="22" spans="1:8" ht="18.600000000000001" customHeight="1">
      <c r="A22" s="482"/>
      <c r="B22" s="711"/>
      <c r="C22" s="426" t="s">
        <v>362</v>
      </c>
      <c r="D22" s="715" t="s">
        <v>171</v>
      </c>
      <c r="E22" s="432">
        <v>1</v>
      </c>
      <c r="F22" s="712">
        <f>E22*F18</f>
        <v>648</v>
      </c>
      <c r="G22" s="714">
        <f>კალკულაცია!J18</f>
        <v>55.028750000000002</v>
      </c>
      <c r="H22" s="712">
        <f>F22*G22</f>
        <v>35658.630000000005</v>
      </c>
    </row>
    <row r="23" spans="1:8" ht="18.600000000000001" customHeight="1">
      <c r="A23" s="485"/>
      <c r="B23" s="716"/>
      <c r="C23" s="697" t="s">
        <v>59</v>
      </c>
      <c r="D23" s="717" t="s">
        <v>47</v>
      </c>
      <c r="E23" s="718">
        <v>9.7999999999999997E-3</v>
      </c>
      <c r="F23" s="719">
        <f>E23*F18</f>
        <v>6.3503999999999996</v>
      </c>
      <c r="G23" s="720">
        <v>3.2</v>
      </c>
      <c r="H23" s="719">
        <f>F23*G23</f>
        <v>20.321280000000002</v>
      </c>
    </row>
    <row r="24" spans="1:8" ht="20.25" customHeight="1">
      <c r="A24" s="140">
        <v>6</v>
      </c>
      <c r="B24" s="155" t="s">
        <v>156</v>
      </c>
      <c r="C24" s="156" t="s">
        <v>247</v>
      </c>
      <c r="D24" s="17" t="s">
        <v>235</v>
      </c>
      <c r="E24" s="151"/>
      <c r="F24" s="157">
        <f>'rk.kiu (3)'!E14</f>
        <v>1183.5999999999999</v>
      </c>
      <c r="G24" s="157"/>
      <c r="H24" s="143">
        <f>H25+H26+H27+H28</f>
        <v>10463.473768</v>
      </c>
    </row>
    <row r="25" spans="1:8" ht="18" customHeight="1">
      <c r="A25" s="144"/>
      <c r="B25" s="158"/>
      <c r="C25" s="145" t="s">
        <v>3</v>
      </c>
      <c r="D25" s="23" t="s">
        <v>46</v>
      </c>
      <c r="E25" s="159">
        <f>56.4/100</f>
        <v>0.56399999999999995</v>
      </c>
      <c r="F25" s="152">
        <f>E25*F24</f>
        <v>667.55039999999985</v>
      </c>
      <c r="G25" s="152">
        <v>6</v>
      </c>
      <c r="H25" s="147">
        <f>F25*G25</f>
        <v>4005.3023999999991</v>
      </c>
    </row>
    <row r="26" spans="1:8" ht="18" customHeight="1">
      <c r="A26" s="144"/>
      <c r="B26" s="158"/>
      <c r="C26" s="145" t="s">
        <v>148</v>
      </c>
      <c r="D26" s="146" t="s">
        <v>47</v>
      </c>
      <c r="E26" s="159">
        <f>4.09/100</f>
        <v>4.0899999999999999E-2</v>
      </c>
      <c r="F26" s="152">
        <f>E26*F24</f>
        <v>48.409239999999997</v>
      </c>
      <c r="G26" s="152">
        <v>3.2</v>
      </c>
      <c r="H26" s="147">
        <f>F26*G26</f>
        <v>154.90956800000001</v>
      </c>
    </row>
    <row r="27" spans="1:8" ht="18" customHeight="1">
      <c r="A27" s="144"/>
      <c r="B27" s="158"/>
      <c r="C27" s="160" t="s">
        <v>157</v>
      </c>
      <c r="D27" s="159" t="s">
        <v>54</v>
      </c>
      <c r="E27" s="159">
        <f>0.45/100</f>
        <v>4.5000000000000005E-3</v>
      </c>
      <c r="F27" s="152">
        <f>E27*F24</f>
        <v>5.3262</v>
      </c>
      <c r="G27" s="152">
        <v>995</v>
      </c>
      <c r="H27" s="147">
        <f>F27*G27</f>
        <v>5299.5690000000004</v>
      </c>
    </row>
    <row r="28" spans="1:8" ht="18" customHeight="1">
      <c r="A28" s="148"/>
      <c r="B28" s="161"/>
      <c r="C28" s="153" t="s">
        <v>48</v>
      </c>
      <c r="D28" s="149" t="s">
        <v>47</v>
      </c>
      <c r="E28" s="162">
        <f>26.5/100</f>
        <v>0.26500000000000001</v>
      </c>
      <c r="F28" s="154">
        <f>E28*F24</f>
        <v>313.654</v>
      </c>
      <c r="G28" s="154">
        <v>3.2</v>
      </c>
      <c r="H28" s="150">
        <f>F28*G28</f>
        <v>1003.6928</v>
      </c>
    </row>
    <row r="29" spans="1:8" ht="27" customHeight="1">
      <c r="A29" s="1023">
        <v>7</v>
      </c>
      <c r="B29" s="1025" t="s">
        <v>263</v>
      </c>
      <c r="C29" s="572" t="s">
        <v>500</v>
      </c>
      <c r="D29" s="96" t="s">
        <v>461</v>
      </c>
      <c r="E29" s="347"/>
      <c r="F29" s="573">
        <f>'rk.kiu (3)'!D16/100</f>
        <v>2.0400000000000001E-2</v>
      </c>
      <c r="G29" s="336"/>
      <c r="H29" s="147">
        <f>H30+H31+H32+H33+H37+H38+H39+H34+H35+H36</f>
        <v>552.96109460399998</v>
      </c>
    </row>
    <row r="30" spans="1:8" ht="20.25" customHeight="1">
      <c r="A30" s="1024"/>
      <c r="B30" s="1026"/>
      <c r="C30" s="574" t="s">
        <v>3</v>
      </c>
      <c r="D30" s="575" t="s">
        <v>46</v>
      </c>
      <c r="E30" s="260">
        <v>660</v>
      </c>
      <c r="F30" s="147">
        <f>E30*F29</f>
        <v>13.464</v>
      </c>
      <c r="G30" s="333">
        <v>6</v>
      </c>
      <c r="H30" s="147">
        <f t="shared" ref="H30:H39" si="0">F30*G30</f>
        <v>80.784000000000006</v>
      </c>
    </row>
    <row r="31" spans="1:8" ht="20.25" customHeight="1">
      <c r="A31" s="1024"/>
      <c r="B31" s="1026"/>
      <c r="C31" s="266" t="s">
        <v>495</v>
      </c>
      <c r="D31" s="575" t="s">
        <v>496</v>
      </c>
      <c r="E31" s="260">
        <v>9.6</v>
      </c>
      <c r="F31" s="147">
        <f>E31*F29</f>
        <v>0.19584000000000001</v>
      </c>
      <c r="G31" s="333">
        <v>14.21</v>
      </c>
      <c r="H31" s="147">
        <f t="shared" si="0"/>
        <v>2.7828864000000002</v>
      </c>
    </row>
    <row r="32" spans="1:8" ht="20.25" customHeight="1">
      <c r="A32" s="1024"/>
      <c r="B32" s="1026"/>
      <c r="C32" s="574" t="s">
        <v>148</v>
      </c>
      <c r="D32" s="576" t="s">
        <v>47</v>
      </c>
      <c r="E32" s="260">
        <v>39.9</v>
      </c>
      <c r="F32" s="147">
        <f>E32*F29</f>
        <v>0.81396000000000002</v>
      </c>
      <c r="G32" s="333">
        <v>3.2</v>
      </c>
      <c r="H32" s="147">
        <f t="shared" si="0"/>
        <v>2.6046720000000003</v>
      </c>
    </row>
    <row r="33" spans="1:8" ht="20.25" customHeight="1">
      <c r="A33" s="1024"/>
      <c r="B33" s="1026"/>
      <c r="C33" s="312" t="s">
        <v>497</v>
      </c>
      <c r="D33" s="146" t="s">
        <v>462</v>
      </c>
      <c r="E33" s="260">
        <v>101.5</v>
      </c>
      <c r="F33" s="147">
        <f>E33*F29</f>
        <v>2.0706000000000002</v>
      </c>
      <c r="G33" s="333">
        <f>კალკულაცია!J17</f>
        <v>134.45599999999999</v>
      </c>
      <c r="H33" s="147">
        <f t="shared" si="0"/>
        <v>278.4045936</v>
      </c>
    </row>
    <row r="34" spans="1:8" ht="20.25" customHeight="1">
      <c r="A34" s="1024"/>
      <c r="B34" s="1026"/>
      <c r="C34" s="266" t="s">
        <v>270</v>
      </c>
      <c r="D34" s="146" t="s">
        <v>462</v>
      </c>
      <c r="E34" s="260">
        <v>0.47</v>
      </c>
      <c r="F34" s="147">
        <f>E34*F29</f>
        <v>9.5879999999999993E-3</v>
      </c>
      <c r="G34" s="333">
        <v>80</v>
      </c>
      <c r="H34" s="147">
        <f t="shared" si="0"/>
        <v>0.76703999999999994</v>
      </c>
    </row>
    <row r="35" spans="1:8" ht="20.25" customHeight="1">
      <c r="A35" s="1024"/>
      <c r="B35" s="1026"/>
      <c r="C35" s="266" t="s">
        <v>608</v>
      </c>
      <c r="D35" s="146" t="s">
        <v>607</v>
      </c>
      <c r="E35" s="260">
        <v>39</v>
      </c>
      <c r="F35" s="147">
        <f>E35*F29</f>
        <v>0.79560000000000008</v>
      </c>
      <c r="G35" s="333">
        <v>15</v>
      </c>
      <c r="H35" s="147">
        <f t="shared" si="0"/>
        <v>11.934000000000001</v>
      </c>
    </row>
    <row r="36" spans="1:8" ht="20.25" customHeight="1">
      <c r="A36" s="1024"/>
      <c r="B36" s="1026"/>
      <c r="C36" s="266" t="s">
        <v>151</v>
      </c>
      <c r="D36" s="146" t="s">
        <v>462</v>
      </c>
      <c r="E36" s="260">
        <f>4.68+7.4+0.53</f>
        <v>12.61</v>
      </c>
      <c r="F36" s="147">
        <f>E36*F29</f>
        <v>0.25724400000000003</v>
      </c>
      <c r="G36" s="333">
        <f>კალკულაცია!J15</f>
        <v>419.94099999999997</v>
      </c>
      <c r="H36" s="147">
        <f t="shared" si="0"/>
        <v>108.027302604</v>
      </c>
    </row>
    <row r="37" spans="1:8" ht="20.25" customHeight="1">
      <c r="A37" s="1024"/>
      <c r="B37" s="1026"/>
      <c r="C37" s="266" t="s">
        <v>155</v>
      </c>
      <c r="D37" s="146" t="s">
        <v>49</v>
      </c>
      <c r="E37" s="260">
        <v>193</v>
      </c>
      <c r="F37" s="147">
        <f>E37*F29</f>
        <v>3.9372000000000003</v>
      </c>
      <c r="G37" s="333">
        <v>4.5</v>
      </c>
      <c r="H37" s="147">
        <f t="shared" si="0"/>
        <v>17.717400000000001</v>
      </c>
    </row>
    <row r="38" spans="1:8" ht="20.25" customHeight="1">
      <c r="A38" s="1024"/>
      <c r="B38" s="1026"/>
      <c r="C38" s="266" t="s">
        <v>609</v>
      </c>
      <c r="D38" s="146" t="s">
        <v>49</v>
      </c>
      <c r="E38" s="260">
        <v>1160</v>
      </c>
      <c r="F38" s="147">
        <f>E38*F29</f>
        <v>23.664000000000001</v>
      </c>
      <c r="G38" s="333">
        <v>1.68</v>
      </c>
      <c r="H38" s="147">
        <f t="shared" si="0"/>
        <v>39.755520000000004</v>
      </c>
    </row>
    <row r="39" spans="1:8" ht="20.25" customHeight="1">
      <c r="A39" s="1024"/>
      <c r="B39" s="1026"/>
      <c r="C39" s="266" t="s">
        <v>48</v>
      </c>
      <c r="D39" s="576" t="s">
        <v>47</v>
      </c>
      <c r="E39" s="260">
        <v>156</v>
      </c>
      <c r="F39" s="147">
        <f>E39*F29</f>
        <v>3.1824000000000003</v>
      </c>
      <c r="G39" s="333">
        <v>3.2</v>
      </c>
      <c r="H39" s="147">
        <f t="shared" si="0"/>
        <v>10.183680000000003</v>
      </c>
    </row>
    <row r="40" spans="1:8" ht="34.5" customHeight="1">
      <c r="A40" s="335">
        <v>8</v>
      </c>
      <c r="B40" s="663" t="s">
        <v>261</v>
      </c>
      <c r="C40" s="577" t="s">
        <v>501</v>
      </c>
      <c r="D40" s="578" t="s">
        <v>610</v>
      </c>
      <c r="E40" s="142"/>
      <c r="F40" s="698">
        <f>'rk.kiu (3)'!D17/1000/100</f>
        <v>1.5419999999999998E-3</v>
      </c>
      <c r="G40" s="143"/>
      <c r="H40" s="143">
        <f>H41+H44+H42+H43+H45</f>
        <v>265.90022868</v>
      </c>
    </row>
    <row r="41" spans="1:8" ht="17.25" customHeight="1">
      <c r="A41" s="337"/>
      <c r="B41" s="664"/>
      <c r="C41" s="701" t="s">
        <v>3</v>
      </c>
      <c r="D41" s="575" t="s">
        <v>46</v>
      </c>
      <c r="E41" s="260">
        <v>2760</v>
      </c>
      <c r="F41" s="147">
        <f>E41*F40</f>
        <v>4.2559199999999997</v>
      </c>
      <c r="G41" s="333">
        <v>6</v>
      </c>
      <c r="H41" s="147">
        <f>F41*G41</f>
        <v>25.535519999999998</v>
      </c>
    </row>
    <row r="42" spans="1:8" ht="17.25" customHeight="1">
      <c r="A42" s="337"/>
      <c r="B42" s="664"/>
      <c r="C42" s="332" t="s">
        <v>495</v>
      </c>
      <c r="D42" s="575" t="s">
        <v>496</v>
      </c>
      <c r="E42" s="260">
        <v>474</v>
      </c>
      <c r="F42" s="147">
        <f>E42*F40</f>
        <v>0.73090799999999989</v>
      </c>
      <c r="G42" s="333">
        <f>G31</f>
        <v>14.21</v>
      </c>
      <c r="H42" s="147">
        <f>F42*G42</f>
        <v>10.386202679999998</v>
      </c>
    </row>
    <row r="43" spans="1:8" ht="17.25" customHeight="1">
      <c r="A43" s="337"/>
      <c r="B43" s="664"/>
      <c r="C43" s="701" t="s">
        <v>148</v>
      </c>
      <c r="D43" s="576" t="s">
        <v>47</v>
      </c>
      <c r="E43" s="260">
        <v>680</v>
      </c>
      <c r="F43" s="147">
        <f>E43*F40</f>
        <v>1.0485599999999999</v>
      </c>
      <c r="G43" s="333">
        <v>3.2</v>
      </c>
      <c r="H43" s="147">
        <f>F43*G43</f>
        <v>3.3553920000000002</v>
      </c>
    </row>
    <row r="44" spans="1:8" ht="17.25" customHeight="1">
      <c r="A44" s="337"/>
      <c r="B44" s="664"/>
      <c r="C44" s="332" t="s">
        <v>273</v>
      </c>
      <c r="D44" s="575" t="s">
        <v>54</v>
      </c>
      <c r="E44" s="260">
        <v>100</v>
      </c>
      <c r="F44" s="704">
        <f>E44*F40</f>
        <v>0.15419999999999998</v>
      </c>
      <c r="G44" s="333">
        <f>კალკულაცია!J22</f>
        <v>1430.63</v>
      </c>
      <c r="H44" s="147">
        <f>F44*G44</f>
        <v>220.60314599999998</v>
      </c>
    </row>
    <row r="45" spans="1:8" ht="17.25" customHeight="1">
      <c r="A45" s="339"/>
      <c r="B45" s="665"/>
      <c r="C45" s="267" t="s">
        <v>48</v>
      </c>
      <c r="D45" s="648" t="s">
        <v>47</v>
      </c>
      <c r="E45" s="262">
        <v>1220</v>
      </c>
      <c r="F45" s="705">
        <f>E45*F40</f>
        <v>1.8812399999999998</v>
      </c>
      <c r="G45" s="340">
        <v>3.2</v>
      </c>
      <c r="H45" s="150">
        <f>F45*G45</f>
        <v>6.0199679999999995</v>
      </c>
    </row>
    <row r="46" spans="1:8" ht="38.25" customHeight="1">
      <c r="A46" s="1030">
        <v>9</v>
      </c>
      <c r="B46" s="1027" t="s">
        <v>583</v>
      </c>
      <c r="C46" s="793" t="s">
        <v>578</v>
      </c>
      <c r="D46" s="578" t="s">
        <v>232</v>
      </c>
      <c r="E46" s="142"/>
      <c r="F46" s="143">
        <v>3</v>
      </c>
      <c r="G46" s="336"/>
      <c r="H46" s="143">
        <f>H47+H48+H49+H50</f>
        <v>605.43395999999996</v>
      </c>
    </row>
    <row r="47" spans="1:8" ht="18" customHeight="1">
      <c r="A47" s="1031"/>
      <c r="B47" s="1028"/>
      <c r="C47" s="574" t="s">
        <v>579</v>
      </c>
      <c r="D47" s="576" t="s">
        <v>580</v>
      </c>
      <c r="E47" s="146">
        <v>0.21299999999999999</v>
      </c>
      <c r="F47" s="147">
        <f>E47*F46</f>
        <v>0.63900000000000001</v>
      </c>
      <c r="G47" s="333">
        <v>6</v>
      </c>
      <c r="H47" s="147">
        <f>F47*G47</f>
        <v>3.8340000000000001</v>
      </c>
    </row>
    <row r="48" spans="1:8" ht="18" customHeight="1">
      <c r="A48" s="1031"/>
      <c r="B48" s="1028"/>
      <c r="C48" s="574" t="s">
        <v>148</v>
      </c>
      <c r="D48" s="576" t="s">
        <v>47</v>
      </c>
      <c r="E48" s="146">
        <v>6.9800000000000001E-2</v>
      </c>
      <c r="F48" s="147">
        <f>E48*F46</f>
        <v>0.2094</v>
      </c>
      <c r="G48" s="333">
        <v>3.2</v>
      </c>
      <c r="H48" s="147">
        <f>F48*G48</f>
        <v>0.67008000000000001</v>
      </c>
    </row>
    <row r="49" spans="1:8" ht="18" customHeight="1">
      <c r="A49" s="1031"/>
      <c r="B49" s="1028"/>
      <c r="C49" s="574" t="s">
        <v>581</v>
      </c>
      <c r="D49" s="576" t="s">
        <v>53</v>
      </c>
      <c r="E49" s="146">
        <v>3.6900000000000001E-3</v>
      </c>
      <c r="F49" s="147">
        <f>E49*F46</f>
        <v>1.107E-2</v>
      </c>
      <c r="G49" s="333">
        <v>84</v>
      </c>
      <c r="H49" s="147">
        <f>F49*G49</f>
        <v>0.92988000000000004</v>
      </c>
    </row>
    <row r="50" spans="1:8" ht="18" customHeight="1">
      <c r="A50" s="1032"/>
      <c r="B50" s="1029"/>
      <c r="C50" s="794" t="s">
        <v>582</v>
      </c>
      <c r="D50" s="648" t="s">
        <v>232</v>
      </c>
      <c r="E50" s="149">
        <v>1</v>
      </c>
      <c r="F50" s="150">
        <f>E50*F46</f>
        <v>3</v>
      </c>
      <c r="G50" s="340">
        <v>200</v>
      </c>
      <c r="H50" s="150">
        <f>F50*G50</f>
        <v>600</v>
      </c>
    </row>
    <row r="51" spans="1:8" ht="44.25" customHeight="1">
      <c r="A51" s="589">
        <v>10</v>
      </c>
      <c r="B51" s="669" t="s">
        <v>611</v>
      </c>
      <c r="C51" s="214" t="s">
        <v>529</v>
      </c>
      <c r="D51" s="96" t="s">
        <v>54</v>
      </c>
      <c r="E51" s="17"/>
      <c r="F51" s="19">
        <f>'rk.kiu (3)'!E20</f>
        <v>1.7302599999999999</v>
      </c>
      <c r="G51" s="600"/>
      <c r="H51" s="19">
        <f>H52+H53+H54+H55+H56</f>
        <v>3572.7169794399997</v>
      </c>
    </row>
    <row r="52" spans="1:8" ht="18" customHeight="1">
      <c r="A52" s="590"/>
      <c r="B52" s="601"/>
      <c r="C52" s="483" t="s">
        <v>57</v>
      </c>
      <c r="D52" s="23" t="s">
        <v>46</v>
      </c>
      <c r="E52" s="23">
        <v>34.9</v>
      </c>
      <c r="F52" s="484">
        <f>E52*F51</f>
        <v>60.386073999999994</v>
      </c>
      <c r="G52" s="30">
        <v>7.8</v>
      </c>
      <c r="H52" s="602">
        <f>F52*G52</f>
        <v>471.01137719999991</v>
      </c>
    </row>
    <row r="53" spans="1:8" ht="18" customHeight="1">
      <c r="A53" s="590"/>
      <c r="B53" s="601"/>
      <c r="C53" s="483" t="s">
        <v>363</v>
      </c>
      <c r="D53" s="33" t="s">
        <v>47</v>
      </c>
      <c r="E53" s="23">
        <v>4.07</v>
      </c>
      <c r="F53" s="25">
        <f>F51*E53</f>
        <v>7.0421582000000003</v>
      </c>
      <c r="G53" s="562">
        <v>3.2</v>
      </c>
      <c r="H53" s="602">
        <f>F53*G53</f>
        <v>22.534906240000002</v>
      </c>
    </row>
    <row r="54" spans="1:8" ht="18" customHeight="1">
      <c r="A54" s="590"/>
      <c r="B54" s="601"/>
      <c r="C54" s="489" t="s">
        <v>612</v>
      </c>
      <c r="D54" s="102" t="s">
        <v>54</v>
      </c>
      <c r="E54" s="23">
        <v>1</v>
      </c>
      <c r="F54" s="25">
        <f>E54*F51</f>
        <v>1.7302599999999999</v>
      </c>
      <c r="G54" s="562">
        <v>1710</v>
      </c>
      <c r="H54" s="602">
        <f>F54*G54</f>
        <v>2958.7446</v>
      </c>
    </row>
    <row r="55" spans="1:8" ht="18" customHeight="1">
      <c r="A55" s="590"/>
      <c r="B55" s="601"/>
      <c r="C55" s="489" t="s">
        <v>48</v>
      </c>
      <c r="D55" s="102" t="s">
        <v>47</v>
      </c>
      <c r="E55" s="23">
        <v>2.75</v>
      </c>
      <c r="F55" s="25">
        <f>E55*F51</f>
        <v>4.7582149999999999</v>
      </c>
      <c r="G55" s="562">
        <v>3.2</v>
      </c>
      <c r="H55" s="602">
        <f>F55*G55</f>
        <v>15.226288</v>
      </c>
    </row>
    <row r="56" spans="1:8" ht="18" customHeight="1">
      <c r="A56" s="591"/>
      <c r="B56" s="603"/>
      <c r="C56" s="490" t="s">
        <v>473</v>
      </c>
      <c r="D56" s="107" t="s">
        <v>49</v>
      </c>
      <c r="E56" s="27">
        <v>15.2</v>
      </c>
      <c r="F56" s="21">
        <f>F51*E56</f>
        <v>26.299951999999998</v>
      </c>
      <c r="G56" s="564">
        <v>4</v>
      </c>
      <c r="H56" s="604">
        <f>F56*G56</f>
        <v>105.19980799999999</v>
      </c>
    </row>
    <row r="57" spans="1:8" ht="36.75" customHeight="1">
      <c r="A57" s="989">
        <v>11</v>
      </c>
      <c r="B57" s="1006" t="s">
        <v>158</v>
      </c>
      <c r="C57" s="31" t="s">
        <v>376</v>
      </c>
      <c r="D57" s="194" t="s">
        <v>53</v>
      </c>
      <c r="E57" s="18"/>
      <c r="F57" s="210">
        <f>'rk.kiu (3)'!E19</f>
        <v>194.4</v>
      </c>
      <c r="G57" s="18"/>
      <c r="H57" s="19">
        <f>H59+H60+H58</f>
        <v>7123.4555760000003</v>
      </c>
    </row>
    <row r="58" spans="1:8" ht="18.600000000000001" customHeight="1">
      <c r="A58" s="990"/>
      <c r="B58" s="1007"/>
      <c r="C58" s="195" t="s">
        <v>3</v>
      </c>
      <c r="D58" s="196" t="s">
        <v>46</v>
      </c>
      <c r="E58" s="197">
        <v>1.6500000000000001E-2</v>
      </c>
      <c r="F58" s="198">
        <f>E58*F57</f>
        <v>3.2076000000000002</v>
      </c>
      <c r="G58" s="199">
        <v>6</v>
      </c>
      <c r="H58" s="200">
        <f>F58*G58</f>
        <v>19.245600000000003</v>
      </c>
    </row>
    <row r="59" spans="1:8" ht="18.600000000000001" customHeight="1">
      <c r="A59" s="990"/>
      <c r="B59" s="1007"/>
      <c r="C59" s="201" t="s">
        <v>172</v>
      </c>
      <c r="D59" s="196" t="s">
        <v>154</v>
      </c>
      <c r="E59" s="197">
        <v>3.6999999999999998E-2</v>
      </c>
      <c r="F59" s="198">
        <f>E59*F57</f>
        <v>7.1928000000000001</v>
      </c>
      <c r="G59" s="268">
        <v>17.190000000000001</v>
      </c>
      <c r="H59" s="200">
        <f>F59*G59</f>
        <v>123.64423200000002</v>
      </c>
    </row>
    <row r="60" spans="1:8" ht="18.600000000000001" customHeight="1">
      <c r="A60" s="991"/>
      <c r="B60" s="1008"/>
      <c r="C60" s="202" t="s">
        <v>368</v>
      </c>
      <c r="D60" s="203" t="s">
        <v>87</v>
      </c>
      <c r="E60" s="204">
        <v>1.22</v>
      </c>
      <c r="F60" s="205">
        <f>E60*F57</f>
        <v>237.16800000000001</v>
      </c>
      <c r="G60" s="206">
        <f>კალკულაცია!J20</f>
        <v>29.433</v>
      </c>
      <c r="H60" s="207">
        <f>F60*G60</f>
        <v>6980.5657440000004</v>
      </c>
    </row>
    <row r="61" spans="1:8" ht="21" customHeight="1">
      <c r="A61" s="1009" t="s">
        <v>50</v>
      </c>
      <c r="B61" s="1010"/>
      <c r="C61" s="1010"/>
      <c r="D61" s="1010"/>
      <c r="E61" s="1010"/>
      <c r="F61" s="1011"/>
      <c r="G61" s="491"/>
      <c r="H61" s="21">
        <f>H57+H24+H17+H8+H12+H14+H18+H51+H29+H40+H46</f>
        <v>74111.200562724</v>
      </c>
    </row>
    <row r="62" spans="1:8" ht="21" customHeight="1">
      <c r="A62" s="1002" t="s">
        <v>374</v>
      </c>
      <c r="B62" s="1003"/>
      <c r="C62" s="1003"/>
      <c r="D62" s="1003"/>
      <c r="E62" s="1003"/>
      <c r="F62" s="1004"/>
      <c r="G62" s="492"/>
      <c r="H62" s="28">
        <f>H61*0.1</f>
        <v>7411.1200562724007</v>
      </c>
    </row>
    <row r="63" spans="1:8" ht="21" customHeight="1">
      <c r="A63" s="1002" t="s">
        <v>51</v>
      </c>
      <c r="B63" s="1003"/>
      <c r="C63" s="1003"/>
      <c r="D63" s="1003"/>
      <c r="E63" s="1003"/>
      <c r="F63" s="1004"/>
      <c r="G63" s="492"/>
      <c r="H63" s="28">
        <f>H62+H61</f>
        <v>81522.320618996397</v>
      </c>
    </row>
    <row r="64" spans="1:8" ht="21" customHeight="1">
      <c r="A64" s="1002" t="s">
        <v>375</v>
      </c>
      <c r="B64" s="1003"/>
      <c r="C64" s="1003"/>
      <c r="D64" s="1003"/>
      <c r="E64" s="1003"/>
      <c r="F64" s="1004"/>
      <c r="G64" s="492"/>
      <c r="H64" s="28">
        <f>H63*0.08</f>
        <v>6521.785649519712</v>
      </c>
    </row>
    <row r="65" spans="1:8" ht="21" customHeight="1">
      <c r="A65" s="1002" t="s">
        <v>52</v>
      </c>
      <c r="B65" s="1003"/>
      <c r="C65" s="1003"/>
      <c r="D65" s="1003"/>
      <c r="E65" s="1003"/>
      <c r="F65" s="1004"/>
      <c r="G65" s="492"/>
      <c r="H65" s="28">
        <f>H64+H63</f>
        <v>88044.106268516101</v>
      </c>
    </row>
    <row r="66" spans="1:8" ht="36.75" customHeight="1">
      <c r="A66" s="1005" t="s">
        <v>149</v>
      </c>
      <c r="B66" s="1005"/>
      <c r="C66" s="1005"/>
      <c r="D66" s="1005"/>
      <c r="E66" s="1005"/>
      <c r="F66" s="1005"/>
      <c r="G66" s="1005"/>
      <c r="H66" s="1005"/>
    </row>
  </sheetData>
  <mergeCells count="25">
    <mergeCell ref="A46:A50"/>
    <mergeCell ref="B12:B13"/>
    <mergeCell ref="A66:H66"/>
    <mergeCell ref="B14:B16"/>
    <mergeCell ref="A57:A60"/>
    <mergeCell ref="C5:C6"/>
    <mergeCell ref="D5:D6"/>
    <mergeCell ref="A63:F63"/>
    <mergeCell ref="A61:F61"/>
    <mergeCell ref="A64:F64"/>
    <mergeCell ref="A62:F62"/>
    <mergeCell ref="G5:H5"/>
    <mergeCell ref="B57:B60"/>
    <mergeCell ref="A65:F65"/>
    <mergeCell ref="E5:F5"/>
    <mergeCell ref="A29:A39"/>
    <mergeCell ref="B29:B39"/>
    <mergeCell ref="B46:B50"/>
    <mergeCell ref="A1:H1"/>
    <mergeCell ref="A3:H3"/>
    <mergeCell ref="B4:E4"/>
    <mergeCell ref="G4:H4"/>
    <mergeCell ref="A5:A6"/>
    <mergeCell ref="B5:B6"/>
    <mergeCell ref="A2:H2"/>
  </mergeCells>
  <printOptions horizontalCentered="1"/>
  <pageMargins left="0.19685039370078741" right="0.19685039370078741" top="0.19685039370078741" bottom="0.27559055118110237" header="0.19685039370078741" footer="0.2362204724409449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topLeftCell="A58" zoomScaleNormal="100" zoomScaleSheetLayoutView="100" workbookViewId="0">
      <selection activeCell="K16" sqref="K16"/>
    </sheetView>
  </sheetViews>
  <sheetFormatPr defaultRowHeight="16.5"/>
  <cols>
    <col min="1" max="1" width="4.7109375" style="14" customWidth="1"/>
    <col min="2" max="2" width="18.140625" style="15" customWidth="1"/>
    <col min="3" max="3" width="66.7109375" style="14" customWidth="1"/>
    <col min="4" max="4" width="10" style="14" customWidth="1"/>
    <col min="5" max="6" width="12.28515625" style="14" customWidth="1"/>
    <col min="7" max="7" width="10.7109375" style="14" customWidth="1"/>
    <col min="8" max="8" width="11" style="14" customWidth="1"/>
    <col min="9" max="16384" width="9.140625" style="14"/>
  </cols>
  <sheetData>
    <row r="1" spans="1:8" ht="40.5" customHeight="1">
      <c r="A1" s="1033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1034"/>
      <c r="C1" s="1034"/>
      <c r="D1" s="1034"/>
      <c r="E1" s="1034"/>
      <c r="F1" s="1034"/>
      <c r="G1" s="1034"/>
      <c r="H1" s="1034"/>
    </row>
    <row r="2" spans="1:8" ht="0.75" customHeight="1">
      <c r="A2" s="397"/>
      <c r="B2" s="397"/>
      <c r="C2" s="396"/>
      <c r="D2" s="397"/>
      <c r="E2" s="397"/>
      <c r="F2" s="397"/>
      <c r="G2" s="397"/>
      <c r="H2" s="397"/>
    </row>
    <row r="3" spans="1:8" ht="15" customHeight="1">
      <c r="A3" s="1035" t="s">
        <v>379</v>
      </c>
      <c r="B3" s="1035"/>
      <c r="C3" s="1035"/>
      <c r="D3" s="1035"/>
      <c r="E3" s="1035"/>
      <c r="F3" s="1035"/>
      <c r="G3" s="1035"/>
      <c r="H3" s="1035"/>
    </row>
    <row r="4" spans="1:8" ht="1.5" customHeight="1">
      <c r="A4" s="398"/>
      <c r="B4" s="398"/>
      <c r="C4" s="398"/>
      <c r="D4" s="398"/>
      <c r="E4" s="398"/>
      <c r="F4" s="398"/>
      <c r="G4" s="398"/>
      <c r="H4" s="398"/>
    </row>
    <row r="5" spans="1:8" ht="17.25" customHeight="1">
      <c r="A5" s="1033" t="s">
        <v>505</v>
      </c>
      <c r="B5" s="1034"/>
      <c r="C5" s="1034"/>
      <c r="D5" s="1034"/>
      <c r="E5" s="1034"/>
      <c r="F5" s="1034"/>
      <c r="G5" s="1034"/>
      <c r="H5" s="1034"/>
    </row>
    <row r="6" spans="1:8" ht="16.5" customHeight="1">
      <c r="B6" s="1036" t="s">
        <v>4</v>
      </c>
      <c r="C6" s="1036"/>
      <c r="D6" s="1036"/>
      <c r="E6" s="1036"/>
      <c r="F6" s="29">
        <f>H85/1000</f>
        <v>53.289533461623229</v>
      </c>
      <c r="G6" s="1037" t="s">
        <v>56</v>
      </c>
      <c r="H6" s="1037"/>
    </row>
    <row r="7" spans="1:8" ht="15" customHeight="1">
      <c r="A7" s="986" t="s">
        <v>0</v>
      </c>
      <c r="B7" s="986" t="s">
        <v>5</v>
      </c>
      <c r="C7" s="986" t="s">
        <v>6</v>
      </c>
      <c r="D7" s="986" t="s">
        <v>181</v>
      </c>
      <c r="E7" s="986" t="s">
        <v>7</v>
      </c>
      <c r="F7" s="986"/>
      <c r="G7" s="986" t="s">
        <v>2</v>
      </c>
      <c r="H7" s="986"/>
    </row>
    <row r="8" spans="1:8" ht="33" customHeight="1">
      <c r="A8" s="986"/>
      <c r="B8" s="986"/>
      <c r="C8" s="986"/>
      <c r="D8" s="986"/>
      <c r="E8" s="16" t="s">
        <v>8</v>
      </c>
      <c r="F8" s="264" t="s">
        <v>9</v>
      </c>
      <c r="G8" s="16" t="s">
        <v>10</v>
      </c>
      <c r="H8" s="16" t="s">
        <v>1</v>
      </c>
    </row>
    <row r="9" spans="1:8" ht="13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</row>
    <row r="10" spans="1:8" ht="42" customHeight="1">
      <c r="A10" s="399">
        <v>1</v>
      </c>
      <c r="B10" s="400" t="s">
        <v>249</v>
      </c>
      <c r="C10" s="401" t="s">
        <v>305</v>
      </c>
      <c r="D10" s="402" t="s">
        <v>53</v>
      </c>
      <c r="E10" s="402"/>
      <c r="F10" s="403">
        <f>mili!H8</f>
        <v>120.46</v>
      </c>
      <c r="G10" s="402"/>
      <c r="H10" s="403">
        <f>H13+H11+H12</f>
        <v>145.30102028000002</v>
      </c>
    </row>
    <row r="11" spans="1:8" ht="18" customHeight="1">
      <c r="A11" s="404"/>
      <c r="B11" s="405"/>
      <c r="C11" s="270" t="s">
        <v>57</v>
      </c>
      <c r="D11" s="406" t="s">
        <v>58</v>
      </c>
      <c r="E11" s="407">
        <v>9.2499999999999995E-3</v>
      </c>
      <c r="F11" s="408">
        <f>E11*F10</f>
        <v>1.114255</v>
      </c>
      <c r="G11" s="407">
        <v>6</v>
      </c>
      <c r="H11" s="409">
        <f>F11*G11</f>
        <v>6.68553</v>
      </c>
    </row>
    <row r="12" spans="1:8" ht="18.75" customHeight="1">
      <c r="A12" s="404"/>
      <c r="B12" s="410"/>
      <c r="C12" s="271" t="s">
        <v>304</v>
      </c>
      <c r="D12" s="406" t="s">
        <v>64</v>
      </c>
      <c r="E12" s="407">
        <v>2.07E-2</v>
      </c>
      <c r="F12" s="408">
        <f>E12*F10</f>
        <v>2.493522</v>
      </c>
      <c r="G12" s="411">
        <v>55.38</v>
      </c>
      <c r="H12" s="409">
        <f>F12*G12</f>
        <v>138.09124836000001</v>
      </c>
    </row>
    <row r="13" spans="1:8" ht="18" customHeight="1">
      <c r="A13" s="412"/>
      <c r="B13" s="412"/>
      <c r="C13" s="272" t="s">
        <v>59</v>
      </c>
      <c r="D13" s="413" t="s">
        <v>47</v>
      </c>
      <c r="E13" s="414">
        <v>1.3600000000000001E-3</v>
      </c>
      <c r="F13" s="415">
        <f>E13*F10</f>
        <v>0.16382560000000002</v>
      </c>
      <c r="G13" s="414">
        <v>3.2</v>
      </c>
      <c r="H13" s="409">
        <f>F13*G13</f>
        <v>0.52424192000000003</v>
      </c>
    </row>
    <row r="14" spans="1:8" ht="20.25" customHeight="1">
      <c r="A14" s="399">
        <v>2</v>
      </c>
      <c r="B14" s="1018" t="s">
        <v>602</v>
      </c>
      <c r="C14" s="401" t="s">
        <v>386</v>
      </c>
      <c r="D14" s="402" t="s">
        <v>53</v>
      </c>
      <c r="E14" s="402"/>
      <c r="F14" s="403">
        <f>mili!H9</f>
        <v>13</v>
      </c>
      <c r="G14" s="402"/>
      <c r="H14" s="403">
        <f>H15</f>
        <v>192.81600000000003</v>
      </c>
    </row>
    <row r="15" spans="1:8" ht="17.25" customHeight="1">
      <c r="A15" s="416"/>
      <c r="B15" s="1019"/>
      <c r="C15" s="272" t="s">
        <v>57</v>
      </c>
      <c r="D15" s="413" t="s">
        <v>58</v>
      </c>
      <c r="E15" s="413">
        <f>2.06*1.2</f>
        <v>2.472</v>
      </c>
      <c r="F15" s="417">
        <f>E15*F14</f>
        <v>32.136000000000003</v>
      </c>
      <c r="G15" s="413">
        <v>6</v>
      </c>
      <c r="H15" s="417">
        <f>G15*F15</f>
        <v>192.81600000000003</v>
      </c>
    </row>
    <row r="16" spans="1:8" ht="39.75" customHeight="1">
      <c r="A16" s="399">
        <v>3</v>
      </c>
      <c r="B16" s="997" t="s">
        <v>599</v>
      </c>
      <c r="C16" s="465" t="s">
        <v>664</v>
      </c>
      <c r="D16" s="466" t="s">
        <v>53</v>
      </c>
      <c r="E16" s="467"/>
      <c r="F16" s="403">
        <f>mili!H10</f>
        <v>3.5</v>
      </c>
      <c r="G16" s="402"/>
      <c r="H16" s="403">
        <f>H18+H17</f>
        <v>37.686390000000003</v>
      </c>
    </row>
    <row r="17" spans="1:8" ht="17.25" customHeight="1">
      <c r="A17" s="404"/>
      <c r="B17" s="998"/>
      <c r="C17" s="469" t="s">
        <v>600</v>
      </c>
      <c r="D17" s="470" t="s">
        <v>358</v>
      </c>
      <c r="E17" s="471">
        <v>0.193</v>
      </c>
      <c r="F17" s="409">
        <f>E17*F16</f>
        <v>0.67549999999999999</v>
      </c>
      <c r="G17" s="409">
        <v>55.38</v>
      </c>
      <c r="H17" s="409">
        <f>F17*G17</f>
        <v>37.409190000000002</v>
      </c>
    </row>
    <row r="18" spans="1:8" ht="17.25" customHeight="1">
      <c r="A18" s="412"/>
      <c r="B18" s="999"/>
      <c r="C18" s="473" t="s">
        <v>57</v>
      </c>
      <c r="D18" s="474" t="s">
        <v>46</v>
      </c>
      <c r="E18" s="475" t="s">
        <v>601</v>
      </c>
      <c r="F18" s="417">
        <f>E18*F16</f>
        <v>4.6199999999999998E-2</v>
      </c>
      <c r="G18" s="417">
        <v>6</v>
      </c>
      <c r="H18" s="409">
        <f>F18*G18</f>
        <v>0.2772</v>
      </c>
    </row>
    <row r="19" spans="1:8" ht="26.25" customHeight="1">
      <c r="A19" s="418">
        <v>4</v>
      </c>
      <c r="B19" s="419" t="s">
        <v>132</v>
      </c>
      <c r="C19" s="420" t="s">
        <v>397</v>
      </c>
      <c r="D19" s="421" t="s">
        <v>65</v>
      </c>
      <c r="E19" s="421" t="s">
        <v>604</v>
      </c>
      <c r="F19" s="422">
        <f>mili!H11</f>
        <v>219.136</v>
      </c>
      <c r="G19" s="110">
        <v>5.63</v>
      </c>
      <c r="H19" s="422">
        <f>G19*F19</f>
        <v>1233.73568</v>
      </c>
    </row>
    <row r="20" spans="1:8" ht="25.5" customHeight="1">
      <c r="A20" s="1030">
        <v>5</v>
      </c>
      <c r="B20" s="1027" t="s">
        <v>150</v>
      </c>
      <c r="C20" s="423" t="s">
        <v>164</v>
      </c>
      <c r="D20" s="17" t="s">
        <v>53</v>
      </c>
      <c r="E20" s="142"/>
      <c r="F20" s="143">
        <f>mili!H12</f>
        <v>9.0300000000000011</v>
      </c>
      <c r="G20" s="142"/>
      <c r="H20" s="143">
        <f>H21+H22+H23</f>
        <v>410.13808500000005</v>
      </c>
    </row>
    <row r="21" spans="1:8" ht="17.25" customHeight="1">
      <c r="A21" s="1031"/>
      <c r="B21" s="1028"/>
      <c r="C21" s="424" t="s">
        <v>3</v>
      </c>
      <c r="D21" s="23" t="s">
        <v>46</v>
      </c>
      <c r="E21" s="146">
        <v>2.12</v>
      </c>
      <c r="F21" s="147">
        <f>E21*F20</f>
        <v>19.143600000000003</v>
      </c>
      <c r="G21" s="146">
        <v>6</v>
      </c>
      <c r="H21" s="147">
        <f>F21*G21</f>
        <v>114.86160000000001</v>
      </c>
    </row>
    <row r="22" spans="1:8" ht="17.25" customHeight="1">
      <c r="A22" s="1031"/>
      <c r="B22" s="1028"/>
      <c r="C22" s="424" t="s">
        <v>148</v>
      </c>
      <c r="D22" s="146" t="s">
        <v>47</v>
      </c>
      <c r="E22" s="146">
        <v>0.10100000000000001</v>
      </c>
      <c r="F22" s="147">
        <f>E22*F20</f>
        <v>0.91203000000000012</v>
      </c>
      <c r="G22" s="147">
        <v>3.2</v>
      </c>
      <c r="H22" s="147">
        <f>F22*G22</f>
        <v>2.9184960000000006</v>
      </c>
    </row>
    <row r="23" spans="1:8" ht="17.25" customHeight="1">
      <c r="A23" s="1032"/>
      <c r="B23" s="1029"/>
      <c r="C23" s="437" t="s">
        <v>152</v>
      </c>
      <c r="D23" s="27" t="s">
        <v>53</v>
      </c>
      <c r="E23" s="150">
        <v>1.1000000000000001</v>
      </c>
      <c r="F23" s="150">
        <f>E23*F20</f>
        <v>9.9330000000000016</v>
      </c>
      <c r="G23" s="150">
        <f>კალკულაცია!J20</f>
        <v>29.433</v>
      </c>
      <c r="H23" s="150">
        <f>F23*G23</f>
        <v>292.35798900000003</v>
      </c>
    </row>
    <row r="24" spans="1:8" ht="33">
      <c r="A24" s="1038">
        <v>6</v>
      </c>
      <c r="B24" s="1041" t="s">
        <v>596</v>
      </c>
      <c r="C24" s="434" t="s">
        <v>593</v>
      </c>
      <c r="D24" s="537" t="s">
        <v>176</v>
      </c>
      <c r="E24" s="538"/>
      <c r="F24" s="481">
        <v>30</v>
      </c>
      <c r="G24" s="538"/>
      <c r="H24" s="481">
        <f>H25+H26+H27+H28</f>
        <v>4869.3779999999997</v>
      </c>
    </row>
    <row r="25" spans="1:8" ht="17.25" customHeight="1">
      <c r="A25" s="1039"/>
      <c r="B25" s="1042"/>
      <c r="C25" s="426" t="s">
        <v>57</v>
      </c>
      <c r="D25" s="33" t="s">
        <v>58</v>
      </c>
      <c r="E25" s="30">
        <v>0.97299999999999998</v>
      </c>
      <c r="F25" s="484">
        <f>E25*F24</f>
        <v>29.189999999999998</v>
      </c>
      <c r="G25" s="539">
        <v>6</v>
      </c>
      <c r="H25" s="484">
        <f>F25*G25</f>
        <v>175.14</v>
      </c>
    </row>
    <row r="26" spans="1:8" ht="17.25" customHeight="1">
      <c r="A26" s="1039"/>
      <c r="B26" s="1042"/>
      <c r="C26" s="426" t="s">
        <v>363</v>
      </c>
      <c r="D26" s="33" t="s">
        <v>47</v>
      </c>
      <c r="E26" s="30">
        <v>0.48299999999999998</v>
      </c>
      <c r="F26" s="484">
        <f>E26*F24</f>
        <v>14.49</v>
      </c>
      <c r="G26" s="30">
        <v>3.2</v>
      </c>
      <c r="H26" s="484">
        <f>F26*G26</f>
        <v>46.368000000000002</v>
      </c>
    </row>
    <row r="27" spans="1:8" ht="17.25" customHeight="1">
      <c r="A27" s="1039"/>
      <c r="B27" s="1042"/>
      <c r="C27" s="426" t="s">
        <v>453</v>
      </c>
      <c r="D27" s="540" t="s">
        <v>176</v>
      </c>
      <c r="E27" s="541">
        <v>0.995</v>
      </c>
      <c r="F27" s="484">
        <f>E27*F24</f>
        <v>29.85</v>
      </c>
      <c r="G27" s="85">
        <v>155</v>
      </c>
      <c r="H27" s="484">
        <f>F27*G27</f>
        <v>4626.75</v>
      </c>
    </row>
    <row r="28" spans="1:8" ht="17.25" customHeight="1">
      <c r="A28" s="1040"/>
      <c r="B28" s="1043"/>
      <c r="C28" s="697" t="s">
        <v>59</v>
      </c>
      <c r="D28" s="34" t="s">
        <v>47</v>
      </c>
      <c r="E28" s="488">
        <v>0.22</v>
      </c>
      <c r="F28" s="487">
        <f>E28*F24</f>
        <v>6.6</v>
      </c>
      <c r="G28" s="488">
        <v>3.2</v>
      </c>
      <c r="H28" s="487">
        <f>G28*F28</f>
        <v>21.12</v>
      </c>
    </row>
    <row r="29" spans="1:8" s="32" customFormat="1" ht="33.75" customHeight="1">
      <c r="A29" s="1038">
        <v>7</v>
      </c>
      <c r="B29" s="1041" t="s">
        <v>503</v>
      </c>
      <c r="C29" s="434" t="s">
        <v>494</v>
      </c>
      <c r="D29" s="537" t="s">
        <v>176</v>
      </c>
      <c r="E29" s="538"/>
      <c r="F29" s="481">
        <f>mili!H13</f>
        <v>43</v>
      </c>
      <c r="G29" s="538"/>
      <c r="H29" s="481">
        <f>H30+H31+H32+H33</f>
        <v>24709.760800000004</v>
      </c>
    </row>
    <row r="30" spans="1:8" s="32" customFormat="1" ht="16.5" customHeight="1">
      <c r="A30" s="1039"/>
      <c r="B30" s="1042"/>
      <c r="C30" s="483" t="s">
        <v>57</v>
      </c>
      <c r="D30" s="33" t="s">
        <v>58</v>
      </c>
      <c r="E30" s="30">
        <v>2.38</v>
      </c>
      <c r="F30" s="484">
        <f>E30*F29</f>
        <v>102.33999999999999</v>
      </c>
      <c r="G30" s="539">
        <v>6</v>
      </c>
      <c r="H30" s="484">
        <f>F30*G30</f>
        <v>614.04</v>
      </c>
    </row>
    <row r="31" spans="1:8" s="32" customFormat="1" ht="16.5" customHeight="1">
      <c r="A31" s="1039"/>
      <c r="B31" s="1042"/>
      <c r="C31" s="483" t="s">
        <v>363</v>
      </c>
      <c r="D31" s="33" t="s">
        <v>47</v>
      </c>
      <c r="E31" s="30">
        <v>1.83</v>
      </c>
      <c r="F31" s="484">
        <f>E31*F29</f>
        <v>78.69</v>
      </c>
      <c r="G31" s="30">
        <v>3.2</v>
      </c>
      <c r="H31" s="484">
        <f>F31*G31</f>
        <v>251.80799999999999</v>
      </c>
    </row>
    <row r="32" spans="1:8" s="32" customFormat="1" ht="16.5" customHeight="1">
      <c r="A32" s="1039"/>
      <c r="B32" s="1042"/>
      <c r="C32" s="483" t="s">
        <v>453</v>
      </c>
      <c r="D32" s="540" t="s">
        <v>176</v>
      </c>
      <c r="E32" s="541">
        <v>1.0029999999999999</v>
      </c>
      <c r="F32" s="484">
        <f>E32*F29</f>
        <v>43.128999999999998</v>
      </c>
      <c r="G32" s="85">
        <f>650/1.18</f>
        <v>550.84745762711873</v>
      </c>
      <c r="H32" s="484">
        <f>F32*G32</f>
        <v>23757.500000000004</v>
      </c>
    </row>
    <row r="33" spans="1:8" s="32" customFormat="1" ht="16.5" customHeight="1">
      <c r="A33" s="1040"/>
      <c r="B33" s="1043"/>
      <c r="C33" s="486" t="s">
        <v>59</v>
      </c>
      <c r="D33" s="34" t="s">
        <v>47</v>
      </c>
      <c r="E33" s="488">
        <v>0.628</v>
      </c>
      <c r="F33" s="487">
        <f>E33*F29</f>
        <v>27.004000000000001</v>
      </c>
      <c r="G33" s="488">
        <v>3.2</v>
      </c>
      <c r="H33" s="487">
        <f>G33*F33</f>
        <v>86.412800000000004</v>
      </c>
    </row>
    <row r="34" spans="1:8" ht="25.5" customHeight="1">
      <c r="A34" s="1023">
        <v>8</v>
      </c>
      <c r="B34" s="1025" t="s">
        <v>263</v>
      </c>
      <c r="C34" s="572" t="s">
        <v>498</v>
      </c>
      <c r="D34" s="96" t="s">
        <v>461</v>
      </c>
      <c r="E34" s="347"/>
      <c r="F34" s="573">
        <f>mili!H16/100</f>
        <v>0.11599999999999999</v>
      </c>
      <c r="G34" s="336"/>
      <c r="H34" s="143">
        <f>H35+H36+H37+H38+H41+H44+H39+H40+H42+H43</f>
        <v>3144.2885771600004</v>
      </c>
    </row>
    <row r="35" spans="1:8" ht="16.5" customHeight="1">
      <c r="A35" s="1024"/>
      <c r="B35" s="1026"/>
      <c r="C35" s="574" t="s">
        <v>3</v>
      </c>
      <c r="D35" s="575" t="s">
        <v>46</v>
      </c>
      <c r="E35" s="260">
        <v>660</v>
      </c>
      <c r="F35" s="147">
        <f>E35*F34</f>
        <v>76.559999999999988</v>
      </c>
      <c r="G35" s="333">
        <v>6</v>
      </c>
      <c r="H35" s="147">
        <f t="shared" ref="H35:H44" si="0">F35*G35</f>
        <v>459.3599999999999</v>
      </c>
    </row>
    <row r="36" spans="1:8" ht="16.5" customHeight="1">
      <c r="A36" s="1024"/>
      <c r="B36" s="1026"/>
      <c r="C36" s="266" t="s">
        <v>495</v>
      </c>
      <c r="D36" s="575" t="s">
        <v>496</v>
      </c>
      <c r="E36" s="260">
        <v>9.6</v>
      </c>
      <c r="F36" s="147">
        <f>E36*F34</f>
        <v>1.1135999999999999</v>
      </c>
      <c r="G36" s="333">
        <v>14.21</v>
      </c>
      <c r="H36" s="147">
        <f t="shared" si="0"/>
        <v>15.824256</v>
      </c>
    </row>
    <row r="37" spans="1:8" ht="16.5" customHeight="1">
      <c r="A37" s="1024"/>
      <c r="B37" s="1026"/>
      <c r="C37" s="574" t="s">
        <v>148</v>
      </c>
      <c r="D37" s="576" t="s">
        <v>47</v>
      </c>
      <c r="E37" s="260">
        <v>39.9</v>
      </c>
      <c r="F37" s="147">
        <f>E37*F34</f>
        <v>4.6283999999999992</v>
      </c>
      <c r="G37" s="333">
        <v>3.2</v>
      </c>
      <c r="H37" s="147">
        <f t="shared" si="0"/>
        <v>14.810879999999997</v>
      </c>
    </row>
    <row r="38" spans="1:8" ht="16.5" customHeight="1">
      <c r="A38" s="1024"/>
      <c r="B38" s="1026"/>
      <c r="C38" s="312" t="s">
        <v>497</v>
      </c>
      <c r="D38" s="146" t="s">
        <v>462</v>
      </c>
      <c r="E38" s="260">
        <v>101.5</v>
      </c>
      <c r="F38" s="147">
        <f>E38*F34</f>
        <v>11.773999999999999</v>
      </c>
      <c r="G38" s="333">
        <f>კალკულაცია!J17</f>
        <v>134.45599999999999</v>
      </c>
      <c r="H38" s="147">
        <f t="shared" si="0"/>
        <v>1583.0849439999997</v>
      </c>
    </row>
    <row r="39" spans="1:8" ht="16.5" customHeight="1">
      <c r="A39" s="1024"/>
      <c r="B39" s="1026"/>
      <c r="C39" s="266" t="s">
        <v>270</v>
      </c>
      <c r="D39" s="146" t="s">
        <v>462</v>
      </c>
      <c r="E39" s="260">
        <v>0.47</v>
      </c>
      <c r="F39" s="147">
        <f>E39*F34</f>
        <v>5.4519999999999992E-2</v>
      </c>
      <c r="G39" s="333">
        <v>80</v>
      </c>
      <c r="H39" s="147">
        <f>F39*G39</f>
        <v>4.3615999999999993</v>
      </c>
    </row>
    <row r="40" spans="1:8" ht="16.5" customHeight="1">
      <c r="A40" s="1024"/>
      <c r="B40" s="1026"/>
      <c r="C40" s="266" t="s">
        <v>608</v>
      </c>
      <c r="D40" s="146" t="s">
        <v>607</v>
      </c>
      <c r="E40" s="260">
        <v>39</v>
      </c>
      <c r="F40" s="147">
        <f>E40*F34</f>
        <v>4.524</v>
      </c>
      <c r="G40" s="333">
        <v>15</v>
      </c>
      <c r="H40" s="147">
        <f>F40*G40</f>
        <v>67.86</v>
      </c>
    </row>
    <row r="41" spans="1:8" ht="16.5" customHeight="1">
      <c r="A41" s="1024"/>
      <c r="B41" s="1026"/>
      <c r="C41" s="266" t="s">
        <v>151</v>
      </c>
      <c r="D41" s="146" t="s">
        <v>462</v>
      </c>
      <c r="E41" s="260">
        <f>4.68+7.4+0.53</f>
        <v>12.61</v>
      </c>
      <c r="F41" s="147">
        <f>E41*F34</f>
        <v>1.4627599999999998</v>
      </c>
      <c r="G41" s="333">
        <f>კალკულაცია!J15</f>
        <v>419.94099999999997</v>
      </c>
      <c r="H41" s="147">
        <f t="shared" si="0"/>
        <v>614.27289715999984</v>
      </c>
    </row>
    <row r="42" spans="1:8" ht="16.5" customHeight="1">
      <c r="A42" s="1024"/>
      <c r="B42" s="1026"/>
      <c r="C42" s="266" t="s">
        <v>155</v>
      </c>
      <c r="D42" s="146" t="s">
        <v>49</v>
      </c>
      <c r="E42" s="260">
        <v>193</v>
      </c>
      <c r="F42" s="147">
        <f>E42*F34</f>
        <v>22.387999999999998</v>
      </c>
      <c r="G42" s="333">
        <v>4.5</v>
      </c>
      <c r="H42" s="147">
        <f t="shared" si="0"/>
        <v>100.746</v>
      </c>
    </row>
    <row r="43" spans="1:8" ht="16.5" customHeight="1">
      <c r="A43" s="1024"/>
      <c r="B43" s="1026"/>
      <c r="C43" s="266" t="s">
        <v>609</v>
      </c>
      <c r="D43" s="146" t="s">
        <v>49</v>
      </c>
      <c r="E43" s="260">
        <v>1160</v>
      </c>
      <c r="F43" s="147">
        <f>E43*F34</f>
        <v>134.56</v>
      </c>
      <c r="G43" s="333">
        <v>1.68</v>
      </c>
      <c r="H43" s="147">
        <f t="shared" si="0"/>
        <v>226.0608</v>
      </c>
    </row>
    <row r="44" spans="1:8" ht="16.5" customHeight="1">
      <c r="A44" s="1024"/>
      <c r="B44" s="1026"/>
      <c r="C44" s="266" t="s">
        <v>48</v>
      </c>
      <c r="D44" s="576" t="s">
        <v>47</v>
      </c>
      <c r="E44" s="260">
        <v>156</v>
      </c>
      <c r="F44" s="147">
        <f>E44*F34</f>
        <v>18.096</v>
      </c>
      <c r="G44" s="333">
        <v>3.2</v>
      </c>
      <c r="H44" s="147">
        <f t="shared" si="0"/>
        <v>57.907200000000003</v>
      </c>
    </row>
    <row r="45" spans="1:8" ht="24" customHeight="1">
      <c r="A45" s="335">
        <v>9</v>
      </c>
      <c r="B45" s="663" t="s">
        <v>261</v>
      </c>
      <c r="C45" s="702" t="s">
        <v>499</v>
      </c>
      <c r="D45" s="578" t="s">
        <v>610</v>
      </c>
      <c r="E45" s="347"/>
      <c r="F45" s="698">
        <f>mili!H17/1000/100</f>
        <v>8.2399999999999991E-3</v>
      </c>
      <c r="G45" s="336"/>
      <c r="H45" s="143">
        <f>H46+H49+H47+H48+H50</f>
        <v>1420.8935696000001</v>
      </c>
    </row>
    <row r="46" spans="1:8" ht="16.5" customHeight="1">
      <c r="A46" s="337"/>
      <c r="B46" s="664"/>
      <c r="C46" s="701" t="s">
        <v>3</v>
      </c>
      <c r="D46" s="575" t="s">
        <v>46</v>
      </c>
      <c r="E46" s="260">
        <v>2760</v>
      </c>
      <c r="F46" s="147">
        <f>E46*F45</f>
        <v>22.742399999999996</v>
      </c>
      <c r="G46" s="333">
        <v>6</v>
      </c>
      <c r="H46" s="147">
        <f>F46*G46</f>
        <v>136.45439999999996</v>
      </c>
    </row>
    <row r="47" spans="1:8" ht="16.5" customHeight="1">
      <c r="A47" s="337"/>
      <c r="B47" s="664"/>
      <c r="C47" s="332" t="s">
        <v>495</v>
      </c>
      <c r="D47" s="575" t="s">
        <v>496</v>
      </c>
      <c r="E47" s="260">
        <v>474</v>
      </c>
      <c r="F47" s="147">
        <f>E47*F45</f>
        <v>3.9057599999999995</v>
      </c>
      <c r="G47" s="333">
        <f>G36</f>
        <v>14.21</v>
      </c>
      <c r="H47" s="147">
        <f>F47*G47</f>
        <v>55.500849599999995</v>
      </c>
    </row>
    <row r="48" spans="1:8" ht="16.5" customHeight="1">
      <c r="A48" s="337"/>
      <c r="B48" s="664"/>
      <c r="C48" s="701" t="s">
        <v>148</v>
      </c>
      <c r="D48" s="576" t="s">
        <v>47</v>
      </c>
      <c r="E48" s="260">
        <v>680</v>
      </c>
      <c r="F48" s="147">
        <f>E48*F45</f>
        <v>5.6031999999999993</v>
      </c>
      <c r="G48" s="333">
        <v>3.2</v>
      </c>
      <c r="H48" s="147">
        <f>F48*G48</f>
        <v>17.930239999999998</v>
      </c>
    </row>
    <row r="49" spans="1:8" ht="16.5" customHeight="1">
      <c r="A49" s="337"/>
      <c r="B49" s="664"/>
      <c r="C49" s="332" t="s">
        <v>273</v>
      </c>
      <c r="D49" s="575" t="s">
        <v>54</v>
      </c>
      <c r="E49" s="260">
        <v>100</v>
      </c>
      <c r="F49" s="704">
        <f>E49*F45</f>
        <v>0.82399999999999995</v>
      </c>
      <c r="G49" s="333">
        <f>კალკულაცია!J22</f>
        <v>1430.63</v>
      </c>
      <c r="H49" s="147">
        <f>F49*G49</f>
        <v>1178.8391200000001</v>
      </c>
    </row>
    <row r="50" spans="1:8" ht="16.5" customHeight="1">
      <c r="A50" s="339"/>
      <c r="B50" s="665"/>
      <c r="C50" s="267" t="s">
        <v>48</v>
      </c>
      <c r="D50" s="648" t="s">
        <v>47</v>
      </c>
      <c r="E50" s="262">
        <v>1220</v>
      </c>
      <c r="F50" s="705">
        <f>E50*F45</f>
        <v>10.0528</v>
      </c>
      <c r="G50" s="340">
        <v>3.2</v>
      </c>
      <c r="H50" s="150">
        <f>F50*G50</f>
        <v>32.168959999999998</v>
      </c>
    </row>
    <row r="51" spans="1:8" ht="21.75" customHeight="1">
      <c r="A51" s="1024">
        <v>10</v>
      </c>
      <c r="B51" s="1025" t="s">
        <v>263</v>
      </c>
      <c r="C51" s="699" t="s">
        <v>500</v>
      </c>
      <c r="D51" s="102" t="s">
        <v>461</v>
      </c>
      <c r="E51" s="260"/>
      <c r="F51" s="700">
        <f>mili!H19/100</f>
        <v>0.1023</v>
      </c>
      <c r="G51" s="333"/>
      <c r="H51" s="147">
        <f>H52+H53+H54+H55+H59+H60+H61+H56+H57+H58</f>
        <v>2772.9372538229995</v>
      </c>
    </row>
    <row r="52" spans="1:8" ht="16.5" customHeight="1">
      <c r="A52" s="1024"/>
      <c r="B52" s="1026"/>
      <c r="C52" s="574" t="s">
        <v>3</v>
      </c>
      <c r="D52" s="575" t="s">
        <v>46</v>
      </c>
      <c r="E52" s="260">
        <v>660</v>
      </c>
      <c r="F52" s="147">
        <f>E52*F51</f>
        <v>67.518000000000001</v>
      </c>
      <c r="G52" s="333">
        <v>6</v>
      </c>
      <c r="H52" s="147">
        <f t="shared" ref="H52:H61" si="1">F52*G52</f>
        <v>405.108</v>
      </c>
    </row>
    <row r="53" spans="1:8" ht="16.5" customHeight="1">
      <c r="A53" s="1024"/>
      <c r="B53" s="1026"/>
      <c r="C53" s="266" t="s">
        <v>495</v>
      </c>
      <c r="D53" s="575" t="s">
        <v>496</v>
      </c>
      <c r="E53" s="260">
        <v>9.6</v>
      </c>
      <c r="F53" s="147">
        <f>E53*F51</f>
        <v>0.98207999999999995</v>
      </c>
      <c r="G53" s="333">
        <v>14.21</v>
      </c>
      <c r="H53" s="147">
        <f t="shared" si="1"/>
        <v>13.955356800000001</v>
      </c>
    </row>
    <row r="54" spans="1:8" ht="16.5" customHeight="1">
      <c r="A54" s="1024"/>
      <c r="B54" s="1026"/>
      <c r="C54" s="574" t="s">
        <v>148</v>
      </c>
      <c r="D54" s="576" t="s">
        <v>47</v>
      </c>
      <c r="E54" s="260">
        <v>39.9</v>
      </c>
      <c r="F54" s="147">
        <f>E54*F51</f>
        <v>4.0817699999999997</v>
      </c>
      <c r="G54" s="333">
        <v>3.2</v>
      </c>
      <c r="H54" s="147">
        <f t="shared" si="1"/>
        <v>13.061664</v>
      </c>
    </row>
    <row r="55" spans="1:8" ht="16.5" customHeight="1">
      <c r="A55" s="1024"/>
      <c r="B55" s="1026"/>
      <c r="C55" s="312" t="s">
        <v>497</v>
      </c>
      <c r="D55" s="146" t="s">
        <v>462</v>
      </c>
      <c r="E55" s="260">
        <v>101.5</v>
      </c>
      <c r="F55" s="147">
        <f>E55*F51</f>
        <v>10.38345</v>
      </c>
      <c r="G55" s="333">
        <f>G38</f>
        <v>134.45599999999999</v>
      </c>
      <c r="H55" s="147">
        <f t="shared" si="1"/>
        <v>1396.1171531999998</v>
      </c>
    </row>
    <row r="56" spans="1:8" ht="16.5" customHeight="1">
      <c r="A56" s="1024"/>
      <c r="B56" s="1026"/>
      <c r="C56" s="266" t="s">
        <v>270</v>
      </c>
      <c r="D56" s="146" t="s">
        <v>462</v>
      </c>
      <c r="E56" s="260">
        <v>0.47</v>
      </c>
      <c r="F56" s="147">
        <f>E56*F51</f>
        <v>4.8080999999999999E-2</v>
      </c>
      <c r="G56" s="333">
        <v>80</v>
      </c>
      <c r="H56" s="147">
        <f t="shared" si="1"/>
        <v>3.8464799999999997</v>
      </c>
    </row>
    <row r="57" spans="1:8" ht="16.5" customHeight="1">
      <c r="A57" s="1024"/>
      <c r="B57" s="1026"/>
      <c r="C57" s="266" t="s">
        <v>608</v>
      </c>
      <c r="D57" s="146" t="s">
        <v>607</v>
      </c>
      <c r="E57" s="260">
        <v>39</v>
      </c>
      <c r="F57" s="147">
        <f>E57*F51</f>
        <v>3.9897</v>
      </c>
      <c r="G57" s="333">
        <v>15</v>
      </c>
      <c r="H57" s="147">
        <f t="shared" si="1"/>
        <v>59.845500000000001</v>
      </c>
    </row>
    <row r="58" spans="1:8" ht="16.5" customHeight="1">
      <c r="A58" s="1024"/>
      <c r="B58" s="1026"/>
      <c r="C58" s="266" t="s">
        <v>151</v>
      </c>
      <c r="D58" s="146" t="s">
        <v>462</v>
      </c>
      <c r="E58" s="260">
        <f>4.68+7.4+0.53</f>
        <v>12.61</v>
      </c>
      <c r="F58" s="147">
        <f>E58*F51</f>
        <v>1.290003</v>
      </c>
      <c r="G58" s="333">
        <f>G41</f>
        <v>419.94099999999997</v>
      </c>
      <c r="H58" s="147">
        <f t="shared" si="1"/>
        <v>541.72514982299992</v>
      </c>
    </row>
    <row r="59" spans="1:8" ht="16.5" customHeight="1">
      <c r="A59" s="1024"/>
      <c r="B59" s="1026"/>
      <c r="C59" s="266" t="s">
        <v>155</v>
      </c>
      <c r="D59" s="146" t="s">
        <v>49</v>
      </c>
      <c r="E59" s="260">
        <v>193</v>
      </c>
      <c r="F59" s="147">
        <f>E59*F51</f>
        <v>19.7439</v>
      </c>
      <c r="G59" s="333">
        <v>4.5</v>
      </c>
      <c r="H59" s="147">
        <f t="shared" si="1"/>
        <v>88.847549999999998</v>
      </c>
    </row>
    <row r="60" spans="1:8" ht="16.5" customHeight="1">
      <c r="A60" s="1024"/>
      <c r="B60" s="1026"/>
      <c r="C60" s="266" t="s">
        <v>609</v>
      </c>
      <c r="D60" s="146" t="s">
        <v>49</v>
      </c>
      <c r="E60" s="260">
        <v>1160</v>
      </c>
      <c r="F60" s="147">
        <f>E60*F51</f>
        <v>118.66800000000001</v>
      </c>
      <c r="G60" s="333">
        <v>1.68</v>
      </c>
      <c r="H60" s="147">
        <f t="shared" si="1"/>
        <v>199.36224000000001</v>
      </c>
    </row>
    <row r="61" spans="1:8" ht="16.5" customHeight="1">
      <c r="A61" s="1044"/>
      <c r="B61" s="1045"/>
      <c r="C61" s="267" t="s">
        <v>48</v>
      </c>
      <c r="D61" s="648" t="s">
        <v>47</v>
      </c>
      <c r="E61" s="262">
        <v>156</v>
      </c>
      <c r="F61" s="150">
        <f>E61*F51</f>
        <v>15.9588</v>
      </c>
      <c r="G61" s="340">
        <v>3.2</v>
      </c>
      <c r="H61" s="150">
        <f t="shared" si="1"/>
        <v>51.068160000000006</v>
      </c>
    </row>
    <row r="62" spans="1:8" ht="22.5" customHeight="1">
      <c r="A62" s="335">
        <v>11</v>
      </c>
      <c r="B62" s="663" t="s">
        <v>261</v>
      </c>
      <c r="C62" s="577" t="s">
        <v>501</v>
      </c>
      <c r="D62" s="578" t="s">
        <v>610</v>
      </c>
      <c r="E62" s="142"/>
      <c r="F62" s="698">
        <f>mili!H20/1000/100</f>
        <v>4.7791999999999999E-3</v>
      </c>
      <c r="G62" s="143"/>
      <c r="H62" s="143">
        <f>H63+H66+H64+H65+H67</f>
        <v>824.11827036800014</v>
      </c>
    </row>
    <row r="63" spans="1:8" ht="22.5" customHeight="1">
      <c r="A63" s="337"/>
      <c r="B63" s="664"/>
      <c r="C63" s="701" t="s">
        <v>3</v>
      </c>
      <c r="D63" s="575" t="s">
        <v>46</v>
      </c>
      <c r="E63" s="260">
        <v>2760</v>
      </c>
      <c r="F63" s="147">
        <f>E63*F62</f>
        <v>13.190592000000001</v>
      </c>
      <c r="G63" s="333">
        <v>6</v>
      </c>
      <c r="H63" s="147">
        <f>F63*G63</f>
        <v>79.143552</v>
      </c>
    </row>
    <row r="64" spans="1:8" ht="22.5" customHeight="1">
      <c r="A64" s="337"/>
      <c r="B64" s="664"/>
      <c r="C64" s="332" t="s">
        <v>495</v>
      </c>
      <c r="D64" s="575" t="s">
        <v>496</v>
      </c>
      <c r="E64" s="260">
        <v>474</v>
      </c>
      <c r="F64" s="147">
        <f>E64*F62</f>
        <v>2.2653408000000002</v>
      </c>
      <c r="G64" s="333">
        <f>G53</f>
        <v>14.21</v>
      </c>
      <c r="H64" s="147">
        <f>F64*G64</f>
        <v>32.190492768000006</v>
      </c>
    </row>
    <row r="65" spans="1:8" ht="22.5" customHeight="1">
      <c r="A65" s="337"/>
      <c r="B65" s="664"/>
      <c r="C65" s="701" t="s">
        <v>148</v>
      </c>
      <c r="D65" s="576" t="s">
        <v>47</v>
      </c>
      <c r="E65" s="260">
        <v>680</v>
      </c>
      <c r="F65" s="147">
        <f>E65*F62</f>
        <v>3.2498559999999999</v>
      </c>
      <c r="G65" s="333">
        <v>3.2</v>
      </c>
      <c r="H65" s="147">
        <f>F65*G65</f>
        <v>10.3995392</v>
      </c>
    </row>
    <row r="66" spans="1:8" ht="18.75" customHeight="1">
      <c r="A66" s="337"/>
      <c r="B66" s="664"/>
      <c r="C66" s="332" t="s">
        <v>273</v>
      </c>
      <c r="D66" s="575" t="s">
        <v>54</v>
      </c>
      <c r="E66" s="260">
        <v>100</v>
      </c>
      <c r="F66" s="704">
        <f>E66*F62</f>
        <v>0.47792000000000001</v>
      </c>
      <c r="G66" s="333">
        <f>G49</f>
        <v>1430.63</v>
      </c>
      <c r="H66" s="147">
        <f>F66*G66</f>
        <v>683.7266896000001</v>
      </c>
    </row>
    <row r="67" spans="1:8" s="32" customFormat="1" ht="20.25" customHeight="1">
      <c r="A67" s="339"/>
      <c r="B67" s="665"/>
      <c r="C67" s="267" t="s">
        <v>48</v>
      </c>
      <c r="D67" s="648" t="s">
        <v>47</v>
      </c>
      <c r="E67" s="262">
        <v>1220</v>
      </c>
      <c r="F67" s="705">
        <f>E67*F62</f>
        <v>5.8306240000000003</v>
      </c>
      <c r="G67" s="340">
        <v>3.2</v>
      </c>
      <c r="H67" s="150">
        <f>F67*G67</f>
        <v>18.657996800000003</v>
      </c>
    </row>
    <row r="68" spans="1:8" s="32" customFormat="1" ht="22.5" customHeight="1">
      <c r="A68" s="140">
        <v>12</v>
      </c>
      <c r="B68" s="155" t="s">
        <v>156</v>
      </c>
      <c r="C68" s="438" t="s">
        <v>454</v>
      </c>
      <c r="D68" s="17" t="s">
        <v>235</v>
      </c>
      <c r="E68" s="151"/>
      <c r="F68" s="157">
        <f>mili!H14</f>
        <v>135.01999999999998</v>
      </c>
      <c r="G68" s="157"/>
      <c r="H68" s="143">
        <f>H69+H70+H71+H72</f>
        <v>1193.6281075999998</v>
      </c>
    </row>
    <row r="69" spans="1:8" s="32" customFormat="1" ht="20.25" customHeight="1">
      <c r="A69" s="144"/>
      <c r="B69" s="158"/>
      <c r="C69" s="424" t="s">
        <v>3</v>
      </c>
      <c r="D69" s="23" t="s">
        <v>46</v>
      </c>
      <c r="E69" s="159">
        <v>0.56399999999999995</v>
      </c>
      <c r="F69" s="152">
        <f>E69*F68</f>
        <v>76.151279999999986</v>
      </c>
      <c r="G69" s="152">
        <v>6</v>
      </c>
      <c r="H69" s="147">
        <f>F69*G69</f>
        <v>456.90767999999991</v>
      </c>
    </row>
    <row r="70" spans="1:8" s="32" customFormat="1" ht="20.25" customHeight="1">
      <c r="A70" s="144"/>
      <c r="B70" s="158"/>
      <c r="C70" s="424" t="s">
        <v>148</v>
      </c>
      <c r="D70" s="146" t="s">
        <v>47</v>
      </c>
      <c r="E70" s="159">
        <v>4.0899999999999999E-2</v>
      </c>
      <c r="F70" s="152">
        <f>E70*F68</f>
        <v>5.5223179999999994</v>
      </c>
      <c r="G70" s="152">
        <v>3.2</v>
      </c>
      <c r="H70" s="147">
        <f>F70*G70</f>
        <v>17.671417599999998</v>
      </c>
    </row>
    <row r="71" spans="1:8" s="32" customFormat="1" ht="20.25" customHeight="1">
      <c r="A71" s="144"/>
      <c r="B71" s="158"/>
      <c r="C71" s="429" t="s">
        <v>157</v>
      </c>
      <c r="D71" s="159" t="s">
        <v>54</v>
      </c>
      <c r="E71" s="159">
        <f>0.0045</f>
        <v>4.4999999999999997E-3</v>
      </c>
      <c r="F71" s="152">
        <f>E71*F68</f>
        <v>0.60758999999999985</v>
      </c>
      <c r="G71" s="152">
        <v>995</v>
      </c>
      <c r="H71" s="147">
        <f>F71*G71</f>
        <v>604.55204999999989</v>
      </c>
    </row>
    <row r="72" spans="1:8" s="32" customFormat="1" ht="20.25" customHeight="1">
      <c r="A72" s="148"/>
      <c r="B72" s="161"/>
      <c r="C72" s="153" t="s">
        <v>48</v>
      </c>
      <c r="D72" s="149" t="s">
        <v>47</v>
      </c>
      <c r="E72" s="162">
        <v>0.26500000000000001</v>
      </c>
      <c r="F72" s="154">
        <f>E72*F68</f>
        <v>35.780299999999997</v>
      </c>
      <c r="G72" s="154">
        <v>3.2</v>
      </c>
      <c r="H72" s="150">
        <f>F72*G72</f>
        <v>114.49696</v>
      </c>
    </row>
    <row r="73" spans="1:8" s="32" customFormat="1" ht="29.25" customHeight="1">
      <c r="A73" s="399">
        <v>13</v>
      </c>
      <c r="B73" s="400" t="s">
        <v>268</v>
      </c>
      <c r="C73" s="401" t="s">
        <v>269</v>
      </c>
      <c r="D73" s="402" t="s">
        <v>53</v>
      </c>
      <c r="E73" s="402"/>
      <c r="F73" s="403">
        <f>mili!H21</f>
        <v>39</v>
      </c>
      <c r="G73" s="402"/>
      <c r="H73" s="403">
        <f>H76+H74+H75</f>
        <v>1827.8176799999999</v>
      </c>
    </row>
    <row r="74" spans="1:8" s="32" customFormat="1" ht="20.25" customHeight="1">
      <c r="A74" s="404"/>
      <c r="B74" s="405"/>
      <c r="C74" s="270" t="s">
        <v>57</v>
      </c>
      <c r="D74" s="406" t="s">
        <v>58</v>
      </c>
      <c r="E74" s="406">
        <v>2.78</v>
      </c>
      <c r="F74" s="409">
        <f>E74*F73</f>
        <v>108.41999999999999</v>
      </c>
      <c r="G74" s="406">
        <v>6</v>
      </c>
      <c r="H74" s="409">
        <f>F74*G74</f>
        <v>650.52</v>
      </c>
    </row>
    <row r="75" spans="1:8" s="32" customFormat="1" ht="20.25" customHeight="1">
      <c r="A75" s="404"/>
      <c r="B75" s="410"/>
      <c r="C75" s="270" t="s">
        <v>280</v>
      </c>
      <c r="D75" s="432" t="s">
        <v>47</v>
      </c>
      <c r="E75" s="406">
        <v>2.5999999999999999E-3</v>
      </c>
      <c r="F75" s="409">
        <f>E75*F73</f>
        <v>0.10139999999999999</v>
      </c>
      <c r="G75" s="406">
        <v>3.2</v>
      </c>
      <c r="H75" s="409">
        <f>F75*G75</f>
        <v>0.32447999999999999</v>
      </c>
    </row>
    <row r="76" spans="1:8" s="32" customFormat="1" ht="20.25" customHeight="1">
      <c r="A76" s="412"/>
      <c r="B76" s="412"/>
      <c r="C76" s="433" t="s">
        <v>234</v>
      </c>
      <c r="D76" s="294" t="s">
        <v>53</v>
      </c>
      <c r="E76" s="413">
        <v>1.01</v>
      </c>
      <c r="F76" s="417">
        <f>E76*F73</f>
        <v>39.39</v>
      </c>
      <c r="G76" s="417">
        <f>კალკულაცია!J21</f>
        <v>29.88</v>
      </c>
      <c r="H76" s="417">
        <f>F76*G76</f>
        <v>1176.9731999999999</v>
      </c>
    </row>
    <row r="77" spans="1:8" ht="37.5" customHeight="1">
      <c r="A77" s="989">
        <v>14</v>
      </c>
      <c r="B77" s="1053" t="s">
        <v>158</v>
      </c>
      <c r="C77" s="434" t="s">
        <v>376</v>
      </c>
      <c r="D77" s="285" t="s">
        <v>53</v>
      </c>
      <c r="E77" s="18"/>
      <c r="F77" s="22">
        <f>mili!H22</f>
        <v>56.599999999999994</v>
      </c>
      <c r="G77" s="18"/>
      <c r="H77" s="19">
        <f>H78+H79+H80</f>
        <v>2074.0102139999999</v>
      </c>
    </row>
    <row r="78" spans="1:8" ht="20.25" customHeight="1">
      <c r="A78" s="990"/>
      <c r="B78" s="1054"/>
      <c r="C78" s="493" t="s">
        <v>3</v>
      </c>
      <c r="D78" s="196" t="s">
        <v>46</v>
      </c>
      <c r="E78" s="197">
        <v>1.6500000000000001E-2</v>
      </c>
      <c r="F78" s="198">
        <f>E78*F77</f>
        <v>0.93389999999999995</v>
      </c>
      <c r="G78" s="199">
        <v>6</v>
      </c>
      <c r="H78" s="200">
        <f>F78*G78</f>
        <v>5.6033999999999997</v>
      </c>
    </row>
    <row r="79" spans="1:8" ht="20.25" customHeight="1">
      <c r="A79" s="990"/>
      <c r="B79" s="1054"/>
      <c r="C79" s="494" t="s">
        <v>172</v>
      </c>
      <c r="D79" s="196" t="s">
        <v>154</v>
      </c>
      <c r="E79" s="197">
        <v>3.6999999999999998E-2</v>
      </c>
      <c r="F79" s="198">
        <f>E79*F77</f>
        <v>2.0941999999999998</v>
      </c>
      <c r="G79" s="268">
        <v>17.190000000000001</v>
      </c>
      <c r="H79" s="200">
        <f>F79*G79</f>
        <v>35.999298000000003</v>
      </c>
    </row>
    <row r="80" spans="1:8" ht="20.25" customHeight="1">
      <c r="A80" s="991"/>
      <c r="B80" s="1055"/>
      <c r="C80" s="202" t="s">
        <v>368</v>
      </c>
      <c r="D80" s="203" t="s">
        <v>87</v>
      </c>
      <c r="E80" s="204">
        <v>1.22</v>
      </c>
      <c r="F80" s="205">
        <f>E80*F77</f>
        <v>69.051999999999992</v>
      </c>
      <c r="G80" s="206">
        <f>კალკულაცია!J20</f>
        <v>29.433</v>
      </c>
      <c r="H80" s="207">
        <f>F80*G80</f>
        <v>2032.4075159999998</v>
      </c>
    </row>
    <row r="81" spans="1:8" ht="21" customHeight="1">
      <c r="A81" s="1046" t="s">
        <v>50</v>
      </c>
      <c r="B81" s="1047"/>
      <c r="C81" s="1047"/>
      <c r="D81" s="1047"/>
      <c r="E81" s="1047"/>
      <c r="F81" s="1048"/>
      <c r="G81" s="35"/>
      <c r="H81" s="21">
        <f>H10+H14+H19+H29+H77+H20+H45+H16+H68+H34+H73+H62+H51+H24</f>
        <v>44856.509647831001</v>
      </c>
    </row>
    <row r="82" spans="1:8" ht="21" customHeight="1">
      <c r="A82" s="1046" t="s">
        <v>372</v>
      </c>
      <c r="B82" s="1047"/>
      <c r="C82" s="1047"/>
      <c r="D82" s="1047"/>
      <c r="E82" s="1047"/>
      <c r="F82" s="1048"/>
      <c r="G82" s="435"/>
      <c r="H82" s="28">
        <f>H81*0.1</f>
        <v>4485.6509647830999</v>
      </c>
    </row>
    <row r="83" spans="1:8" ht="21" customHeight="1">
      <c r="A83" s="1046" t="s">
        <v>68</v>
      </c>
      <c r="B83" s="1047"/>
      <c r="C83" s="1047"/>
      <c r="D83" s="1047"/>
      <c r="E83" s="1047"/>
      <c r="F83" s="1048"/>
      <c r="G83" s="127"/>
      <c r="H83" s="28">
        <f>H82+H81</f>
        <v>49342.160612614098</v>
      </c>
    </row>
    <row r="84" spans="1:8" ht="21" customHeight="1">
      <c r="A84" s="1046" t="s">
        <v>373</v>
      </c>
      <c r="B84" s="1047"/>
      <c r="C84" s="1047"/>
      <c r="D84" s="1047"/>
      <c r="E84" s="1047"/>
      <c r="F84" s="1048"/>
      <c r="G84" s="127"/>
      <c r="H84" s="28">
        <f>H83*0.08</f>
        <v>3947.372849009128</v>
      </c>
    </row>
    <row r="85" spans="1:8" ht="21" customHeight="1">
      <c r="A85" s="1049" t="s">
        <v>52</v>
      </c>
      <c r="B85" s="1050"/>
      <c r="C85" s="1050"/>
      <c r="D85" s="1050"/>
      <c r="E85" s="1050"/>
      <c r="F85" s="1051"/>
      <c r="G85" s="36"/>
      <c r="H85" s="28">
        <f>H84+H83</f>
        <v>53289.533461623229</v>
      </c>
    </row>
    <row r="86" spans="1:8" ht="24.75" customHeight="1">
      <c r="A86" s="24"/>
      <c r="B86" s="24"/>
      <c r="C86" s="24"/>
      <c r="D86" s="24"/>
      <c r="E86" s="24"/>
      <c r="F86" s="24"/>
      <c r="G86" s="638"/>
      <c r="H86" s="26"/>
    </row>
    <row r="87" spans="1:8" ht="28.5" customHeight="1">
      <c r="A87" s="1052" t="s">
        <v>567</v>
      </c>
      <c r="B87" s="1052"/>
      <c r="C87" s="1052"/>
      <c r="D87" s="1052"/>
      <c r="E87" s="1052"/>
      <c r="F87" s="1052"/>
      <c r="G87" s="1052"/>
      <c r="H87" s="1052"/>
    </row>
  </sheetData>
  <mergeCells count="31">
    <mergeCell ref="A85:F85"/>
    <mergeCell ref="A87:H87"/>
    <mergeCell ref="A81:F81"/>
    <mergeCell ref="A82:F82"/>
    <mergeCell ref="A77:A80"/>
    <mergeCell ref="A83:F83"/>
    <mergeCell ref="B77:B80"/>
    <mergeCell ref="A51:A61"/>
    <mergeCell ref="B51:B61"/>
    <mergeCell ref="A24:A28"/>
    <mergeCell ref="A84:F84"/>
    <mergeCell ref="A34:A44"/>
    <mergeCell ref="B34:B44"/>
    <mergeCell ref="G7:H7"/>
    <mergeCell ref="A20:A23"/>
    <mergeCell ref="B20:B23"/>
    <mergeCell ref="A29:A33"/>
    <mergeCell ref="B29:B33"/>
    <mergeCell ref="B24:B28"/>
    <mergeCell ref="B14:B15"/>
    <mergeCell ref="B16:B18"/>
    <mergeCell ref="A7:A8"/>
    <mergeCell ref="B7:B8"/>
    <mergeCell ref="C7:C8"/>
    <mergeCell ref="D7:D8"/>
    <mergeCell ref="E7:F7"/>
    <mergeCell ref="A1:H1"/>
    <mergeCell ref="A3:H3"/>
    <mergeCell ref="A5:H5"/>
    <mergeCell ref="B6:E6"/>
    <mergeCell ref="G6:H6"/>
  </mergeCells>
  <printOptions horizontalCentered="1"/>
  <pageMargins left="0.19685039370078741" right="0.19685039370078741" top="0.19685039370078741" bottom="0.19685039370078741" header="0.19685039370078741" footer="0.2362204724409449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BreakPreview" topLeftCell="A43" zoomScale="75" zoomScaleNormal="100" zoomScaleSheetLayoutView="75" workbookViewId="0">
      <selection activeCell="K16" sqref="K16"/>
    </sheetView>
  </sheetViews>
  <sheetFormatPr defaultRowHeight="16.5"/>
  <cols>
    <col min="1" max="1" width="4.7109375" style="14" customWidth="1"/>
    <col min="2" max="2" width="11.28515625" style="15" customWidth="1"/>
    <col min="3" max="3" width="62.5703125" style="14" customWidth="1"/>
    <col min="4" max="4" width="11.42578125" style="14" customWidth="1"/>
    <col min="5" max="5" width="14.7109375" style="14" customWidth="1"/>
    <col min="6" max="6" width="15" style="14" customWidth="1"/>
    <col min="7" max="8" width="13.7109375" style="14" customWidth="1"/>
    <col min="9" max="16384" width="9.140625" style="14"/>
  </cols>
  <sheetData>
    <row r="1" spans="1:8" ht="35.25" customHeight="1">
      <c r="A1" s="1033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1034"/>
      <c r="C1" s="1034"/>
      <c r="D1" s="1034"/>
      <c r="E1" s="1034"/>
      <c r="F1" s="1034"/>
      <c r="G1" s="1034"/>
      <c r="H1" s="1034"/>
    </row>
    <row r="2" spans="1:8" ht="2.25" customHeight="1">
      <c r="A2" s="397"/>
      <c r="B2" s="397"/>
      <c r="C2" s="396"/>
      <c r="D2" s="397"/>
      <c r="E2" s="397"/>
      <c r="F2" s="397"/>
      <c r="G2" s="397"/>
      <c r="H2" s="397"/>
    </row>
    <row r="3" spans="1:8" ht="15" customHeight="1">
      <c r="A3" s="1035" t="s">
        <v>380</v>
      </c>
      <c r="B3" s="1035"/>
      <c r="C3" s="1035"/>
      <c r="D3" s="1035"/>
      <c r="E3" s="1035"/>
      <c r="F3" s="1035"/>
      <c r="G3" s="1035"/>
      <c r="H3" s="1035"/>
    </row>
    <row r="4" spans="1:8" ht="1.5" customHeight="1">
      <c r="A4" s="398"/>
      <c r="B4" s="398"/>
      <c r="C4" s="398"/>
      <c r="D4" s="398"/>
      <c r="E4" s="398"/>
      <c r="F4" s="398"/>
      <c r="G4" s="398"/>
      <c r="H4" s="398"/>
    </row>
    <row r="5" spans="1:8" ht="17.25" customHeight="1">
      <c r="A5" s="1033" t="s">
        <v>346</v>
      </c>
      <c r="B5" s="1034"/>
      <c r="C5" s="1034"/>
      <c r="D5" s="1034"/>
      <c r="E5" s="1034"/>
      <c r="F5" s="1034"/>
      <c r="G5" s="1034"/>
      <c r="H5" s="1034"/>
    </row>
    <row r="6" spans="1:8" ht="16.5" customHeight="1">
      <c r="B6" s="1036" t="s">
        <v>4</v>
      </c>
      <c r="C6" s="1036"/>
      <c r="D6" s="1036"/>
      <c r="E6" s="1036"/>
      <c r="F6" s="29">
        <f>H84/1000</f>
        <v>78.955988273593576</v>
      </c>
      <c r="G6" s="1037" t="s">
        <v>56</v>
      </c>
      <c r="H6" s="1037"/>
    </row>
    <row r="7" spans="1:8" ht="15" customHeight="1">
      <c r="A7" s="986" t="s">
        <v>0</v>
      </c>
      <c r="B7" s="986" t="s">
        <v>5</v>
      </c>
      <c r="C7" s="986" t="s">
        <v>6</v>
      </c>
      <c r="D7" s="986" t="s">
        <v>181</v>
      </c>
      <c r="E7" s="986" t="s">
        <v>7</v>
      </c>
      <c r="F7" s="986"/>
      <c r="G7" s="986" t="s">
        <v>2</v>
      </c>
      <c r="H7" s="986"/>
    </row>
    <row r="8" spans="1:8" ht="33" customHeight="1">
      <c r="A8" s="986"/>
      <c r="B8" s="986"/>
      <c r="C8" s="986"/>
      <c r="D8" s="986"/>
      <c r="E8" s="16" t="s">
        <v>8</v>
      </c>
      <c r="F8" s="264" t="s">
        <v>9</v>
      </c>
      <c r="G8" s="16" t="s">
        <v>10</v>
      </c>
      <c r="H8" s="16" t="s">
        <v>1</v>
      </c>
    </row>
    <row r="9" spans="1:8" ht="13.5" customHeight="1">
      <c r="A9" s="263">
        <v>1</v>
      </c>
      <c r="B9" s="263">
        <v>2</v>
      </c>
      <c r="C9" s="263">
        <v>3</v>
      </c>
      <c r="D9" s="263">
        <v>4</v>
      </c>
      <c r="E9" s="263">
        <v>5</v>
      </c>
      <c r="F9" s="263">
        <v>6</v>
      </c>
      <c r="G9" s="263">
        <v>7</v>
      </c>
      <c r="H9" s="263">
        <v>8</v>
      </c>
    </row>
    <row r="10" spans="1:8" ht="45" customHeight="1">
      <c r="A10" s="399">
        <v>1</v>
      </c>
      <c r="B10" s="400" t="s">
        <v>249</v>
      </c>
      <c r="C10" s="401" t="s">
        <v>305</v>
      </c>
      <c r="D10" s="402" t="s">
        <v>53</v>
      </c>
      <c r="E10" s="402"/>
      <c r="F10" s="403">
        <f>'2x2'!D8</f>
        <v>80</v>
      </c>
      <c r="G10" s="402"/>
      <c r="H10" s="403">
        <f>H13+H11+H12</f>
        <v>96.497439999999997</v>
      </c>
    </row>
    <row r="11" spans="1:8" ht="21.95" customHeight="1">
      <c r="A11" s="404"/>
      <c r="B11" s="405"/>
      <c r="C11" s="270" t="s">
        <v>57</v>
      </c>
      <c r="D11" s="406" t="s">
        <v>58</v>
      </c>
      <c r="E11" s="407">
        <v>9.2499999999999995E-3</v>
      </c>
      <c r="F11" s="408">
        <f>E11*F10</f>
        <v>0.74</v>
      </c>
      <c r="G11" s="407">
        <v>6</v>
      </c>
      <c r="H11" s="409">
        <f>F11*G11</f>
        <v>4.4399999999999995</v>
      </c>
    </row>
    <row r="12" spans="1:8" ht="21.95" customHeight="1">
      <c r="A12" s="404"/>
      <c r="B12" s="410"/>
      <c r="C12" s="271" t="s">
        <v>304</v>
      </c>
      <c r="D12" s="406" t="s">
        <v>64</v>
      </c>
      <c r="E12" s="407">
        <v>2.07E-2</v>
      </c>
      <c r="F12" s="408">
        <f>E12*F10</f>
        <v>1.6559999999999999</v>
      </c>
      <c r="G12" s="411">
        <v>55.38</v>
      </c>
      <c r="H12" s="409">
        <f>F12*G12</f>
        <v>91.709279999999993</v>
      </c>
    </row>
    <row r="13" spans="1:8" ht="21.95" customHeight="1">
      <c r="A13" s="412"/>
      <c r="B13" s="412"/>
      <c r="C13" s="272" t="s">
        <v>59</v>
      </c>
      <c r="D13" s="413" t="s">
        <v>47</v>
      </c>
      <c r="E13" s="414">
        <v>1.3600000000000001E-3</v>
      </c>
      <c r="F13" s="415">
        <f>E13*F10</f>
        <v>0.10880000000000001</v>
      </c>
      <c r="G13" s="414">
        <v>3.2</v>
      </c>
      <c r="H13" s="409">
        <f>F13*G13</f>
        <v>0.34816000000000003</v>
      </c>
    </row>
    <row r="14" spans="1:8" ht="28.5" customHeight="1">
      <c r="A14" s="399">
        <v>2</v>
      </c>
      <c r="B14" s="1018" t="s">
        <v>602</v>
      </c>
      <c r="C14" s="401" t="s">
        <v>386</v>
      </c>
      <c r="D14" s="402" t="s">
        <v>53</v>
      </c>
      <c r="E14" s="402"/>
      <c r="F14" s="403">
        <f>'2x2'!D9</f>
        <v>15</v>
      </c>
      <c r="G14" s="402"/>
      <c r="H14" s="403">
        <f>H15</f>
        <v>222.48</v>
      </c>
    </row>
    <row r="15" spans="1:8" ht="21" customHeight="1">
      <c r="A15" s="416"/>
      <c r="B15" s="1019"/>
      <c r="C15" s="272" t="s">
        <v>57</v>
      </c>
      <c r="D15" s="413" t="s">
        <v>58</v>
      </c>
      <c r="E15" s="413">
        <f>2.06*1.2</f>
        <v>2.472</v>
      </c>
      <c r="F15" s="417">
        <f>E15*F14</f>
        <v>37.08</v>
      </c>
      <c r="G15" s="413">
        <v>6</v>
      </c>
      <c r="H15" s="417">
        <f>G15*F15</f>
        <v>222.48</v>
      </c>
    </row>
    <row r="16" spans="1:8" ht="34.5" customHeight="1">
      <c r="A16" s="418">
        <v>3</v>
      </c>
      <c r="B16" s="419" t="s">
        <v>132</v>
      </c>
      <c r="C16" s="420" t="s">
        <v>397</v>
      </c>
      <c r="D16" s="421" t="s">
        <v>65</v>
      </c>
      <c r="E16" s="421" t="s">
        <v>605</v>
      </c>
      <c r="F16" s="422">
        <f>(F14+F10)*1.6</f>
        <v>152</v>
      </c>
      <c r="G16" s="421">
        <v>5.63</v>
      </c>
      <c r="H16" s="422">
        <f>G16*F16</f>
        <v>855.76</v>
      </c>
    </row>
    <row r="17" spans="1:8" ht="27" customHeight="1">
      <c r="A17" s="1030">
        <v>4</v>
      </c>
      <c r="B17" s="1057" t="s">
        <v>257</v>
      </c>
      <c r="C17" s="423" t="s">
        <v>258</v>
      </c>
      <c r="D17" s="17" t="s">
        <v>53</v>
      </c>
      <c r="E17" s="142"/>
      <c r="F17" s="143">
        <f>'2x2'!D10</f>
        <v>53</v>
      </c>
      <c r="G17" s="142"/>
      <c r="H17" s="143">
        <f>H18+H19+H20</f>
        <v>2881.0731100000003</v>
      </c>
    </row>
    <row r="18" spans="1:8" ht="21.95" customHeight="1">
      <c r="A18" s="1031"/>
      <c r="B18" s="1058"/>
      <c r="C18" s="424" t="s">
        <v>3</v>
      </c>
      <c r="D18" s="23" t="s">
        <v>46</v>
      </c>
      <c r="E18" s="146">
        <v>2.1800000000000002</v>
      </c>
      <c r="F18" s="147">
        <f>E18*F17</f>
        <v>115.54</v>
      </c>
      <c r="G18" s="146">
        <v>6</v>
      </c>
      <c r="H18" s="147">
        <f>F18*G18</f>
        <v>693.24</v>
      </c>
    </row>
    <row r="19" spans="1:8" ht="21.95" customHeight="1">
      <c r="A19" s="1031"/>
      <c r="B19" s="1058"/>
      <c r="C19" s="424" t="s">
        <v>148</v>
      </c>
      <c r="D19" s="146" t="s">
        <v>47</v>
      </c>
      <c r="E19" s="146">
        <v>0.115</v>
      </c>
      <c r="F19" s="147">
        <f>E19*F17</f>
        <v>6.0950000000000006</v>
      </c>
      <c r="G19" s="147">
        <v>3.2</v>
      </c>
      <c r="H19" s="147">
        <f>F19*G19</f>
        <v>19.504000000000005</v>
      </c>
    </row>
    <row r="20" spans="1:8" ht="21.95" customHeight="1">
      <c r="A20" s="1031"/>
      <c r="B20" s="1058"/>
      <c r="C20" s="424" t="s">
        <v>130</v>
      </c>
      <c r="D20" s="23" t="s">
        <v>53</v>
      </c>
      <c r="E20" s="147">
        <v>1.39</v>
      </c>
      <c r="F20" s="147">
        <f>E20*F17</f>
        <v>73.67</v>
      </c>
      <c r="G20" s="147">
        <f>კალკულაცია!J20</f>
        <v>29.433</v>
      </c>
      <c r="H20" s="147">
        <f>F20*G20</f>
        <v>2168.3291100000001</v>
      </c>
    </row>
    <row r="21" spans="1:8" ht="41.25" customHeight="1">
      <c r="A21" s="335">
        <v>5</v>
      </c>
      <c r="B21" s="329" t="s">
        <v>259</v>
      </c>
      <c r="C21" s="425" t="s">
        <v>281</v>
      </c>
      <c r="D21" s="17" t="s">
        <v>53</v>
      </c>
      <c r="E21" s="336"/>
      <c r="F21" s="143">
        <f>'2x2'!D22+20.4</f>
        <v>21.5</v>
      </c>
      <c r="G21" s="336"/>
      <c r="H21" s="143">
        <f>H22+H23+H24+H25</f>
        <v>2968.1764800000001</v>
      </c>
    </row>
    <row r="22" spans="1:8" ht="21.95" customHeight="1">
      <c r="A22" s="337"/>
      <c r="B22" s="330"/>
      <c r="C22" s="424" t="s">
        <v>3</v>
      </c>
      <c r="D22" s="23" t="s">
        <v>46</v>
      </c>
      <c r="E22" s="333">
        <v>1.37</v>
      </c>
      <c r="F22" s="152">
        <f>E22*F21</f>
        <v>29.455000000000002</v>
      </c>
      <c r="G22" s="152">
        <v>6</v>
      </c>
      <c r="H22" s="147">
        <f>F22*G22</f>
        <v>176.73000000000002</v>
      </c>
    </row>
    <row r="23" spans="1:8" ht="21.95" customHeight="1">
      <c r="A23" s="337"/>
      <c r="B23" s="330"/>
      <c r="C23" s="424" t="s">
        <v>148</v>
      </c>
      <c r="D23" s="146" t="s">
        <v>47</v>
      </c>
      <c r="E23" s="333">
        <v>0.28299999999999997</v>
      </c>
      <c r="F23" s="152">
        <f>E23*F21</f>
        <v>6.0844999999999994</v>
      </c>
      <c r="G23" s="152">
        <v>3.2</v>
      </c>
      <c r="H23" s="147">
        <f>F23*G23</f>
        <v>19.470399999999998</v>
      </c>
    </row>
    <row r="24" spans="1:8" ht="21.95" customHeight="1">
      <c r="A24" s="337"/>
      <c r="B24" s="330"/>
      <c r="C24" s="312" t="s">
        <v>167</v>
      </c>
      <c r="D24" s="23" t="s">
        <v>53</v>
      </c>
      <c r="E24" s="333">
        <v>1.02</v>
      </c>
      <c r="F24" s="152">
        <f>E24*F21</f>
        <v>21.93</v>
      </c>
      <c r="G24" s="152">
        <f>კალკულაცია!J16</f>
        <v>124.456</v>
      </c>
      <c r="H24" s="147">
        <f>F24*G24</f>
        <v>2729.32008</v>
      </c>
    </row>
    <row r="25" spans="1:8" ht="21.95" customHeight="1">
      <c r="A25" s="339"/>
      <c r="B25" s="331"/>
      <c r="C25" s="153" t="s">
        <v>48</v>
      </c>
      <c r="D25" s="149" t="s">
        <v>47</v>
      </c>
      <c r="E25" s="340">
        <v>0.62</v>
      </c>
      <c r="F25" s="154">
        <f>E25*F21</f>
        <v>13.33</v>
      </c>
      <c r="G25" s="154">
        <v>3.2</v>
      </c>
      <c r="H25" s="150">
        <f>F25*G25</f>
        <v>42.656000000000006</v>
      </c>
    </row>
    <row r="26" spans="1:8" ht="32.25" customHeight="1">
      <c r="A26" s="335">
        <v>6</v>
      </c>
      <c r="B26" s="329" t="s">
        <v>260</v>
      </c>
      <c r="C26" s="425" t="s">
        <v>668</v>
      </c>
      <c r="D26" s="17" t="s">
        <v>53</v>
      </c>
      <c r="E26" s="336"/>
      <c r="F26" s="143">
        <f>'2x2'!D14</f>
        <v>95.199999999999989</v>
      </c>
      <c r="G26" s="143"/>
      <c r="H26" s="143">
        <f>H27+H28+H29+H30+H31+H32+H33+H34+H35</f>
        <v>27162.512237839994</v>
      </c>
    </row>
    <row r="27" spans="1:8" ht="20.25" customHeight="1">
      <c r="A27" s="337"/>
      <c r="B27" s="330"/>
      <c r="C27" s="426" t="s">
        <v>3</v>
      </c>
      <c r="D27" s="23" t="s">
        <v>46</v>
      </c>
      <c r="E27" s="260">
        <v>4.84</v>
      </c>
      <c r="F27" s="147">
        <f>E27*F26</f>
        <v>460.76799999999992</v>
      </c>
      <c r="G27" s="147">
        <v>6</v>
      </c>
      <c r="H27" s="147">
        <f t="shared" ref="H27:H41" si="0">F27*G27</f>
        <v>2764.6079999999993</v>
      </c>
    </row>
    <row r="28" spans="1:8" ht="20.25" customHeight="1">
      <c r="A28" s="337"/>
      <c r="B28" s="330"/>
      <c r="C28" s="332" t="s">
        <v>153</v>
      </c>
      <c r="D28" s="23" t="s">
        <v>154</v>
      </c>
      <c r="E28" s="260">
        <v>9.6000000000000002E-2</v>
      </c>
      <c r="F28" s="147">
        <f>E28*F26</f>
        <v>9.1391999999999989</v>
      </c>
      <c r="G28" s="343">
        <f>G38</f>
        <v>14.21</v>
      </c>
      <c r="H28" s="147">
        <f t="shared" si="0"/>
        <v>129.868032</v>
      </c>
    </row>
    <row r="29" spans="1:8" ht="20.25" customHeight="1">
      <c r="A29" s="337"/>
      <c r="B29" s="330"/>
      <c r="C29" s="426" t="s">
        <v>148</v>
      </c>
      <c r="D29" s="146" t="s">
        <v>47</v>
      </c>
      <c r="E29" s="260">
        <v>0.42</v>
      </c>
      <c r="F29" s="147">
        <f>E29*F26</f>
        <v>39.983999999999995</v>
      </c>
      <c r="G29" s="147">
        <v>3.2</v>
      </c>
      <c r="H29" s="147">
        <f t="shared" si="0"/>
        <v>127.94879999999999</v>
      </c>
    </row>
    <row r="30" spans="1:8" ht="20.25" customHeight="1">
      <c r="A30" s="337"/>
      <c r="B30" s="330"/>
      <c r="C30" s="342" t="s">
        <v>272</v>
      </c>
      <c r="D30" s="23" t="s">
        <v>53</v>
      </c>
      <c r="E30" s="260">
        <v>1.0149999999999999</v>
      </c>
      <c r="F30" s="147">
        <f>E30*F26</f>
        <v>96.627999999999986</v>
      </c>
      <c r="G30" s="147">
        <f>კალკულაცია!J17</f>
        <v>134.45599999999999</v>
      </c>
      <c r="H30" s="147">
        <f t="shared" si="0"/>
        <v>12992.214367999997</v>
      </c>
    </row>
    <row r="31" spans="1:8" ht="20.25" customHeight="1">
      <c r="A31" s="337"/>
      <c r="B31" s="330"/>
      <c r="C31" s="332" t="s">
        <v>270</v>
      </c>
      <c r="D31" s="23" t="s">
        <v>53</v>
      </c>
      <c r="E31" s="260">
        <v>2.1399999999999999E-2</v>
      </c>
      <c r="F31" s="147">
        <f>E31*F26</f>
        <v>2.0372799999999995</v>
      </c>
      <c r="G31" s="147">
        <v>80</v>
      </c>
      <c r="H31" s="147">
        <f t="shared" si="0"/>
        <v>162.98239999999996</v>
      </c>
    </row>
    <row r="32" spans="1:8" ht="20.25" customHeight="1">
      <c r="A32" s="337"/>
      <c r="B32" s="330"/>
      <c r="C32" s="332" t="s">
        <v>271</v>
      </c>
      <c r="D32" s="23" t="s">
        <v>53</v>
      </c>
      <c r="E32" s="260">
        <v>0.32</v>
      </c>
      <c r="F32" s="147">
        <f>E32*F26</f>
        <v>30.463999999999999</v>
      </c>
      <c r="G32" s="147">
        <v>10</v>
      </c>
      <c r="H32" s="147">
        <f t="shared" si="0"/>
        <v>304.64</v>
      </c>
    </row>
    <row r="33" spans="1:8" ht="20.25" customHeight="1">
      <c r="A33" s="337"/>
      <c r="B33" s="330"/>
      <c r="C33" s="332" t="s">
        <v>151</v>
      </c>
      <c r="D33" s="23" t="s">
        <v>53</v>
      </c>
      <c r="E33" s="260">
        <f>(1.67+21.2)/100</f>
        <v>0.22869999999999999</v>
      </c>
      <c r="F33" s="147">
        <f>E33*F26</f>
        <v>21.772239999999996</v>
      </c>
      <c r="G33" s="147">
        <f>კალკულაცია!J15</f>
        <v>419.94099999999997</v>
      </c>
      <c r="H33" s="147">
        <f t="shared" si="0"/>
        <v>9143.0562378399973</v>
      </c>
    </row>
    <row r="34" spans="1:8" ht="20.25" customHeight="1">
      <c r="A34" s="337"/>
      <c r="B34" s="330"/>
      <c r="C34" s="332" t="s">
        <v>155</v>
      </c>
      <c r="D34" s="146" t="s">
        <v>49</v>
      </c>
      <c r="E34" s="260">
        <v>2.23</v>
      </c>
      <c r="F34" s="147">
        <f>E34*F26</f>
        <v>212.29599999999996</v>
      </c>
      <c r="G34" s="147">
        <v>4.5</v>
      </c>
      <c r="H34" s="147">
        <f t="shared" si="0"/>
        <v>955.33199999999988</v>
      </c>
    </row>
    <row r="35" spans="1:8" ht="20.25" customHeight="1">
      <c r="A35" s="337"/>
      <c r="B35" s="330"/>
      <c r="C35" s="332" t="s">
        <v>48</v>
      </c>
      <c r="D35" s="146" t="s">
        <v>47</v>
      </c>
      <c r="E35" s="260">
        <v>1.91</v>
      </c>
      <c r="F35" s="147">
        <f>E35*F26</f>
        <v>181.83199999999997</v>
      </c>
      <c r="G35" s="147">
        <v>3.2</v>
      </c>
      <c r="H35" s="147">
        <f t="shared" si="0"/>
        <v>581.86239999999987</v>
      </c>
    </row>
    <row r="36" spans="1:8" ht="24.75" customHeight="1">
      <c r="A36" s="335">
        <v>7</v>
      </c>
      <c r="B36" s="329" t="s">
        <v>261</v>
      </c>
      <c r="C36" s="425" t="s">
        <v>262</v>
      </c>
      <c r="D36" s="17" t="s">
        <v>54</v>
      </c>
      <c r="E36" s="336"/>
      <c r="F36" s="143">
        <f>'2x2'!D15/1000</f>
        <v>12.3522</v>
      </c>
      <c r="G36" s="336"/>
      <c r="H36" s="143">
        <f>H37+H38+H39+H40+H41</f>
        <v>21299.953337880004</v>
      </c>
    </row>
    <row r="37" spans="1:8" ht="20.25" customHeight="1">
      <c r="A37" s="337"/>
      <c r="B37" s="330"/>
      <c r="C37" s="426" t="s">
        <v>3</v>
      </c>
      <c r="D37" s="23" t="s">
        <v>46</v>
      </c>
      <c r="E37" s="333">
        <v>27.6</v>
      </c>
      <c r="F37" s="147">
        <f>E37*F36</f>
        <v>340.92072000000002</v>
      </c>
      <c r="G37" s="333">
        <v>6</v>
      </c>
      <c r="H37" s="147">
        <f t="shared" si="0"/>
        <v>2045.52432</v>
      </c>
    </row>
    <row r="38" spans="1:8" ht="20.25" customHeight="1">
      <c r="A38" s="337"/>
      <c r="B38" s="330"/>
      <c r="C38" s="332" t="s">
        <v>153</v>
      </c>
      <c r="D38" s="23" t="s">
        <v>154</v>
      </c>
      <c r="E38" s="333">
        <v>4.74</v>
      </c>
      <c r="F38" s="147">
        <f>E38*F36</f>
        <v>58.549427999999999</v>
      </c>
      <c r="G38" s="394">
        <v>14.21</v>
      </c>
      <c r="H38" s="147">
        <f t="shared" si="0"/>
        <v>831.98737188000007</v>
      </c>
    </row>
    <row r="39" spans="1:8" ht="20.25" customHeight="1">
      <c r="A39" s="337"/>
      <c r="B39" s="330"/>
      <c r="C39" s="426" t="s">
        <v>148</v>
      </c>
      <c r="D39" s="146" t="s">
        <v>47</v>
      </c>
      <c r="E39" s="333">
        <v>6.8</v>
      </c>
      <c r="F39" s="147">
        <f>E39*F36</f>
        <v>83.994959999999992</v>
      </c>
      <c r="G39" s="333">
        <v>3.2</v>
      </c>
      <c r="H39" s="147">
        <f t="shared" si="0"/>
        <v>268.78387199999997</v>
      </c>
    </row>
    <row r="40" spans="1:8" ht="20.25" customHeight="1">
      <c r="A40" s="337"/>
      <c r="B40" s="330"/>
      <c r="C40" s="427" t="s">
        <v>273</v>
      </c>
      <c r="D40" s="23" t="s">
        <v>65</v>
      </c>
      <c r="E40" s="333">
        <v>1</v>
      </c>
      <c r="F40" s="147">
        <f>E40*F36</f>
        <v>12.3522</v>
      </c>
      <c r="G40" s="333">
        <f>კალკულაცია!J22</f>
        <v>1430.63</v>
      </c>
      <c r="H40" s="147">
        <f t="shared" si="0"/>
        <v>17671.427886000001</v>
      </c>
    </row>
    <row r="41" spans="1:8" ht="20.25" customHeight="1">
      <c r="A41" s="337"/>
      <c r="B41" s="330"/>
      <c r="C41" s="332" t="s">
        <v>48</v>
      </c>
      <c r="D41" s="146" t="s">
        <v>47</v>
      </c>
      <c r="E41" s="333">
        <v>12.2</v>
      </c>
      <c r="F41" s="147">
        <f>E41*F36</f>
        <v>150.69683999999998</v>
      </c>
      <c r="G41" s="333">
        <v>3.2</v>
      </c>
      <c r="H41" s="147">
        <f t="shared" si="0"/>
        <v>482.22988799999996</v>
      </c>
    </row>
    <row r="42" spans="1:8" ht="35.25" customHeight="1">
      <c r="A42" s="335">
        <v>8</v>
      </c>
      <c r="B42" s="329" t="s">
        <v>263</v>
      </c>
      <c r="C42" s="428" t="s">
        <v>275</v>
      </c>
      <c r="D42" s="18" t="s">
        <v>53</v>
      </c>
      <c r="E42" s="143"/>
      <c r="F42" s="336">
        <f>'2x2'!D17+'2x2'!D20</f>
        <v>9.4700000000000006</v>
      </c>
      <c r="G42" s="143"/>
      <c r="H42" s="143">
        <f>H43+H44+H45+H46+H47+H48+H49+H50+H51+H52</f>
        <v>2543.8442801470005</v>
      </c>
    </row>
    <row r="43" spans="1:8" ht="20.25" customHeight="1">
      <c r="A43" s="337"/>
      <c r="B43" s="330"/>
      <c r="C43" s="424" t="s">
        <v>3</v>
      </c>
      <c r="D43" s="24" t="s">
        <v>46</v>
      </c>
      <c r="E43" s="146">
        <v>6.6</v>
      </c>
      <c r="F43" s="333">
        <f>E43*F42</f>
        <v>62.502000000000002</v>
      </c>
      <c r="G43" s="147">
        <v>6</v>
      </c>
      <c r="H43" s="338">
        <f t="shared" ref="H43:H52" si="1">F43*G43</f>
        <v>375.012</v>
      </c>
    </row>
    <row r="44" spans="1:8" ht="20.25" customHeight="1">
      <c r="A44" s="337"/>
      <c r="B44" s="330"/>
      <c r="C44" s="259" t="s">
        <v>153</v>
      </c>
      <c r="D44" s="24" t="s">
        <v>154</v>
      </c>
      <c r="E44" s="146">
        <v>9.6000000000000002E-2</v>
      </c>
      <c r="F44" s="333">
        <f>E44*F42</f>
        <v>0.90912000000000004</v>
      </c>
      <c r="G44" s="343">
        <f>G38</f>
        <v>14.21</v>
      </c>
      <c r="H44" s="338">
        <f t="shared" si="1"/>
        <v>12.918595200000002</v>
      </c>
    </row>
    <row r="45" spans="1:8" ht="20.25" customHeight="1">
      <c r="A45" s="337"/>
      <c r="B45" s="330"/>
      <c r="C45" s="424" t="s">
        <v>148</v>
      </c>
      <c r="D45" s="260" t="s">
        <v>47</v>
      </c>
      <c r="E45" s="146">
        <v>0.39900000000000002</v>
      </c>
      <c r="F45" s="333">
        <f>E45*F42</f>
        <v>3.7785300000000004</v>
      </c>
      <c r="G45" s="147">
        <v>3.2</v>
      </c>
      <c r="H45" s="338">
        <f t="shared" si="1"/>
        <v>12.091296000000002</v>
      </c>
    </row>
    <row r="46" spans="1:8" ht="20.25" customHeight="1">
      <c r="A46" s="337"/>
      <c r="B46" s="330"/>
      <c r="C46" s="261" t="s">
        <v>272</v>
      </c>
      <c r="D46" s="24" t="s">
        <v>53</v>
      </c>
      <c r="E46" s="146">
        <v>1.0149999999999999</v>
      </c>
      <c r="F46" s="333">
        <f>E46*F42</f>
        <v>9.61205</v>
      </c>
      <c r="G46" s="147">
        <f>G30</f>
        <v>134.45599999999999</v>
      </c>
      <c r="H46" s="338">
        <f t="shared" si="1"/>
        <v>1292.3977947999999</v>
      </c>
    </row>
    <row r="47" spans="1:8" ht="20.25" customHeight="1">
      <c r="A47" s="337"/>
      <c r="B47" s="330"/>
      <c r="C47" s="259" t="s">
        <v>270</v>
      </c>
      <c r="D47" s="24" t="s">
        <v>53</v>
      </c>
      <c r="E47" s="146">
        <v>2.47E-2</v>
      </c>
      <c r="F47" s="333">
        <f>E47*F42</f>
        <v>0.23390900000000001</v>
      </c>
      <c r="G47" s="147">
        <v>80</v>
      </c>
      <c r="H47" s="338">
        <f t="shared" si="1"/>
        <v>18.712720000000001</v>
      </c>
    </row>
    <row r="48" spans="1:8" ht="20.25" customHeight="1">
      <c r="A48" s="337"/>
      <c r="B48" s="330"/>
      <c r="C48" s="259" t="s">
        <v>271</v>
      </c>
      <c r="D48" s="24" t="s">
        <v>53</v>
      </c>
      <c r="E48" s="146">
        <v>0.39</v>
      </c>
      <c r="F48" s="333">
        <f>E48*F42</f>
        <v>3.6933000000000002</v>
      </c>
      <c r="G48" s="147">
        <v>10</v>
      </c>
      <c r="H48" s="338">
        <f t="shared" si="1"/>
        <v>36.933</v>
      </c>
    </row>
    <row r="49" spans="1:8" ht="20.25" customHeight="1">
      <c r="A49" s="337"/>
      <c r="B49" s="330"/>
      <c r="C49" s="259" t="s">
        <v>151</v>
      </c>
      <c r="D49" s="24" t="s">
        <v>53</v>
      </c>
      <c r="E49" s="146">
        <f>(4.68+7.4+0.53)/100</f>
        <v>0.12609999999999999</v>
      </c>
      <c r="F49" s="333">
        <f>E49*F42</f>
        <v>1.194167</v>
      </c>
      <c r="G49" s="147">
        <f>G33</f>
        <v>419.94099999999997</v>
      </c>
      <c r="H49" s="338">
        <f t="shared" si="1"/>
        <v>501.47968414699994</v>
      </c>
    </row>
    <row r="50" spans="1:8" ht="20.25" customHeight="1">
      <c r="A50" s="337"/>
      <c r="B50" s="330"/>
      <c r="C50" s="259" t="s">
        <v>155</v>
      </c>
      <c r="D50" s="260" t="s">
        <v>49</v>
      </c>
      <c r="E50" s="146">
        <v>1.93</v>
      </c>
      <c r="F50" s="333">
        <f>E50*F42</f>
        <v>18.277100000000001</v>
      </c>
      <c r="G50" s="147">
        <v>4.5</v>
      </c>
      <c r="H50" s="338">
        <f t="shared" si="1"/>
        <v>82.246949999999998</v>
      </c>
    </row>
    <row r="51" spans="1:8" ht="20.25" customHeight="1">
      <c r="A51" s="337"/>
      <c r="B51" s="330"/>
      <c r="C51" s="259" t="s">
        <v>274</v>
      </c>
      <c r="D51" s="260" t="s">
        <v>49</v>
      </c>
      <c r="E51" s="146">
        <v>11.6</v>
      </c>
      <c r="F51" s="333">
        <f>E51*F42</f>
        <v>109.852</v>
      </c>
      <c r="G51" s="147">
        <v>1.5</v>
      </c>
      <c r="H51" s="338">
        <f t="shared" si="1"/>
        <v>164.77800000000002</v>
      </c>
    </row>
    <row r="52" spans="1:8" ht="20.25" customHeight="1">
      <c r="A52" s="339"/>
      <c r="B52" s="331"/>
      <c r="C52" s="153" t="s">
        <v>48</v>
      </c>
      <c r="D52" s="262" t="s">
        <v>47</v>
      </c>
      <c r="E52" s="149">
        <v>1.56</v>
      </c>
      <c r="F52" s="340">
        <f>E52*F42</f>
        <v>14.773200000000001</v>
      </c>
      <c r="G52" s="150">
        <v>3.2</v>
      </c>
      <c r="H52" s="341">
        <f t="shared" si="1"/>
        <v>47.274240000000006</v>
      </c>
    </row>
    <row r="53" spans="1:8" ht="21.75" customHeight="1">
      <c r="A53" s="140">
        <v>9</v>
      </c>
      <c r="B53" s="395" t="s">
        <v>261</v>
      </c>
      <c r="C53" s="428" t="s">
        <v>264</v>
      </c>
      <c r="D53" s="344" t="s">
        <v>54</v>
      </c>
      <c r="E53" s="157"/>
      <c r="F53" s="157">
        <f>('2x2'!D18+'2x2'!D21)/1000</f>
        <v>0.90049999999999997</v>
      </c>
      <c r="G53" s="157"/>
      <c r="H53" s="143">
        <f>H54+H55+H56+H57+H58</f>
        <v>1552.8090527000002</v>
      </c>
    </row>
    <row r="54" spans="1:8" ht="16.5" customHeight="1">
      <c r="A54" s="144"/>
      <c r="B54" s="334"/>
      <c r="C54" s="424" t="s">
        <v>3</v>
      </c>
      <c r="D54" s="345" t="s">
        <v>46</v>
      </c>
      <c r="E54" s="333">
        <v>27.6</v>
      </c>
      <c r="F54" s="147">
        <f>E54*F53</f>
        <v>24.8538</v>
      </c>
      <c r="G54" s="333">
        <v>6</v>
      </c>
      <c r="H54" s="147">
        <f>F54*G54</f>
        <v>149.12279999999998</v>
      </c>
    </row>
    <row r="55" spans="1:8" ht="16.5" customHeight="1">
      <c r="A55" s="144"/>
      <c r="B55" s="334"/>
      <c r="C55" s="259" t="s">
        <v>153</v>
      </c>
      <c r="D55" s="345" t="s">
        <v>154</v>
      </c>
      <c r="E55" s="333">
        <v>4.74</v>
      </c>
      <c r="F55" s="147">
        <f>E55*F53</f>
        <v>4.26837</v>
      </c>
      <c r="G55" s="333">
        <f>G44</f>
        <v>14.21</v>
      </c>
      <c r="H55" s="147">
        <f>F55*G55</f>
        <v>60.653537700000001</v>
      </c>
    </row>
    <row r="56" spans="1:8" ht="16.5" customHeight="1">
      <c r="A56" s="144"/>
      <c r="B56" s="334"/>
      <c r="C56" s="424" t="s">
        <v>148</v>
      </c>
      <c r="D56" s="346" t="s">
        <v>47</v>
      </c>
      <c r="E56" s="333">
        <v>6.8</v>
      </c>
      <c r="F56" s="147">
        <f>E56*F53</f>
        <v>6.1233999999999993</v>
      </c>
      <c r="G56" s="333">
        <v>3.2</v>
      </c>
      <c r="H56" s="147">
        <f>F56*G56</f>
        <v>19.59488</v>
      </c>
    </row>
    <row r="57" spans="1:8" ht="16.5" customHeight="1">
      <c r="A57" s="144"/>
      <c r="B57" s="334"/>
      <c r="C57" s="436" t="s">
        <v>273</v>
      </c>
      <c r="D57" s="345" t="s">
        <v>65</v>
      </c>
      <c r="E57" s="333">
        <v>1</v>
      </c>
      <c r="F57" s="147">
        <f>E57*F53</f>
        <v>0.90049999999999997</v>
      </c>
      <c r="G57" s="333">
        <f>G40</f>
        <v>1430.63</v>
      </c>
      <c r="H57" s="147">
        <f>F57*G57</f>
        <v>1288.2823150000002</v>
      </c>
    </row>
    <row r="58" spans="1:8" ht="16.5" customHeight="1">
      <c r="A58" s="144"/>
      <c r="B58" s="334"/>
      <c r="C58" s="153" t="s">
        <v>48</v>
      </c>
      <c r="D58" s="346" t="s">
        <v>47</v>
      </c>
      <c r="E58" s="333">
        <v>12.2</v>
      </c>
      <c r="F58" s="147">
        <f>E58*F53</f>
        <v>10.986099999999999</v>
      </c>
      <c r="G58" s="333">
        <v>3.2</v>
      </c>
      <c r="H58" s="147">
        <f>F58*G58</f>
        <v>35.155519999999996</v>
      </c>
    </row>
    <row r="59" spans="1:8" ht="21" customHeight="1">
      <c r="A59" s="140">
        <v>10</v>
      </c>
      <c r="B59" s="155" t="s">
        <v>156</v>
      </c>
      <c r="C59" s="429" t="s">
        <v>265</v>
      </c>
      <c r="D59" s="17" t="s">
        <v>235</v>
      </c>
      <c r="E59" s="151"/>
      <c r="F59" s="157">
        <f>'2x2'!D24</f>
        <v>354</v>
      </c>
      <c r="G59" s="157"/>
      <c r="H59" s="143">
        <f>H60+H61+H62+H63</f>
        <v>3129.4945200000002</v>
      </c>
    </row>
    <row r="60" spans="1:8" ht="16.5" customHeight="1">
      <c r="A60" s="144"/>
      <c r="B60" s="158"/>
      <c r="C60" s="424" t="s">
        <v>3</v>
      </c>
      <c r="D60" s="23" t="s">
        <v>46</v>
      </c>
      <c r="E60" s="159">
        <v>0.56399999999999995</v>
      </c>
      <c r="F60" s="152">
        <f>E60*F59</f>
        <v>199.65599999999998</v>
      </c>
      <c r="G60" s="152">
        <v>6</v>
      </c>
      <c r="H60" s="147">
        <f>F60*G60</f>
        <v>1197.9359999999999</v>
      </c>
    </row>
    <row r="61" spans="1:8" ht="16.5" customHeight="1">
      <c r="A61" s="144"/>
      <c r="B61" s="158"/>
      <c r="C61" s="424" t="s">
        <v>148</v>
      </c>
      <c r="D61" s="146" t="s">
        <v>47</v>
      </c>
      <c r="E61" s="159">
        <v>4.0899999999999999E-2</v>
      </c>
      <c r="F61" s="152">
        <f>E61*F59</f>
        <v>14.4786</v>
      </c>
      <c r="G61" s="152">
        <v>3.2</v>
      </c>
      <c r="H61" s="147">
        <f>F61*G61</f>
        <v>46.331520000000005</v>
      </c>
    </row>
    <row r="62" spans="1:8" ht="16.5" customHeight="1">
      <c r="A62" s="144"/>
      <c r="B62" s="158"/>
      <c r="C62" s="429" t="s">
        <v>157</v>
      </c>
      <c r="D62" s="159" t="s">
        <v>54</v>
      </c>
      <c r="E62" s="159">
        <f>0.0045</f>
        <v>4.4999999999999997E-3</v>
      </c>
      <c r="F62" s="152">
        <f>E62*F59</f>
        <v>1.593</v>
      </c>
      <c r="G62" s="152">
        <v>995</v>
      </c>
      <c r="H62" s="147">
        <f>F62*G62</f>
        <v>1585.0350000000001</v>
      </c>
    </row>
    <row r="63" spans="1:8" ht="16.5" customHeight="1">
      <c r="A63" s="144"/>
      <c r="B63" s="158"/>
      <c r="C63" s="259" t="s">
        <v>48</v>
      </c>
      <c r="D63" s="146" t="s">
        <v>47</v>
      </c>
      <c r="E63" s="159">
        <v>0.26500000000000001</v>
      </c>
      <c r="F63" s="152">
        <f>E63*F59</f>
        <v>93.81</v>
      </c>
      <c r="G63" s="152">
        <v>3.2</v>
      </c>
      <c r="H63" s="147">
        <f>F63*G63</f>
        <v>300.19200000000001</v>
      </c>
    </row>
    <row r="64" spans="1:8" ht="19.5" customHeight="1">
      <c r="A64" s="335">
        <v>11</v>
      </c>
      <c r="B64" s="348" t="s">
        <v>266</v>
      </c>
      <c r="C64" s="430" t="s">
        <v>267</v>
      </c>
      <c r="D64" s="17" t="s">
        <v>171</v>
      </c>
      <c r="E64" s="347"/>
      <c r="F64" s="143">
        <f>'2x2'!D23</f>
        <v>5.52</v>
      </c>
      <c r="G64" s="336"/>
      <c r="H64" s="143">
        <f>H65+H66+H67+H68+H69+H70+H71</f>
        <v>433.76491199999992</v>
      </c>
    </row>
    <row r="65" spans="1:8" ht="16.5" customHeight="1">
      <c r="A65" s="337"/>
      <c r="B65" s="349"/>
      <c r="C65" s="424" t="s">
        <v>3</v>
      </c>
      <c r="D65" s="23" t="s">
        <v>46</v>
      </c>
      <c r="E65" s="260">
        <v>2.5299999999999998</v>
      </c>
      <c r="F65" s="147">
        <f>E65*F64</f>
        <v>13.965599999999998</v>
      </c>
      <c r="G65" s="333">
        <v>6</v>
      </c>
      <c r="H65" s="147">
        <f>F65*G65</f>
        <v>83.793599999999998</v>
      </c>
    </row>
    <row r="66" spans="1:8" ht="16.5" customHeight="1">
      <c r="A66" s="337"/>
      <c r="B66" s="349"/>
      <c r="C66" s="424" t="s">
        <v>148</v>
      </c>
      <c r="D66" s="146" t="s">
        <v>47</v>
      </c>
      <c r="E66" s="260">
        <v>0.158</v>
      </c>
      <c r="F66" s="147">
        <f>E66*F64</f>
        <v>0.87215999999999994</v>
      </c>
      <c r="G66" s="333">
        <v>3.2</v>
      </c>
      <c r="H66" s="147">
        <f t="shared" ref="H66:H71" si="2">F66*G66</f>
        <v>2.7909120000000001</v>
      </c>
    </row>
    <row r="67" spans="1:8" ht="16.5" customHeight="1">
      <c r="A67" s="337"/>
      <c r="B67" s="349"/>
      <c r="C67" s="431" t="s">
        <v>278</v>
      </c>
      <c r="D67" s="146" t="s">
        <v>54</v>
      </c>
      <c r="E67" s="260">
        <v>4.1000000000000003E-3</v>
      </c>
      <c r="F67" s="147">
        <f>E67*F64</f>
        <v>2.2631999999999999E-2</v>
      </c>
      <c r="G67" s="333">
        <v>866</v>
      </c>
      <c r="H67" s="147">
        <f t="shared" si="2"/>
        <v>19.599312000000001</v>
      </c>
    </row>
    <row r="68" spans="1:8" ht="16.5" customHeight="1">
      <c r="A68" s="337"/>
      <c r="B68" s="349"/>
      <c r="C68" s="431" t="s">
        <v>279</v>
      </c>
      <c r="D68" s="146" t="s">
        <v>49</v>
      </c>
      <c r="E68" s="260">
        <v>4.1399999999999997</v>
      </c>
      <c r="F68" s="147">
        <f>E68*F64</f>
        <v>22.852799999999995</v>
      </c>
      <c r="G68" s="351">
        <v>8.66</v>
      </c>
      <c r="H68" s="147">
        <f t="shared" si="2"/>
        <v>197.90524799999997</v>
      </c>
    </row>
    <row r="69" spans="1:8" ht="16.5" customHeight="1">
      <c r="A69" s="337"/>
      <c r="B69" s="349"/>
      <c r="C69" s="431" t="s">
        <v>276</v>
      </c>
      <c r="D69" s="146" t="s">
        <v>54</v>
      </c>
      <c r="E69" s="260">
        <v>7.4000000000000003E-3</v>
      </c>
      <c r="F69" s="147">
        <f>E69*F64</f>
        <v>4.0847999999999995E-2</v>
      </c>
      <c r="G69" s="333">
        <v>1950</v>
      </c>
      <c r="H69" s="147">
        <f t="shared" si="2"/>
        <v>79.653599999999997</v>
      </c>
    </row>
    <row r="70" spans="1:8" ht="16.5" customHeight="1">
      <c r="A70" s="337"/>
      <c r="B70" s="349"/>
      <c r="C70" s="431" t="s">
        <v>277</v>
      </c>
      <c r="D70" s="23" t="s">
        <v>235</v>
      </c>
      <c r="E70" s="260">
        <v>2.2999999999999998</v>
      </c>
      <c r="F70" s="147">
        <f>E70*F64</f>
        <v>12.695999999999998</v>
      </c>
      <c r="G70" s="333">
        <v>1.7</v>
      </c>
      <c r="H70" s="147">
        <f t="shared" si="2"/>
        <v>21.583199999999994</v>
      </c>
    </row>
    <row r="71" spans="1:8" ht="16.5" customHeight="1">
      <c r="A71" s="339"/>
      <c r="B71" s="350"/>
      <c r="C71" s="267" t="s">
        <v>48</v>
      </c>
      <c r="D71" s="149" t="s">
        <v>47</v>
      </c>
      <c r="E71" s="262">
        <v>1.61</v>
      </c>
      <c r="F71" s="150">
        <f>E71*F64</f>
        <v>8.8872</v>
      </c>
      <c r="G71" s="340">
        <v>3.2</v>
      </c>
      <c r="H71" s="150">
        <f t="shared" si="2"/>
        <v>28.439040000000002</v>
      </c>
    </row>
    <row r="72" spans="1:8" ht="18.95" customHeight="1">
      <c r="A72" s="399">
        <v>12</v>
      </c>
      <c r="B72" s="400" t="s">
        <v>268</v>
      </c>
      <c r="C72" s="401" t="s">
        <v>269</v>
      </c>
      <c r="D72" s="402" t="s">
        <v>53</v>
      </c>
      <c r="E72" s="402"/>
      <c r="F72" s="403">
        <f>'2x2'!D25</f>
        <v>16</v>
      </c>
      <c r="G72" s="402"/>
      <c r="H72" s="403">
        <f>H75+H73+H74</f>
        <v>749.87392</v>
      </c>
    </row>
    <row r="73" spans="1:8" ht="16.5" customHeight="1">
      <c r="A73" s="404"/>
      <c r="B73" s="405"/>
      <c r="C73" s="270" t="s">
        <v>57</v>
      </c>
      <c r="D73" s="406" t="s">
        <v>58</v>
      </c>
      <c r="E73" s="406">
        <v>2.78</v>
      </c>
      <c r="F73" s="409">
        <f>E73*F72</f>
        <v>44.48</v>
      </c>
      <c r="G73" s="406">
        <v>6</v>
      </c>
      <c r="H73" s="409">
        <f>F73*G73</f>
        <v>266.88</v>
      </c>
    </row>
    <row r="74" spans="1:8" ht="16.5" customHeight="1">
      <c r="A74" s="404"/>
      <c r="B74" s="410"/>
      <c r="C74" s="270" t="s">
        <v>280</v>
      </c>
      <c r="D74" s="432" t="s">
        <v>47</v>
      </c>
      <c r="E74" s="406">
        <v>2.5999999999999999E-3</v>
      </c>
      <c r="F74" s="409">
        <f>E74*F72</f>
        <v>4.1599999999999998E-2</v>
      </c>
      <c r="G74" s="406">
        <v>3.2</v>
      </c>
      <c r="H74" s="409">
        <f>F74*G74</f>
        <v>0.13311999999999999</v>
      </c>
    </row>
    <row r="75" spans="1:8" ht="16.5" customHeight="1">
      <c r="A75" s="412"/>
      <c r="B75" s="412"/>
      <c r="C75" s="433" t="s">
        <v>234</v>
      </c>
      <c r="D75" s="294" t="s">
        <v>53</v>
      </c>
      <c r="E75" s="413">
        <v>1.01</v>
      </c>
      <c r="F75" s="417">
        <f>E75*F72</f>
        <v>16.16</v>
      </c>
      <c r="G75" s="417">
        <f>კალკულაცია!J21</f>
        <v>29.88</v>
      </c>
      <c r="H75" s="417">
        <f>F75*G75</f>
        <v>482.86079999999998</v>
      </c>
    </row>
    <row r="76" spans="1:8" ht="32.25" customHeight="1">
      <c r="A76" s="989">
        <v>13</v>
      </c>
      <c r="B76" s="1053" t="s">
        <v>158</v>
      </c>
      <c r="C76" s="434" t="s">
        <v>376</v>
      </c>
      <c r="D76" s="285" t="s">
        <v>53</v>
      </c>
      <c r="E76" s="18"/>
      <c r="F76" s="22">
        <f>'2x2'!D26</f>
        <v>70</v>
      </c>
      <c r="G76" s="18"/>
      <c r="H76" s="19">
        <f>H77+H78+H79</f>
        <v>2565.0302999999999</v>
      </c>
    </row>
    <row r="77" spans="1:8" ht="16.5" customHeight="1">
      <c r="A77" s="990"/>
      <c r="B77" s="1054"/>
      <c r="C77" s="493" t="s">
        <v>3</v>
      </c>
      <c r="D77" s="196" t="s">
        <v>46</v>
      </c>
      <c r="E77" s="197">
        <v>1.6500000000000001E-2</v>
      </c>
      <c r="F77" s="198">
        <f>E77*F76</f>
        <v>1.155</v>
      </c>
      <c r="G77" s="199">
        <v>6</v>
      </c>
      <c r="H77" s="200">
        <f>F77*G77</f>
        <v>6.93</v>
      </c>
    </row>
    <row r="78" spans="1:8" ht="19.5" customHeight="1">
      <c r="A78" s="990"/>
      <c r="B78" s="1054"/>
      <c r="C78" s="795" t="s">
        <v>172</v>
      </c>
      <c r="D78" s="196" t="s">
        <v>154</v>
      </c>
      <c r="E78" s="197">
        <v>3.6999999999999998E-2</v>
      </c>
      <c r="F78" s="198">
        <f>E78*F76</f>
        <v>2.59</v>
      </c>
      <c r="G78" s="268">
        <v>17.190000000000001</v>
      </c>
      <c r="H78" s="200">
        <f>F78*G78</f>
        <v>44.522100000000002</v>
      </c>
    </row>
    <row r="79" spans="1:8" ht="16.5" customHeight="1">
      <c r="A79" s="991"/>
      <c r="B79" s="1055"/>
      <c r="C79" s="202" t="s">
        <v>368</v>
      </c>
      <c r="D79" s="203" t="s">
        <v>87</v>
      </c>
      <c r="E79" s="204">
        <v>1.22</v>
      </c>
      <c r="F79" s="205">
        <f>E79*F76</f>
        <v>85.399999999999991</v>
      </c>
      <c r="G79" s="206">
        <f>კალკულაცია!J20</f>
        <v>29.433</v>
      </c>
      <c r="H79" s="207">
        <f>F79*G79</f>
        <v>2513.5781999999999</v>
      </c>
    </row>
    <row r="80" spans="1:8" ht="16.5" customHeight="1">
      <c r="A80" s="1046" t="s">
        <v>50</v>
      </c>
      <c r="B80" s="1047"/>
      <c r="C80" s="1047"/>
      <c r="D80" s="1047"/>
      <c r="E80" s="1047"/>
      <c r="F80" s="1048"/>
      <c r="G80" s="35"/>
      <c r="H80" s="21">
        <f>H76+H72+H64+H59+H53+H42+H36+H26+H21+H17+H16+H14+H10</f>
        <v>66461.269590566997</v>
      </c>
    </row>
    <row r="81" spans="1:8" ht="16.5" customHeight="1">
      <c r="A81" s="1046" t="s">
        <v>372</v>
      </c>
      <c r="B81" s="1047"/>
      <c r="C81" s="1047"/>
      <c r="D81" s="1047"/>
      <c r="E81" s="1047"/>
      <c r="F81" s="1048"/>
      <c r="G81" s="435"/>
      <c r="H81" s="28">
        <f>H80*0.1</f>
        <v>6646.1269590566999</v>
      </c>
    </row>
    <row r="82" spans="1:8" ht="16.5" customHeight="1">
      <c r="A82" s="1046" t="s">
        <v>68</v>
      </c>
      <c r="B82" s="1047"/>
      <c r="C82" s="1047"/>
      <c r="D82" s="1047"/>
      <c r="E82" s="1047"/>
      <c r="F82" s="1048"/>
      <c r="G82" s="127"/>
      <c r="H82" s="28">
        <f>H81+H80</f>
        <v>73107.396549623692</v>
      </c>
    </row>
    <row r="83" spans="1:8" ht="16.5" customHeight="1">
      <c r="A83" s="1046" t="s">
        <v>373</v>
      </c>
      <c r="B83" s="1047"/>
      <c r="C83" s="1047"/>
      <c r="D83" s="1047"/>
      <c r="E83" s="1047"/>
      <c r="F83" s="1048"/>
      <c r="G83" s="127"/>
      <c r="H83" s="28">
        <f>H82*0.08</f>
        <v>5848.5917239698956</v>
      </c>
    </row>
    <row r="84" spans="1:8" ht="16.5" customHeight="1">
      <c r="A84" s="1049" t="s">
        <v>52</v>
      </c>
      <c r="B84" s="1050"/>
      <c r="C84" s="1050"/>
      <c r="D84" s="1050"/>
      <c r="E84" s="1050"/>
      <c r="F84" s="1051"/>
      <c r="G84" s="36"/>
      <c r="H84" s="28">
        <f>H83+H82</f>
        <v>78955.988273593583</v>
      </c>
    </row>
    <row r="85" spans="1:8" ht="25.5" customHeight="1">
      <c r="A85" s="1056" t="s">
        <v>149</v>
      </c>
      <c r="B85" s="1056"/>
      <c r="C85" s="1056"/>
      <c r="D85" s="1056"/>
      <c r="E85" s="1056"/>
      <c r="F85" s="1056"/>
      <c r="G85" s="1056"/>
      <c r="H85" s="1056"/>
    </row>
  </sheetData>
  <mergeCells count="22">
    <mergeCell ref="E7:F7"/>
    <mergeCell ref="G7:H7"/>
    <mergeCell ref="A1:H1"/>
    <mergeCell ref="A3:H3"/>
    <mergeCell ref="A5:H5"/>
    <mergeCell ref="B6:E6"/>
    <mergeCell ref="G6:H6"/>
    <mergeCell ref="A7:A8"/>
    <mergeCell ref="B7:B8"/>
    <mergeCell ref="C7:C8"/>
    <mergeCell ref="D7:D8"/>
    <mergeCell ref="B14:B15"/>
    <mergeCell ref="A85:H85"/>
    <mergeCell ref="A80:F80"/>
    <mergeCell ref="A81:F81"/>
    <mergeCell ref="A17:A20"/>
    <mergeCell ref="B17:B20"/>
    <mergeCell ref="B76:B79"/>
    <mergeCell ref="A76:A79"/>
    <mergeCell ref="A82:F82"/>
    <mergeCell ref="A83:F83"/>
    <mergeCell ref="A84:F84"/>
  </mergeCells>
  <printOptions horizontalCentered="1"/>
  <pageMargins left="0.19685039370078741" right="0.19685039370078741" top="0.19685039370078741" bottom="0.19685039370078741" header="0.19685039370078741" footer="0.23622047244094491"/>
  <pageSetup paperSize="9" scale="99" orientation="landscape" r:id="rId1"/>
  <headerFooter alignWithMargins="0"/>
  <rowBreaks count="1" manualBreakCount="1">
    <brk id="5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80" zoomScaleSheetLayoutView="100" workbookViewId="0">
      <selection activeCell="K16" sqref="K16"/>
    </sheetView>
  </sheetViews>
  <sheetFormatPr defaultRowHeight="15"/>
  <cols>
    <col min="1" max="1" width="4.5703125" style="283" customWidth="1"/>
    <col min="2" max="2" width="21.7109375" style="283" customWidth="1"/>
    <col min="3" max="3" width="67.28515625" style="526" customWidth="1"/>
    <col min="4" max="4" width="11.42578125" style="283" customWidth="1"/>
    <col min="5" max="8" width="15" style="283" customWidth="1"/>
    <col min="9" max="16384" width="9.140625" style="283"/>
  </cols>
  <sheetData>
    <row r="1" spans="1:9" ht="38.2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  <c r="I1" s="275"/>
    </row>
    <row r="2" spans="1:9" ht="18" customHeight="1">
      <c r="A2" s="1059" t="s">
        <v>248</v>
      </c>
      <c r="B2" s="1059"/>
      <c r="C2" s="1059"/>
      <c r="D2" s="1059"/>
      <c r="E2" s="1059"/>
      <c r="F2" s="1059"/>
      <c r="G2" s="1059"/>
      <c r="H2" s="1059"/>
      <c r="I2" s="282"/>
    </row>
    <row r="3" spans="1:9" ht="3" customHeight="1">
      <c r="A3" s="277"/>
      <c r="B3" s="276"/>
      <c r="C3" s="276"/>
      <c r="D3" s="276"/>
      <c r="E3" s="276"/>
      <c r="F3" s="276"/>
      <c r="G3" s="276"/>
      <c r="H3" s="276"/>
      <c r="I3" s="525"/>
    </row>
    <row r="4" spans="1:9" ht="17.25" customHeight="1">
      <c r="A4" s="1060" t="s">
        <v>229</v>
      </c>
      <c r="B4" s="1060"/>
      <c r="C4" s="1060"/>
      <c r="D4" s="1060"/>
      <c r="E4" s="1060"/>
      <c r="F4" s="1060"/>
      <c r="G4" s="1060"/>
      <c r="H4" s="1060"/>
      <c r="I4" s="275"/>
    </row>
    <row r="5" spans="1:9" ht="2.25" customHeight="1">
      <c r="A5" s="279"/>
      <c r="B5" s="279"/>
      <c r="C5" s="279"/>
      <c r="D5" s="279"/>
      <c r="E5" s="279"/>
      <c r="F5" s="279"/>
      <c r="G5" s="279"/>
      <c r="H5" s="279"/>
      <c r="I5" s="278"/>
    </row>
    <row r="6" spans="1:9" ht="21" customHeight="1">
      <c r="A6" s="279"/>
      <c r="B6" s="279"/>
      <c r="C6" s="1061" t="s">
        <v>230</v>
      </c>
      <c r="D6" s="1061"/>
      <c r="E6" s="1061"/>
      <c r="F6" s="1061"/>
      <c r="G6" s="280">
        <f>H26/1000</f>
        <v>912.08517695222395</v>
      </c>
      <c r="H6" s="281" t="s">
        <v>55</v>
      </c>
      <c r="I6" s="282"/>
    </row>
    <row r="7" spans="1:9" ht="21" customHeight="1">
      <c r="A7" s="1062" t="s">
        <v>0</v>
      </c>
      <c r="B7" s="1062" t="s">
        <v>5</v>
      </c>
      <c r="C7" s="1062" t="s">
        <v>6</v>
      </c>
      <c r="D7" s="986" t="s">
        <v>181</v>
      </c>
      <c r="E7" s="1062" t="s">
        <v>7</v>
      </c>
      <c r="F7" s="1062"/>
      <c r="G7" s="1062" t="s">
        <v>2</v>
      </c>
      <c r="H7" s="1062"/>
    </row>
    <row r="8" spans="1:9" ht="37.5" customHeight="1">
      <c r="A8" s="1062"/>
      <c r="B8" s="1062"/>
      <c r="C8" s="1062"/>
      <c r="D8" s="986"/>
      <c r="E8" s="284" t="s">
        <v>8</v>
      </c>
      <c r="F8" s="284" t="s">
        <v>9</v>
      </c>
      <c r="G8" s="284" t="s">
        <v>10</v>
      </c>
      <c r="H8" s="284" t="s">
        <v>1</v>
      </c>
    </row>
    <row r="9" spans="1:9" ht="20.25" customHeight="1">
      <c r="A9" s="285">
        <v>1</v>
      </c>
      <c r="B9" s="285">
        <v>2</v>
      </c>
      <c r="C9" s="285">
        <v>3</v>
      </c>
      <c r="D9" s="285">
        <v>4</v>
      </c>
      <c r="E9" s="285">
        <v>5</v>
      </c>
      <c r="F9" s="285">
        <v>6</v>
      </c>
      <c r="G9" s="285">
        <v>7</v>
      </c>
      <c r="H9" s="285">
        <v>8</v>
      </c>
    </row>
    <row r="10" spans="1:9" ht="48.75" customHeight="1">
      <c r="A10" s="1072">
        <v>1</v>
      </c>
      <c r="B10" s="1074" t="s">
        <v>663</v>
      </c>
      <c r="C10" s="296" t="s">
        <v>666</v>
      </c>
      <c r="D10" s="285" t="s">
        <v>53</v>
      </c>
      <c r="E10" s="773"/>
      <c r="F10" s="285">
        <f>F14*2+F15*1.5</f>
        <v>6009</v>
      </c>
      <c r="G10" s="773"/>
      <c r="H10" s="286">
        <f>H11+H14+H17+H15+H16+H12+H13</f>
        <v>606583.94736999995</v>
      </c>
    </row>
    <row r="11" spans="1:9" ht="18" customHeight="1">
      <c r="A11" s="1073"/>
      <c r="B11" s="1075"/>
      <c r="C11" s="299" t="s">
        <v>3</v>
      </c>
      <c r="D11" s="288" t="s">
        <v>46</v>
      </c>
      <c r="E11" s="771">
        <f>2.3*1.5</f>
        <v>3.4499999999999997</v>
      </c>
      <c r="F11" s="288">
        <f>E11*F10</f>
        <v>20731.05</v>
      </c>
      <c r="G11" s="300">
        <v>6</v>
      </c>
      <c r="H11" s="289">
        <f t="shared" ref="H11:H17" si="0">F11*G11</f>
        <v>124386.29999999999</v>
      </c>
    </row>
    <row r="12" spans="1:9" ht="18" customHeight="1">
      <c r="A12" s="1073"/>
      <c r="B12" s="1075"/>
      <c r="C12" s="544" t="s">
        <v>148</v>
      </c>
      <c r="D12" s="545" t="s">
        <v>47</v>
      </c>
      <c r="E12" s="778">
        <v>0.14399999999999999</v>
      </c>
      <c r="F12" s="288">
        <f>E12*F10</f>
        <v>865.29599999999994</v>
      </c>
      <c r="G12" s="779">
        <v>3.2</v>
      </c>
      <c r="H12" s="289">
        <f t="shared" si="0"/>
        <v>2768.9472000000001</v>
      </c>
    </row>
    <row r="13" spans="1:9" ht="18" customHeight="1">
      <c r="A13" s="1073"/>
      <c r="B13" s="1075"/>
      <c r="C13" s="544" t="s">
        <v>151</v>
      </c>
      <c r="D13" s="545" t="s">
        <v>53</v>
      </c>
      <c r="E13" s="778">
        <v>2.1399999999999999E-2</v>
      </c>
      <c r="F13" s="288">
        <f>E13*F10</f>
        <v>128.5926</v>
      </c>
      <c r="G13" s="289">
        <v>424.95</v>
      </c>
      <c r="H13" s="289">
        <f t="shared" si="0"/>
        <v>54645.425369999997</v>
      </c>
    </row>
    <row r="14" spans="1:9" ht="39" customHeight="1">
      <c r="A14" s="1073"/>
      <c r="B14" s="1075"/>
      <c r="C14" s="774" t="s">
        <v>231</v>
      </c>
      <c r="D14" s="290" t="s">
        <v>232</v>
      </c>
      <c r="E14" s="300"/>
      <c r="F14" s="291">
        <f>gabio!D18</f>
        <v>1788</v>
      </c>
      <c r="G14" s="772">
        <v>77.099999999999994</v>
      </c>
      <c r="H14" s="289">
        <f t="shared" si="0"/>
        <v>137854.79999999999</v>
      </c>
    </row>
    <row r="15" spans="1:9" ht="39.75" customHeight="1">
      <c r="A15" s="287"/>
      <c r="B15" s="776"/>
      <c r="C15" s="774" t="s">
        <v>233</v>
      </c>
      <c r="D15" s="290" t="s">
        <v>232</v>
      </c>
      <c r="E15" s="300"/>
      <c r="F15" s="291">
        <f>gabio!E18</f>
        <v>1622</v>
      </c>
      <c r="G15" s="772">
        <v>56.8</v>
      </c>
      <c r="H15" s="289">
        <f t="shared" si="0"/>
        <v>92129.599999999991</v>
      </c>
    </row>
    <row r="16" spans="1:9" ht="24.75" customHeight="1">
      <c r="A16" s="287"/>
      <c r="B16" s="776"/>
      <c r="C16" s="299" t="s">
        <v>234</v>
      </c>
      <c r="D16" s="288" t="s">
        <v>53</v>
      </c>
      <c r="E16" s="300">
        <v>1.04</v>
      </c>
      <c r="F16" s="289">
        <f>E16*F10</f>
        <v>6249.3600000000006</v>
      </c>
      <c r="G16" s="199">
        <f>კალკულაცია!J21</f>
        <v>29.88</v>
      </c>
      <c r="H16" s="289">
        <f t="shared" si="0"/>
        <v>186730.8768</v>
      </c>
    </row>
    <row r="17" spans="1:8" ht="21" customHeight="1">
      <c r="A17" s="292"/>
      <c r="B17" s="777"/>
      <c r="C17" s="297" t="s">
        <v>228</v>
      </c>
      <c r="D17" s="293" t="s">
        <v>49</v>
      </c>
      <c r="E17" s="298"/>
      <c r="F17" s="295">
        <f>gabio!F18</f>
        <v>2602.58</v>
      </c>
      <c r="G17" s="775">
        <v>3.1</v>
      </c>
      <c r="H17" s="295">
        <f t="shared" si="0"/>
        <v>8067.9979999999996</v>
      </c>
    </row>
    <row r="18" spans="1:8" ht="36.75" customHeight="1">
      <c r="A18" s="989">
        <v>2</v>
      </c>
      <c r="B18" s="1064" t="s">
        <v>158</v>
      </c>
      <c r="C18" s="31" t="s">
        <v>365</v>
      </c>
      <c r="D18" s="194" t="s">
        <v>53</v>
      </c>
      <c r="E18" s="18"/>
      <c r="F18" s="22">
        <f>gabio!H18</f>
        <v>4398.2000000000007</v>
      </c>
      <c r="G18" s="18"/>
      <c r="H18" s="19">
        <f>H20+H21+H19</f>
        <v>161164.51807800002</v>
      </c>
    </row>
    <row r="19" spans="1:8" ht="21" customHeight="1">
      <c r="A19" s="990"/>
      <c r="B19" s="1065"/>
      <c r="C19" s="195" t="s">
        <v>3</v>
      </c>
      <c r="D19" s="196" t="s">
        <v>46</v>
      </c>
      <c r="E19" s="197">
        <f>16.5/1000</f>
        <v>1.6500000000000001E-2</v>
      </c>
      <c r="F19" s="198">
        <f>E19*F18</f>
        <v>72.570300000000017</v>
      </c>
      <c r="G19" s="199">
        <v>6</v>
      </c>
      <c r="H19" s="200">
        <f>F19*G19</f>
        <v>435.42180000000008</v>
      </c>
    </row>
    <row r="20" spans="1:8" ht="21" customHeight="1">
      <c r="A20" s="990"/>
      <c r="B20" s="1065"/>
      <c r="C20" s="201" t="s">
        <v>172</v>
      </c>
      <c r="D20" s="196" t="s">
        <v>154</v>
      </c>
      <c r="E20" s="197">
        <v>3.6999999999999998E-2</v>
      </c>
      <c r="F20" s="198">
        <f>E20*F18</f>
        <v>162.73340000000002</v>
      </c>
      <c r="G20" s="199">
        <v>17.190000000000001</v>
      </c>
      <c r="H20" s="200">
        <f>F20*G20</f>
        <v>2797.3871460000005</v>
      </c>
    </row>
    <row r="21" spans="1:8" ht="21" customHeight="1">
      <c r="A21" s="193"/>
      <c r="B21" s="1066"/>
      <c r="C21" s="202" t="s">
        <v>368</v>
      </c>
      <c r="D21" s="203" t="s">
        <v>87</v>
      </c>
      <c r="E21" s="204">
        <v>1.22</v>
      </c>
      <c r="F21" s="205">
        <f>E21*F18</f>
        <v>5365.804000000001</v>
      </c>
      <c r="G21" s="206">
        <f>კალკულაცია!J20</f>
        <v>29.433</v>
      </c>
      <c r="H21" s="207">
        <f>F21*G21</f>
        <v>157931.70913200002</v>
      </c>
    </row>
    <row r="22" spans="1:8" ht="21" customHeight="1">
      <c r="A22" s="1067" t="s">
        <v>50</v>
      </c>
      <c r="B22" s="1068"/>
      <c r="C22" s="1068"/>
      <c r="D22" s="1068"/>
      <c r="E22" s="1068"/>
      <c r="F22" s="1068"/>
      <c r="G22" s="1069"/>
      <c r="H22" s="286">
        <f>H18+H10</f>
        <v>767748.465448</v>
      </c>
    </row>
    <row r="23" spans="1:8" ht="21" customHeight="1">
      <c r="A23" s="981" t="s">
        <v>372</v>
      </c>
      <c r="B23" s="982"/>
      <c r="C23" s="982"/>
      <c r="D23" s="982"/>
      <c r="E23" s="982"/>
      <c r="F23" s="982"/>
      <c r="G23" s="983"/>
      <c r="H23" s="28">
        <f>H22*0.1</f>
        <v>76774.846544800006</v>
      </c>
    </row>
    <row r="24" spans="1:8" ht="21" customHeight="1">
      <c r="A24" s="981" t="s">
        <v>68</v>
      </c>
      <c r="B24" s="982"/>
      <c r="C24" s="982"/>
      <c r="D24" s="982"/>
      <c r="E24" s="982"/>
      <c r="F24" s="982"/>
      <c r="G24" s="983"/>
      <c r="H24" s="28">
        <f>H23+H22</f>
        <v>844523.31199279998</v>
      </c>
    </row>
    <row r="25" spans="1:8" ht="21" customHeight="1">
      <c r="A25" s="981" t="s">
        <v>373</v>
      </c>
      <c r="B25" s="982"/>
      <c r="C25" s="982"/>
      <c r="D25" s="982"/>
      <c r="E25" s="982"/>
      <c r="F25" s="982"/>
      <c r="G25" s="983"/>
      <c r="H25" s="28">
        <f>H24*0.08</f>
        <v>67561.864959423998</v>
      </c>
    </row>
    <row r="26" spans="1:8" ht="21" customHeight="1">
      <c r="A26" s="1067" t="s">
        <v>52</v>
      </c>
      <c r="B26" s="1068"/>
      <c r="C26" s="1068"/>
      <c r="D26" s="1068"/>
      <c r="E26" s="1068"/>
      <c r="F26" s="1068"/>
      <c r="G26" s="1069"/>
      <c r="H26" s="286">
        <f>H25+H24</f>
        <v>912085.17695222399</v>
      </c>
    </row>
    <row r="27" spans="1:8" ht="27.75" customHeight="1">
      <c r="A27" s="301"/>
      <c r="B27" s="301"/>
      <c r="C27" s="1070"/>
      <c r="D27" s="1070"/>
      <c r="E27" s="302"/>
      <c r="F27" s="302"/>
      <c r="G27" s="1071"/>
      <c r="H27" s="1071"/>
    </row>
    <row r="28" spans="1:8" ht="16.5" customHeight="1">
      <c r="A28" s="1063" t="s">
        <v>149</v>
      </c>
      <c r="B28" s="1063"/>
      <c r="C28" s="1063"/>
      <c r="D28" s="1063"/>
      <c r="E28" s="1063"/>
      <c r="F28" s="1063"/>
      <c r="G28" s="1063"/>
      <c r="H28" s="1063"/>
    </row>
    <row r="29" spans="1:8" ht="16.5" customHeight="1">
      <c r="A29" s="303"/>
      <c r="B29" s="303"/>
      <c r="C29" s="303"/>
      <c r="D29" s="303"/>
      <c r="E29" s="303"/>
      <c r="F29" s="303"/>
      <c r="G29" s="303"/>
      <c r="H29" s="303"/>
    </row>
    <row r="30" spans="1:8" ht="16.5" customHeight="1">
      <c r="A30" s="303"/>
      <c r="B30" s="303"/>
      <c r="C30" s="303"/>
      <c r="D30" s="303"/>
      <c r="E30" s="303"/>
      <c r="F30" s="303"/>
      <c r="G30" s="303"/>
      <c r="H30" s="303"/>
    </row>
    <row r="31" spans="1:8" ht="16.5" customHeight="1">
      <c r="A31" s="303"/>
      <c r="B31" s="303"/>
      <c r="C31" s="303"/>
      <c r="D31" s="303"/>
      <c r="E31" s="303"/>
      <c r="F31" s="303"/>
      <c r="G31" s="303"/>
      <c r="H31" s="303"/>
    </row>
    <row r="32" spans="1:8" ht="12.75" customHeight="1">
      <c r="A32" s="303"/>
      <c r="B32" s="303"/>
      <c r="C32" s="303"/>
      <c r="D32" s="303"/>
      <c r="E32" s="303"/>
      <c r="F32" s="303"/>
      <c r="G32" s="303"/>
      <c r="H32" s="303"/>
    </row>
    <row r="33" spans="1:9" ht="12.75" customHeight="1">
      <c r="A33" s="303"/>
      <c r="B33" s="303"/>
      <c r="C33" s="303"/>
      <c r="D33" s="303"/>
      <c r="E33" s="303"/>
      <c r="F33" s="303"/>
      <c r="G33" s="303"/>
      <c r="H33" s="303"/>
    </row>
    <row r="34" spans="1:9" ht="15.75">
      <c r="A34" s="303"/>
      <c r="B34" s="303"/>
      <c r="C34" s="303"/>
      <c r="D34" s="303"/>
      <c r="E34" s="303"/>
      <c r="F34" s="303"/>
      <c r="G34" s="303"/>
      <c r="H34" s="303"/>
    </row>
    <row r="35" spans="1:9" ht="15.75">
      <c r="A35" s="303"/>
      <c r="B35" s="303"/>
      <c r="C35" s="303"/>
      <c r="D35" s="303"/>
      <c r="E35" s="303"/>
      <c r="F35" s="303"/>
      <c r="G35" s="303"/>
      <c r="H35" s="303"/>
    </row>
    <row r="36" spans="1:9" ht="15.75">
      <c r="A36" s="303"/>
      <c r="B36" s="303"/>
      <c r="C36" s="303"/>
      <c r="D36" s="303"/>
      <c r="E36" s="303"/>
      <c r="F36" s="303"/>
      <c r="G36" s="303"/>
      <c r="H36" s="303"/>
    </row>
    <row r="37" spans="1:9" ht="15.75">
      <c r="A37" s="303"/>
      <c r="B37" s="303"/>
      <c r="C37" s="303"/>
      <c r="D37" s="303"/>
      <c r="E37" s="303"/>
      <c r="F37" s="303"/>
      <c r="G37" s="303"/>
      <c r="H37" s="303"/>
    </row>
    <row r="38" spans="1:9" ht="15.75">
      <c r="A38" s="303"/>
      <c r="B38" s="303"/>
      <c r="C38" s="303"/>
      <c r="D38" s="303"/>
      <c r="E38" s="303"/>
      <c r="F38" s="303"/>
      <c r="G38" s="303"/>
      <c r="H38" s="303"/>
    </row>
    <row r="39" spans="1:9" ht="15.75">
      <c r="A39" s="303"/>
      <c r="B39" s="303"/>
      <c r="C39" s="303"/>
      <c r="D39" s="303"/>
      <c r="E39" s="303"/>
      <c r="F39" s="303"/>
      <c r="G39" s="303"/>
      <c r="H39" s="303"/>
    </row>
    <row r="40" spans="1:9" ht="15.75">
      <c r="A40" s="303"/>
      <c r="B40" s="303"/>
      <c r="C40" s="303"/>
      <c r="D40" s="303"/>
      <c r="E40" s="303"/>
      <c r="F40" s="303"/>
      <c r="G40" s="303"/>
      <c r="H40" s="303"/>
    </row>
    <row r="41" spans="1:9" ht="16.5">
      <c r="A41" s="303"/>
      <c r="B41" s="303"/>
      <c r="C41" s="303"/>
      <c r="D41" s="303"/>
      <c r="E41" s="303"/>
      <c r="F41" s="303"/>
      <c r="G41" s="303"/>
      <c r="H41" s="303"/>
      <c r="I41" s="304"/>
    </row>
    <row r="42" spans="1:9" ht="15.75">
      <c r="A42" s="303"/>
      <c r="B42" s="303"/>
      <c r="C42" s="303"/>
      <c r="D42" s="303"/>
      <c r="E42" s="303"/>
      <c r="F42" s="303"/>
      <c r="G42" s="303"/>
      <c r="H42" s="303"/>
    </row>
    <row r="43" spans="1:9" ht="15.75">
      <c r="A43" s="303"/>
      <c r="B43" s="303"/>
      <c r="C43" s="303"/>
      <c r="D43" s="303"/>
      <c r="E43" s="303"/>
      <c r="F43" s="303"/>
      <c r="G43" s="303"/>
      <c r="H43" s="303"/>
    </row>
    <row r="44" spans="1:9" ht="15.75">
      <c r="A44" s="303"/>
      <c r="B44" s="303"/>
      <c r="C44" s="303"/>
      <c r="D44" s="303"/>
      <c r="E44" s="303"/>
      <c r="F44" s="303"/>
      <c r="G44" s="303"/>
      <c r="H44" s="303"/>
    </row>
    <row r="45" spans="1:9" ht="15.75">
      <c r="A45" s="303"/>
      <c r="B45" s="303"/>
      <c r="C45" s="303"/>
      <c r="D45" s="303"/>
      <c r="E45" s="303"/>
      <c r="F45" s="303"/>
      <c r="G45" s="303"/>
      <c r="H45" s="303"/>
    </row>
    <row r="46" spans="1:9" ht="15.75">
      <c r="A46" s="303"/>
      <c r="B46" s="303"/>
      <c r="C46" s="303"/>
      <c r="D46" s="303"/>
      <c r="E46" s="303"/>
      <c r="F46" s="303"/>
      <c r="G46" s="303"/>
      <c r="H46" s="303"/>
    </row>
    <row r="47" spans="1:9" ht="15.75">
      <c r="A47" s="303"/>
      <c r="B47" s="303"/>
      <c r="C47" s="303"/>
      <c r="D47" s="303"/>
      <c r="E47" s="303"/>
      <c r="F47" s="303"/>
      <c r="G47" s="303"/>
      <c r="H47" s="303"/>
    </row>
    <row r="48" spans="1:9" ht="15.75">
      <c r="A48" s="303"/>
      <c r="B48" s="303"/>
      <c r="C48" s="303"/>
      <c r="D48" s="303"/>
      <c r="E48" s="303"/>
      <c r="F48" s="303"/>
      <c r="G48" s="303"/>
      <c r="H48" s="303"/>
    </row>
    <row r="49" spans="1:8" ht="15.75">
      <c r="A49" s="303"/>
      <c r="B49" s="303"/>
      <c r="C49" s="303"/>
      <c r="D49" s="303"/>
      <c r="E49" s="303"/>
      <c r="F49" s="303"/>
      <c r="G49" s="303"/>
      <c r="H49" s="303"/>
    </row>
    <row r="50" spans="1:8" ht="15.75">
      <c r="A50" s="303"/>
      <c r="B50" s="303"/>
      <c r="C50" s="303"/>
      <c r="D50" s="303"/>
      <c r="E50" s="303"/>
      <c r="F50" s="303"/>
      <c r="G50" s="303"/>
      <c r="H50" s="303"/>
    </row>
    <row r="51" spans="1:8" ht="15.75">
      <c r="A51" s="303"/>
      <c r="B51" s="303"/>
      <c r="C51" s="303"/>
      <c r="D51" s="303"/>
      <c r="E51" s="303"/>
      <c r="F51" s="303"/>
      <c r="G51" s="303"/>
      <c r="H51" s="303"/>
    </row>
    <row r="52" spans="1:8" ht="15.75">
      <c r="A52" s="303"/>
      <c r="B52" s="303"/>
      <c r="C52" s="303"/>
      <c r="D52" s="303"/>
      <c r="E52" s="303"/>
      <c r="F52" s="303"/>
      <c r="G52" s="303"/>
      <c r="H52" s="303"/>
    </row>
    <row r="53" spans="1:8" ht="15.75">
      <c r="A53" s="303"/>
      <c r="B53" s="303"/>
      <c r="C53" s="303"/>
      <c r="D53" s="303"/>
      <c r="E53" s="303"/>
      <c r="F53" s="303"/>
      <c r="G53" s="303"/>
      <c r="H53" s="303"/>
    </row>
    <row r="54" spans="1:8" ht="15.75">
      <c r="A54" s="303"/>
      <c r="B54" s="303"/>
      <c r="C54" s="303"/>
      <c r="D54" s="303"/>
      <c r="E54" s="303"/>
      <c r="F54" s="303"/>
      <c r="G54" s="303"/>
      <c r="H54" s="303"/>
    </row>
    <row r="55" spans="1:8" ht="15.75">
      <c r="A55" s="303"/>
      <c r="B55" s="303"/>
      <c r="C55" s="303"/>
      <c r="D55" s="303"/>
      <c r="E55" s="303"/>
      <c r="F55" s="303"/>
      <c r="G55" s="303"/>
      <c r="H55" s="303"/>
    </row>
    <row r="56" spans="1:8" ht="15.75">
      <c r="A56" s="303"/>
      <c r="B56" s="303"/>
      <c r="C56" s="303"/>
      <c r="D56" s="303"/>
      <c r="E56" s="303"/>
      <c r="F56" s="303"/>
      <c r="G56" s="303"/>
      <c r="H56" s="303"/>
    </row>
    <row r="57" spans="1:8" ht="15.75">
      <c r="A57" s="303"/>
      <c r="B57" s="303"/>
      <c r="C57" s="303"/>
      <c r="D57" s="303"/>
      <c r="E57" s="303"/>
      <c r="F57" s="303"/>
      <c r="G57" s="303"/>
      <c r="H57" s="303"/>
    </row>
  </sheetData>
  <mergeCells count="22">
    <mergeCell ref="A10:A14"/>
    <mergeCell ref="B10:B14"/>
    <mergeCell ref="C7:C8"/>
    <mergeCell ref="G7:H7"/>
    <mergeCell ref="A28:H28"/>
    <mergeCell ref="A18:A20"/>
    <mergeCell ref="B18:B21"/>
    <mergeCell ref="A22:G22"/>
    <mergeCell ref="A23:G23"/>
    <mergeCell ref="A26:G26"/>
    <mergeCell ref="A24:G24"/>
    <mergeCell ref="C27:D27"/>
    <mergeCell ref="G27:H27"/>
    <mergeCell ref="A25:G25"/>
    <mergeCell ref="A1:H1"/>
    <mergeCell ref="A2:H2"/>
    <mergeCell ref="A4:H4"/>
    <mergeCell ref="C6:F6"/>
    <mergeCell ref="A7:A8"/>
    <mergeCell ref="E7:F7"/>
    <mergeCell ref="B7:B8"/>
    <mergeCell ref="D7:D8"/>
  </mergeCells>
  <printOptions horizontalCentered="1"/>
  <pageMargins left="0.31496062992125984" right="0.31496062992125984" top="0.35433070866141736" bottom="0.23622047244094491" header="0.23622047244094491" footer="0.19685039370078741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3"/>
  <sheetViews>
    <sheetView view="pageBreakPreview" zoomScale="85" zoomScaleNormal="100" zoomScaleSheetLayoutView="85" workbookViewId="0">
      <selection activeCell="K16" sqref="K16"/>
    </sheetView>
  </sheetViews>
  <sheetFormatPr defaultRowHeight="14.25"/>
  <cols>
    <col min="1" max="1" width="3.85546875" style="513" customWidth="1"/>
    <col min="2" max="2" width="66" style="513" customWidth="1"/>
    <col min="3" max="3" width="8.5703125" style="513" customWidth="1"/>
    <col min="4" max="4" width="9.140625" style="513" customWidth="1"/>
    <col min="5" max="5" width="13.42578125" style="513" customWidth="1"/>
    <col min="6" max="16384" width="9.140625" style="513"/>
  </cols>
  <sheetData>
    <row r="1" spans="1:5" ht="54" customHeight="1">
      <c r="A1" s="835" t="s">
        <v>585</v>
      </c>
      <c r="B1" s="814"/>
      <c r="C1" s="814"/>
      <c r="D1" s="814"/>
      <c r="E1" s="814"/>
    </row>
    <row r="2" spans="1:5" ht="18" customHeight="1">
      <c r="A2" s="814" t="s">
        <v>136</v>
      </c>
      <c r="B2" s="814"/>
      <c r="C2" s="814"/>
      <c r="D2" s="814"/>
      <c r="E2" s="814"/>
    </row>
    <row r="3" spans="1:5" ht="3" customHeight="1">
      <c r="A3" s="815"/>
      <c r="B3" s="816"/>
      <c r="C3" s="816"/>
      <c r="D3" s="816"/>
      <c r="E3" s="816"/>
    </row>
    <row r="4" spans="1:5" ht="1.5" customHeight="1">
      <c r="A4" s="514"/>
      <c r="B4" s="514"/>
      <c r="C4" s="514"/>
      <c r="D4" s="514"/>
      <c r="E4" s="514"/>
    </row>
    <row r="5" spans="1:5" ht="30.75" customHeight="1">
      <c r="A5" s="635" t="s">
        <v>0</v>
      </c>
      <c r="B5" s="635" t="s">
        <v>6</v>
      </c>
      <c r="C5" s="635" t="s">
        <v>137</v>
      </c>
      <c r="D5" s="635" t="s">
        <v>138</v>
      </c>
      <c r="E5" s="635" t="s">
        <v>139</v>
      </c>
    </row>
    <row r="6" spans="1:5" ht="15.75" customHeight="1">
      <c r="A6" s="635">
        <v>1</v>
      </c>
      <c r="B6" s="636">
        <v>2</v>
      </c>
      <c r="C6" s="637">
        <v>3</v>
      </c>
      <c r="D6" s="637">
        <v>4</v>
      </c>
      <c r="E6" s="637">
        <v>5</v>
      </c>
    </row>
    <row r="7" spans="1:5" ht="18" customHeight="1">
      <c r="A7" s="129" t="s">
        <v>140</v>
      </c>
      <c r="B7" s="823" t="s">
        <v>677</v>
      </c>
      <c r="C7" s="824"/>
      <c r="D7" s="824"/>
      <c r="E7" s="825"/>
    </row>
    <row r="8" spans="1:5" ht="23.25" customHeight="1">
      <c r="A8" s="8"/>
      <c r="B8" s="171" t="s">
        <v>535</v>
      </c>
      <c r="C8" s="512" t="s">
        <v>176</v>
      </c>
      <c r="D8" s="515">
        <f>xarjtar!D8</f>
        <v>547</v>
      </c>
      <c r="E8" s="605"/>
    </row>
    <row r="9" spans="1:5" ht="30.75" customHeight="1">
      <c r="A9" s="8"/>
      <c r="B9" s="171" t="str">
        <f>დემონტაჯი!C13</f>
        <v xml:space="preserve">gzis ganTvisebis zolis gaTavisufleba xe-buCqnarisagan, xis fesvebis amoZirkva da gatana  </v>
      </c>
      <c r="C9" s="512" t="str">
        <f>დემონტაჯი!D13</f>
        <v>ha</v>
      </c>
      <c r="D9" s="515">
        <f>დემონტაჯი!F13</f>
        <v>2.19</v>
      </c>
      <c r="E9" s="512"/>
    </row>
    <row r="10" spans="1:5" ht="20.25" customHeight="1">
      <c r="A10" s="516">
        <v>2</v>
      </c>
      <c r="B10" s="517" t="s">
        <v>60</v>
      </c>
      <c r="C10" s="510"/>
      <c r="D10" s="9"/>
      <c r="E10" s="518"/>
    </row>
    <row r="11" spans="1:5" ht="21.75" customHeight="1">
      <c r="A11" s="839" t="s">
        <v>141</v>
      </c>
      <c r="B11" s="823" t="s">
        <v>214</v>
      </c>
      <c r="C11" s="824"/>
      <c r="D11" s="824"/>
      <c r="E11" s="825"/>
    </row>
    <row r="12" spans="1:5" ht="40.5" customHeight="1">
      <c r="A12" s="840"/>
      <c r="B12" s="171" t="s">
        <v>569</v>
      </c>
      <c r="C12" s="174" t="s">
        <v>165</v>
      </c>
      <c r="D12" s="221">
        <f>xarjtar!D12</f>
        <v>67337</v>
      </c>
      <c r="E12" s="582"/>
    </row>
    <row r="13" spans="1:5" ht="34.5" customHeight="1">
      <c r="A13" s="519"/>
      <c r="B13" s="511" t="str">
        <f>xarjtar!B13</f>
        <v>maT Soris kldovani gruntis gafxviereba eqskavatoris bazaze damontaJebuli sangrevi CaquCebiT "kodala"</v>
      </c>
      <c r="C13" s="174" t="s">
        <v>165</v>
      </c>
      <c r="D13" s="10">
        <f>xarjtar!D13</f>
        <v>1163</v>
      </c>
      <c r="E13" s="582"/>
    </row>
    <row r="14" spans="1:5" ht="33" customHeight="1">
      <c r="A14" s="519"/>
      <c r="B14" s="171" t="str">
        <f>'მიწის ვაკისი'!C18</f>
        <v>damuSavebuli gruntis eqskavatoriT muxluxa svlaze V-1.0m3 datvirTva avtoTviTmclelebze</v>
      </c>
      <c r="C14" s="174" t="s">
        <v>165</v>
      </c>
      <c r="D14" s="10">
        <f>D12-D13</f>
        <v>66174</v>
      </c>
      <c r="E14" s="10" t="s">
        <v>402</v>
      </c>
    </row>
    <row r="15" spans="1:5" ht="31.5" customHeight="1">
      <c r="A15" s="519"/>
      <c r="B15" s="171" t="str">
        <f>'მიწის ვაკისი'!C23</f>
        <v xml:space="preserve">miwis vakisze yrilis mowyoba, kldovani qanebis balastis Cayra, mosworeba </v>
      </c>
      <c r="C15" s="129" t="s">
        <v>165</v>
      </c>
      <c r="D15" s="10">
        <f>'მიწის ვაკისი'!F23</f>
        <v>12087.2</v>
      </c>
      <c r="E15" s="129"/>
    </row>
    <row r="16" spans="1:5" ht="31.5" customHeight="1">
      <c r="A16" s="519"/>
      <c r="B16" s="171" t="str">
        <f>'მიწის ვაკისი'!C27</f>
        <v>miwis vakisis datkepna satkepniT 30 sm-ian fenebad 
vibrosatkepnis 6 gavliT kvalze (k=1.22)</v>
      </c>
      <c r="C16" s="129" t="s">
        <v>165</v>
      </c>
      <c r="D16" s="10">
        <f>'მიწის ვაკისი'!F27</f>
        <v>14746.384</v>
      </c>
      <c r="E16" s="129"/>
    </row>
    <row r="17" spans="1:7" ht="63" customHeight="1">
      <c r="A17" s="519"/>
      <c r="B17" s="611" t="s">
        <v>525</v>
      </c>
      <c r="C17" s="129" t="s">
        <v>166</v>
      </c>
      <c r="D17" s="221">
        <f>xarjtar!D18</f>
        <v>8230</v>
      </c>
      <c r="E17" s="129"/>
    </row>
    <row r="18" spans="1:7" ht="21" customHeight="1">
      <c r="A18" s="11" t="s">
        <v>142</v>
      </c>
      <c r="B18" s="823" t="s">
        <v>517</v>
      </c>
      <c r="C18" s="824"/>
      <c r="D18" s="824"/>
      <c r="E18" s="825"/>
    </row>
    <row r="19" spans="1:7" ht="35.25" customHeight="1">
      <c r="A19" s="12"/>
      <c r="B19" s="171" t="str">
        <f>'რკ.ბეტონის კიუვეტი'!C8</f>
        <v>III jg gruntebis damuSaveba arxis Txrilis mosawyobad eqskavatoriT V-1.0 m3 datvirTviT avtoTviTmcvlelebze</v>
      </c>
      <c r="C19" s="129" t="s">
        <v>165</v>
      </c>
      <c r="D19" s="10">
        <f>'რკ.ბეტონის კიუვეტი'!F8</f>
        <v>348</v>
      </c>
      <c r="E19" s="832" t="s">
        <v>402</v>
      </c>
    </row>
    <row r="20" spans="1:7" ht="21" customHeight="1">
      <c r="A20" s="12"/>
      <c r="B20" s="171" t="str">
        <f>'რკ.ბეტონის კიუვეტი'!C12</f>
        <v xml:space="preserve">III jg. gruntis damuSaveba xeliT </v>
      </c>
      <c r="C20" s="129" t="s">
        <v>165</v>
      </c>
      <c r="D20" s="10">
        <f>'რკ.ბეტონის კიუვეტი'!F12</f>
        <v>24.700000000000003</v>
      </c>
      <c r="E20" s="833"/>
    </row>
    <row r="21" spans="1:7" ht="34.5" customHeight="1">
      <c r="A21" s="12"/>
      <c r="B21" s="511" t="str">
        <f>'რკ.ბეტონის კიუვეტი'!C14</f>
        <v>kldovani gruntis gafxviereba eqskavatoris bazaze damontaJebuli sangrevi CaquCebiT "kodala"</v>
      </c>
      <c r="C21" s="129" t="s">
        <v>165</v>
      </c>
      <c r="D21" s="10">
        <f>'რკ.ბეტონის კიუვეტი'!F14</f>
        <v>7</v>
      </c>
      <c r="E21" s="834"/>
    </row>
    <row r="22" spans="1:7" ht="22.5" customHeight="1">
      <c r="A22" s="12"/>
      <c r="B22" s="171" t="str">
        <f>'რკ.ბეტონის კიუვეტი'!C18</f>
        <v>anakrebi rk.betonis arxis mowyoba kveTiT 0.8X1.2m</v>
      </c>
      <c r="C22" s="509" t="s">
        <v>176</v>
      </c>
      <c r="D22" s="10">
        <f>'რკ.ბეტონის კიუვეტი'!F18</f>
        <v>290</v>
      </c>
      <c r="E22" s="510"/>
    </row>
    <row r="23" spans="1:7" ht="22.5" customHeight="1">
      <c r="A23" s="12"/>
      <c r="B23" s="171" t="str">
        <f>'რკ.ბეტონის კიუვეტი'!C24</f>
        <v>gadaxurvis rk.betonis monoliTuri filis mowyoba</v>
      </c>
      <c r="C23" s="129" t="s">
        <v>165</v>
      </c>
      <c r="D23" s="10">
        <f>xarjtar!D26</f>
        <v>8.960000000000008</v>
      </c>
      <c r="E23" s="510"/>
    </row>
    <row r="24" spans="1:7" ht="22.5" customHeight="1">
      <c r="A24" s="12"/>
      <c r="B24" s="171" t="str">
        <f>'რკ.ბეტონის კიუვეტი'!C30</f>
        <v>orfeniani hidroizolacia bitumiT</v>
      </c>
      <c r="C24" s="129" t="s">
        <v>166</v>
      </c>
      <c r="D24" s="10">
        <f>'რკ.ბეტონის კიუვეტი'!F30</f>
        <v>1044</v>
      </c>
      <c r="E24" s="510"/>
    </row>
    <row r="25" spans="1:7" ht="29.25" customHeight="1">
      <c r="A25" s="12"/>
      <c r="B25" s="171" t="str">
        <f>xarjtar!B28</f>
        <v>axali saniaRvre Wis oTxkuTxa cxauris montaJi CarCoTi 600X600</v>
      </c>
      <c r="C25" s="129" t="s">
        <v>232</v>
      </c>
      <c r="D25" s="10">
        <f>xarjtar!D28</f>
        <v>11</v>
      </c>
      <c r="E25" s="510"/>
    </row>
    <row r="26" spans="1:7" ht="30" customHeight="1">
      <c r="A26" s="520"/>
      <c r="B26" s="172" t="str">
        <f>'რკ.ბეტონის კიუვეტი'!C40</f>
        <v xml:space="preserve">Txrilis Sevseba eqskavatoriT, kldovani qanebis balastiT, Cayra da mosworeba </v>
      </c>
      <c r="C26" s="129" t="s">
        <v>165</v>
      </c>
      <c r="D26" s="221">
        <f>'რკ.ბეტონის კიუვეტი'!F40</f>
        <v>203</v>
      </c>
      <c r="E26" s="527"/>
    </row>
    <row r="27" spans="1:7" ht="19.5" customHeight="1">
      <c r="A27" s="11" t="s">
        <v>174</v>
      </c>
      <c r="B27" s="823" t="s">
        <v>388</v>
      </c>
      <c r="C27" s="824"/>
      <c r="D27" s="824"/>
      <c r="E27" s="825"/>
    </row>
    <row r="28" spans="1:7" ht="33.75" customHeight="1">
      <c r="A28" s="12"/>
      <c r="B28" s="171" t="str">
        <f>'რკ.ბეტონის კიუვეტი (2)'!C8</f>
        <v>III jg gruntebis damuSaveba kiuvetebSi eqskavatoriT V-1.0 m3 datvirTviT avtoTviTmcvlelebze</v>
      </c>
      <c r="C28" s="129" t="s">
        <v>165</v>
      </c>
      <c r="D28" s="10">
        <f>'რკ.ბეტონის კიუვეტი (2)'!F8</f>
        <v>328</v>
      </c>
      <c r="E28" s="832" t="s">
        <v>402</v>
      </c>
    </row>
    <row r="29" spans="1:7" ht="21.75" customHeight="1">
      <c r="A29" s="12"/>
      <c r="B29" s="171" t="str">
        <f>'რკ.ბეტონის კიუვეტი (2)'!C12</f>
        <v xml:space="preserve">III jg. gruntis damuSaveba xeliT </v>
      </c>
      <c r="C29" s="129" t="s">
        <v>165</v>
      </c>
      <c r="D29" s="10">
        <f>'რკ.ბეტონის კიუვეტი (2)'!F12</f>
        <v>33</v>
      </c>
      <c r="E29" s="837"/>
    </row>
    <row r="30" spans="1:7" ht="32.25" customHeight="1">
      <c r="A30" s="12"/>
      <c r="B30" s="511" t="str">
        <f>'რკ.ბეტონის კიუვეტი (2)'!C14</f>
        <v>kldovani gruntis gafxviereba eqskavatoris bazaze damontaJebuli sangrevi CaquCebiT "kodala"</v>
      </c>
      <c r="C30" s="129" t="s">
        <v>165</v>
      </c>
      <c r="D30" s="10">
        <f>'რკ.ბეტონის კიუვეტი (2)'!F14</f>
        <v>15</v>
      </c>
      <c r="E30" s="510"/>
    </row>
    <row r="31" spans="1:7" ht="22.5" customHeight="1">
      <c r="A31" s="12"/>
      <c r="B31" s="171" t="str">
        <f>'რკ.ბეტონის კიუვეტი (2)'!C18</f>
        <v>anakrebi rk.betonis kiuvetebis mowyoba kveTiT 0,4X0,4m</v>
      </c>
      <c r="C31" s="509" t="s">
        <v>176</v>
      </c>
      <c r="D31" s="10">
        <f>'რკ.ბეტონის კიუვეტი (2)'!F18</f>
        <v>648</v>
      </c>
      <c r="E31" s="510"/>
      <c r="G31" s="521"/>
    </row>
    <row r="32" spans="1:7" ht="22.5" customHeight="1">
      <c r="A32" s="12"/>
      <c r="B32" s="171" t="str">
        <f>'რკ.ბეტონის კიუვეტი (2)'!C24</f>
        <v>orfeniani hidroizolacia bitumiT</v>
      </c>
      <c r="C32" s="129" t="s">
        <v>166</v>
      </c>
      <c r="D32" s="10">
        <f>'რკ.ბეტონის კიუვეტი (2)'!F24</f>
        <v>1183.5999999999999</v>
      </c>
      <c r="E32" s="510"/>
    </row>
    <row r="33" spans="1:5" ht="22.5" customHeight="1">
      <c r="A33" s="12"/>
      <c r="B33" s="647" t="s">
        <v>518</v>
      </c>
      <c r="C33" s="607" t="s">
        <v>165</v>
      </c>
      <c r="D33" s="610">
        <f>'rk.kiu (3)'!E16</f>
        <v>2.04</v>
      </c>
      <c r="E33" s="510"/>
    </row>
    <row r="34" spans="1:5" ht="22.5" customHeight="1">
      <c r="A34" s="12"/>
      <c r="B34" s="611" t="str">
        <f>'რკ.ბეტონის კიუვეტი (2)'!C40</f>
        <v>rk/betonis Webis armatura calkeuli Reroebisagan</v>
      </c>
      <c r="C34" s="607" t="s">
        <v>54</v>
      </c>
      <c r="D34" s="610">
        <f>'rk.kiu (3)'!E17/1000</f>
        <v>0.15419999999999998</v>
      </c>
      <c r="E34" s="510"/>
    </row>
    <row r="35" spans="1:5" ht="30" customHeight="1">
      <c r="A35" s="12"/>
      <c r="B35" s="172" t="str">
        <f>xarjtar!B40</f>
        <v>axali saniaRvre Wis oTxkuTxa cxauris montaJi CarCoTi 500X500</v>
      </c>
      <c r="C35" s="644" t="s">
        <v>232</v>
      </c>
      <c r="D35" s="645">
        <v>3</v>
      </c>
      <c r="E35" s="510"/>
    </row>
    <row r="36" spans="1:5" ht="30" customHeight="1">
      <c r="A36" s="12"/>
      <c r="B36" s="172" t="str">
        <f>xarjtar!B41</f>
        <v>Ria arxze liTonis cxaurebis mowyoba 40 grZ.m (kuTxovana 80X80X8mm, Sveleri #6.5, armatura ф-22mm a-III)</v>
      </c>
      <c r="C36" s="645" t="s">
        <v>54</v>
      </c>
      <c r="D36" s="684">
        <f>xarjtar!D41</f>
        <v>1.73</v>
      </c>
      <c r="E36" s="510"/>
    </row>
    <row r="37" spans="1:5" ht="30.75" customHeight="1">
      <c r="A37" s="520"/>
      <c r="B37" s="172" t="str">
        <f>'რკ.ბეტონის კიუვეტი (2)'!C57</f>
        <v xml:space="preserve">Txrilis Sevseba eqskavatoriT, kldovani qanebis balastiT, Cayra da mosworeba </v>
      </c>
      <c r="C37" s="129" t="s">
        <v>165</v>
      </c>
      <c r="D37" s="221">
        <f>'რკ.ბეტონის კიუვეტი (2)'!F57</f>
        <v>194.4</v>
      </c>
      <c r="E37" s="527"/>
    </row>
    <row r="38" spans="1:5" ht="20.25" customHeight="1">
      <c r="A38" s="516">
        <v>3</v>
      </c>
      <c r="B38" s="517" t="s">
        <v>143</v>
      </c>
      <c r="C38" s="509"/>
      <c r="D38" s="9"/>
      <c r="E38" s="518"/>
    </row>
    <row r="39" spans="1:5" ht="18.75" customHeight="1">
      <c r="A39" s="11" t="s">
        <v>141</v>
      </c>
      <c r="B39" s="825" t="s">
        <v>674</v>
      </c>
      <c r="C39" s="836"/>
      <c r="D39" s="836"/>
      <c r="E39" s="836"/>
    </row>
    <row r="40" spans="1:5" ht="33" customHeight="1">
      <c r="A40" s="8"/>
      <c r="B40" s="179" t="str">
        <f>mili!B8</f>
        <v>Txrilis mowyoba III jg gruntebis damuSaveba eqskavatoriT V-1.0 m3 datvirTva avtotTviTmclelebze</v>
      </c>
      <c r="C40" s="129" t="s">
        <v>165</v>
      </c>
      <c r="D40" s="221">
        <f>mili!H8</f>
        <v>120.46</v>
      </c>
      <c r="E40" s="826" t="s">
        <v>402</v>
      </c>
    </row>
    <row r="41" spans="1:5" ht="21" customHeight="1">
      <c r="A41" s="8"/>
      <c r="B41" s="215" t="str">
        <f>mili!B9</f>
        <v xml:space="preserve">III jg. gruntis damuSaveba xeliT </v>
      </c>
      <c r="C41" s="129" t="s">
        <v>165</v>
      </c>
      <c r="D41" s="221">
        <f>mili!H9</f>
        <v>13</v>
      </c>
      <c r="E41" s="827"/>
    </row>
    <row r="42" spans="1:5" ht="21" customHeight="1">
      <c r="A42" s="8"/>
      <c r="B42" s="179" t="str">
        <f>mili!B10</f>
        <v>qvabulis damuSaveba sangrevi CaquCiT V jg. gruntebSi</v>
      </c>
      <c r="C42" s="129" t="s">
        <v>165</v>
      </c>
      <c r="D42" s="221">
        <f>mili!H10</f>
        <v>3.5</v>
      </c>
      <c r="E42" s="828"/>
    </row>
    <row r="43" spans="1:5" ht="21" customHeight="1">
      <c r="A43" s="8"/>
      <c r="B43" s="180" t="str">
        <f>mili!B12</f>
        <v xml:space="preserve">xreSovani baliSis mowyoba </v>
      </c>
      <c r="C43" s="129" t="s">
        <v>165</v>
      </c>
      <c r="D43" s="221">
        <f>mili!H12</f>
        <v>9.0300000000000011</v>
      </c>
      <c r="E43" s="129"/>
    </row>
    <row r="44" spans="1:5" ht="33" customHeight="1">
      <c r="A44" s="8"/>
      <c r="B44" s="654" t="str">
        <f>xarjtar!B50</f>
        <v>wyalgamtari liTonis milebis mowyoba d-0.5m 
1grZ.m-62.4kg 2 adgilze</v>
      </c>
      <c r="C44" s="129" t="str">
        <f>C45</f>
        <v>grZ.m</v>
      </c>
      <c r="D44" s="221">
        <f>xarjtar!D50</f>
        <v>30</v>
      </c>
      <c r="E44" s="129"/>
    </row>
    <row r="45" spans="1:5" ht="23.25" customHeight="1">
      <c r="A45" s="8"/>
      <c r="B45" s="181" t="str">
        <f>mili!B13</f>
        <v xml:space="preserve">wyalgamtari liTonis d=1.2m milis montaJi </v>
      </c>
      <c r="C45" s="129" t="s">
        <v>176</v>
      </c>
      <c r="D45" s="221">
        <f>mili!H13</f>
        <v>43</v>
      </c>
      <c r="E45" s="129"/>
    </row>
    <row r="46" spans="1:5" ht="23.25" customHeight="1">
      <c r="A46" s="8"/>
      <c r="B46" s="182" t="s">
        <v>568</v>
      </c>
      <c r="C46" s="129" t="s">
        <v>165</v>
      </c>
      <c r="D46" s="310">
        <f>'მილი 1.0'!F34*100</f>
        <v>11.6</v>
      </c>
      <c r="E46" s="217" t="s">
        <v>341</v>
      </c>
    </row>
    <row r="47" spans="1:5" ht="21" customHeight="1">
      <c r="A47" s="8"/>
      <c r="B47" s="182" t="str">
        <f>'მილი 1.0'!C45</f>
        <v>rk/betonis saTavisis armatura calkeuli Reroebisagan</v>
      </c>
      <c r="C47" s="129" t="s">
        <v>165</v>
      </c>
      <c r="D47" s="310">
        <f>'მილი 1.0'!F45*100</f>
        <v>0.82399999999999995</v>
      </c>
      <c r="E47" s="217" t="s">
        <v>341</v>
      </c>
    </row>
    <row r="48" spans="1:5" ht="21" customHeight="1">
      <c r="A48" s="8"/>
      <c r="B48" s="606" t="s">
        <v>518</v>
      </c>
      <c r="C48" s="607" t="s">
        <v>165</v>
      </c>
      <c r="D48" s="221">
        <f>xarjtar!D54</f>
        <v>10.23</v>
      </c>
      <c r="E48" s="217"/>
    </row>
    <row r="49" spans="1:5" ht="21" customHeight="1">
      <c r="A49" s="8"/>
      <c r="B49" s="497" t="str">
        <f>xarjtar!B55</f>
        <v>rk/betonis Webis armatura calkeuli Reroebisagan</v>
      </c>
      <c r="C49" s="607" t="s">
        <v>54</v>
      </c>
      <c r="D49" s="310">
        <f>xarjtar!D55</f>
        <v>0.47800000000000004</v>
      </c>
      <c r="E49" s="217"/>
    </row>
    <row r="50" spans="1:5" ht="24" customHeight="1">
      <c r="A50" s="8"/>
      <c r="B50" s="181" t="str">
        <f>'მილი 1.0'!C68</f>
        <v>milebis orfeniani hidroizolacia bitumiT</v>
      </c>
      <c r="C50" s="129" t="s">
        <v>166</v>
      </c>
      <c r="D50" s="221">
        <f>'მილი 1.0'!F68</f>
        <v>135.01999999999998</v>
      </c>
      <c r="E50" s="217"/>
    </row>
    <row r="51" spans="1:5" ht="21" customHeight="1">
      <c r="A51" s="8"/>
      <c r="B51" s="181" t="str">
        <f>'მილი 1.0'!C73</f>
        <v>qvis risbermis mowyoba</v>
      </c>
      <c r="C51" s="129" t="s">
        <v>165</v>
      </c>
      <c r="D51" s="221">
        <f>'მილი 1.0'!F73</f>
        <v>39</v>
      </c>
      <c r="E51" s="217"/>
    </row>
    <row r="52" spans="1:5" ht="32.25" customHeight="1">
      <c r="A52" s="8"/>
      <c r="B52" s="181" t="str">
        <f>'მილი 1.0'!C77</f>
        <v xml:space="preserve">Txrilis Sevseba eqskavatoriT, kldovani qanebis balastiT, Cayra da mosworeba </v>
      </c>
      <c r="C52" s="129" t="s">
        <v>165</v>
      </c>
      <c r="D52" s="221">
        <f>mili!H22</f>
        <v>56.599999999999994</v>
      </c>
      <c r="E52" s="129"/>
    </row>
    <row r="53" spans="1:5" ht="22.5" customHeight="1">
      <c r="A53" s="9" t="s">
        <v>142</v>
      </c>
      <c r="B53" s="829" t="s">
        <v>325</v>
      </c>
      <c r="C53" s="830"/>
      <c r="D53" s="830"/>
      <c r="E53" s="831"/>
    </row>
    <row r="54" spans="1:5" ht="32.25" customHeight="1">
      <c r="A54" s="8"/>
      <c r="B54" s="182" t="str">
        <f>'მილი (2X2)'!C10</f>
        <v>III jg gruntebis damuSaveba eqskavatoriT V-1.0 m3 datvirTviT avtoTviTmcvlelebze</v>
      </c>
      <c r="C54" s="129" t="s">
        <v>165</v>
      </c>
      <c r="D54" s="221">
        <f>'მილი (2X2)'!F10</f>
        <v>80</v>
      </c>
      <c r="E54" s="826" t="s">
        <v>402</v>
      </c>
    </row>
    <row r="55" spans="1:5" ht="22.5" customHeight="1">
      <c r="A55" s="8"/>
      <c r="B55" s="182" t="str">
        <f>'მილი (2X2)'!C14</f>
        <v xml:space="preserve">III jg. gruntis damuSaveba xeliT </v>
      </c>
      <c r="C55" s="129" t="s">
        <v>165</v>
      </c>
      <c r="D55" s="221">
        <f>'მილი (2X2)'!F14</f>
        <v>15</v>
      </c>
      <c r="E55" s="827"/>
    </row>
    <row r="56" spans="1:5" ht="22.5" customHeight="1">
      <c r="A56" s="8"/>
      <c r="B56" s="182" t="str">
        <f>'მილი (2X2)'!C17</f>
        <v>RorRis sagebi milis qveS</v>
      </c>
      <c r="C56" s="129" t="s">
        <v>165</v>
      </c>
      <c r="D56" s="221">
        <f>'მილი (2X2)'!F17</f>
        <v>53</v>
      </c>
      <c r="E56" s="129"/>
    </row>
    <row r="57" spans="1:5" ht="32.25" customHeight="1">
      <c r="A57" s="8"/>
      <c r="B57" s="453" t="s">
        <v>337</v>
      </c>
      <c r="C57" s="129" t="s">
        <v>165</v>
      </c>
      <c r="D57" s="221">
        <f>'მილი (2X2)'!F21</f>
        <v>21.5</v>
      </c>
      <c r="E57" s="129"/>
    </row>
    <row r="58" spans="1:5" ht="24" customHeight="1">
      <c r="A58" s="8"/>
      <c r="B58" s="453" t="s">
        <v>339</v>
      </c>
      <c r="C58" s="129" t="s">
        <v>165</v>
      </c>
      <c r="D58" s="221">
        <f>'მილი (2X2)'!F26</f>
        <v>95.199999999999989</v>
      </c>
      <c r="E58" s="788" t="s">
        <v>338</v>
      </c>
    </row>
    <row r="59" spans="1:5" ht="24" customHeight="1">
      <c r="A59" s="8"/>
      <c r="B59" s="182" t="str">
        <f>'მილი (2X2)'!C36</f>
        <v>armaturis dayeneba milis tanSi</v>
      </c>
      <c r="C59" s="129" t="s">
        <v>54</v>
      </c>
      <c r="D59" s="221">
        <f>'მილი (2X2)'!F36</f>
        <v>12.3522</v>
      </c>
      <c r="E59" s="138"/>
    </row>
    <row r="60" spans="1:5" ht="29.25" customHeight="1">
      <c r="A60" s="8"/>
      <c r="B60" s="453" t="s">
        <v>340</v>
      </c>
      <c r="C60" s="129" t="s">
        <v>165</v>
      </c>
      <c r="D60" s="221">
        <f>'მილი (2X2)'!F42</f>
        <v>9.4700000000000006</v>
      </c>
      <c r="E60" s="788" t="s">
        <v>338</v>
      </c>
    </row>
    <row r="61" spans="1:5" ht="21" customHeight="1">
      <c r="A61" s="8"/>
      <c r="B61" s="182" t="str">
        <f>'მილი (2X2)'!C53</f>
        <v>armaturis dayeneba milis saTavisebSi da sabjenebSi</v>
      </c>
      <c r="C61" s="129" t="s">
        <v>54</v>
      </c>
      <c r="D61" s="221">
        <f>'მილი (2X2)'!F53</f>
        <v>0.90049999999999997</v>
      </c>
      <c r="E61" s="129"/>
    </row>
    <row r="62" spans="1:5" ht="21" customHeight="1">
      <c r="A62" s="8"/>
      <c r="B62" s="182" t="str">
        <f>'მილი (2X2)'!C59</f>
        <v>milis wasacxebi hidroizolacia</v>
      </c>
      <c r="C62" s="129" t="s">
        <v>166</v>
      </c>
      <c r="D62" s="221">
        <f>'მილი (2X2)'!F59</f>
        <v>354</v>
      </c>
      <c r="E62" s="129"/>
    </row>
    <row r="63" spans="1:5" ht="21" customHeight="1">
      <c r="A63" s="8"/>
      <c r="B63" s="182" t="str">
        <f>'მილი (2X2)'!C64</f>
        <v>sadefarmacio nakerebis mowyoba</v>
      </c>
      <c r="C63" s="129" t="s">
        <v>171</v>
      </c>
      <c r="D63" s="221">
        <f>'მილი (2X2)'!F64</f>
        <v>5.52</v>
      </c>
      <c r="E63" s="129"/>
    </row>
    <row r="64" spans="1:5" ht="21" customHeight="1">
      <c r="A64" s="7"/>
      <c r="B64" s="182" t="str">
        <f>'მილი (2X2)'!C72</f>
        <v>qvis risbermis mowyoba</v>
      </c>
      <c r="C64" s="129" t="s">
        <v>165</v>
      </c>
      <c r="D64" s="221">
        <f>'მილი (2X2)'!F72</f>
        <v>16</v>
      </c>
      <c r="E64" s="129"/>
    </row>
    <row r="65" spans="1:5" ht="32.25" customHeight="1">
      <c r="A65" s="7"/>
      <c r="B65" s="182" t="str">
        <f>'მილი (2X2)'!C76</f>
        <v xml:space="preserve">Txrilis Sevseba eqskavatoriT, kldovani qanebis balastiT, Cayra da mosworeba </v>
      </c>
      <c r="C65" s="129" t="s">
        <v>165</v>
      </c>
      <c r="D65" s="221">
        <f>'მილი (2X2)'!F76</f>
        <v>70</v>
      </c>
      <c r="E65" s="129"/>
    </row>
    <row r="66" spans="1:5" ht="21" customHeight="1">
      <c r="A66" s="8" t="s">
        <v>174</v>
      </c>
      <c r="B66" s="829" t="s">
        <v>237</v>
      </c>
      <c r="C66" s="830"/>
      <c r="D66" s="830"/>
      <c r="E66" s="831"/>
    </row>
    <row r="67" spans="1:5" ht="33" customHeight="1">
      <c r="A67" s="8"/>
      <c r="B67" s="528" t="str">
        <f>გაბიონი!C10</f>
        <v>gabionebis mowyoba, gabionis yuTebi zomiT 2X1X1m 3954.0c, 1,5X1X1 2488.0c Sesakravi mavTuli 5.05tn</v>
      </c>
      <c r="C67" s="174" t="s">
        <v>165</v>
      </c>
      <c r="D67" s="243">
        <f>gabio!G18</f>
        <v>6009</v>
      </c>
      <c r="E67" s="129"/>
    </row>
    <row r="68" spans="1:5" ht="32.25" customHeight="1">
      <c r="A68" s="7"/>
      <c r="B68" s="529" t="s">
        <v>236</v>
      </c>
      <c r="C68" s="307" t="s">
        <v>165</v>
      </c>
      <c r="D68" s="243">
        <f>gabio!H18</f>
        <v>4398.2000000000007</v>
      </c>
      <c r="E68" s="129"/>
    </row>
    <row r="69" spans="1:5" ht="20.25" customHeight="1">
      <c r="A69" s="531">
        <v>4</v>
      </c>
      <c r="B69" s="523" t="s">
        <v>144</v>
      </c>
      <c r="C69" s="129"/>
      <c r="D69" s="129"/>
      <c r="E69" s="129"/>
    </row>
    <row r="70" spans="1:5" ht="21.75" customHeight="1">
      <c r="A70" s="11" t="s">
        <v>141</v>
      </c>
      <c r="B70" s="825" t="s">
        <v>145</v>
      </c>
      <c r="C70" s="836"/>
      <c r="D70" s="836"/>
      <c r="E70" s="836"/>
    </row>
    <row r="71" spans="1:5" ht="39" customHeight="1">
      <c r="A71" s="8"/>
      <c r="B71" s="222" t="str">
        <f>ა.ბეტონი!C9</f>
        <v>qvesagebi fenis mowyoba qviSa-xreSovani nareviT sisqiT 25sm (mravldeba datkepnis koeficientze 1.22)</v>
      </c>
      <c r="C71" s="129" t="s">
        <v>165</v>
      </c>
      <c r="D71" s="10">
        <f>savali!G8</f>
        <v>1462</v>
      </c>
      <c r="E71" s="129" t="s">
        <v>342</v>
      </c>
    </row>
    <row r="72" spans="1:5" ht="30" customHeight="1">
      <c r="A72" s="8"/>
      <c r="B72" s="223" t="s">
        <v>326</v>
      </c>
      <c r="C72" s="129" t="s">
        <v>166</v>
      </c>
      <c r="D72" s="10">
        <f>savali!I8</f>
        <v>5117</v>
      </c>
      <c r="E72" s="138" t="s">
        <v>343</v>
      </c>
    </row>
    <row r="73" spans="1:5" ht="33" customHeight="1">
      <c r="A73" s="8"/>
      <c r="B73" s="224" t="s">
        <v>177</v>
      </c>
      <c r="C73" s="129" t="s">
        <v>54</v>
      </c>
      <c r="D73" s="221">
        <f>ა.ბეტონი!F26</f>
        <v>2.58</v>
      </c>
      <c r="E73" s="138" t="s">
        <v>394</v>
      </c>
    </row>
    <row r="74" spans="1:5" ht="34.5" customHeight="1">
      <c r="A74" s="8"/>
      <c r="B74" s="223" t="s">
        <v>245</v>
      </c>
      <c r="C74" s="129" t="s">
        <v>166</v>
      </c>
      <c r="D74" s="10">
        <f>ა.ბეტონი!F29</f>
        <v>4300</v>
      </c>
      <c r="E74" s="138" t="s">
        <v>344</v>
      </c>
    </row>
    <row r="75" spans="1:5" ht="30" customHeight="1">
      <c r="A75" s="8"/>
      <c r="B75" s="224" t="s">
        <v>177</v>
      </c>
      <c r="C75" s="129" t="s">
        <v>54</v>
      </c>
      <c r="D75" s="221">
        <f>ა.ბეტონი!F37</f>
        <v>1.29</v>
      </c>
      <c r="E75" s="138" t="s">
        <v>395</v>
      </c>
    </row>
    <row r="76" spans="1:5" ht="37.5" customHeight="1">
      <c r="A76" s="8"/>
      <c r="B76" s="223" t="s">
        <v>246</v>
      </c>
      <c r="C76" s="129" t="s">
        <v>166</v>
      </c>
      <c r="D76" s="10">
        <f>savali!O8</f>
        <v>4300</v>
      </c>
      <c r="E76" s="138" t="s">
        <v>146</v>
      </c>
    </row>
    <row r="77" spans="1:5" ht="30.75" customHeight="1">
      <c r="A77" s="8"/>
      <c r="B77" s="215" t="s">
        <v>84</v>
      </c>
      <c r="C77" s="129" t="s">
        <v>165</v>
      </c>
      <c r="D77" s="221">
        <f>savali!Q8</f>
        <v>206</v>
      </c>
      <c r="E77" s="129"/>
    </row>
    <row r="78" spans="1:5" ht="25.5" customHeight="1">
      <c r="A78" s="522" t="s">
        <v>142</v>
      </c>
      <c r="B78" s="824" t="s">
        <v>396</v>
      </c>
      <c r="C78" s="824"/>
      <c r="D78" s="824"/>
      <c r="E78" s="825"/>
    </row>
    <row r="79" spans="1:5" ht="36" customHeight="1">
      <c r="A79" s="524"/>
      <c r="B79" s="227" t="str">
        <f>'ა.ბეტონი მიერთ'!C9</f>
        <v>qvesagebi fenis mowyoba qviSa-xreSovani nareviT sisqiT 25sm (mravldeba datkepnis koeficientze 1.22)</v>
      </c>
      <c r="C79" s="129" t="s">
        <v>165</v>
      </c>
      <c r="D79" s="221">
        <f>'ა.ბეტონი მიერთ'!F9</f>
        <v>159.5</v>
      </c>
      <c r="E79" s="129" t="s">
        <v>342</v>
      </c>
    </row>
    <row r="80" spans="1:5" ht="30.75" customHeight="1">
      <c r="A80" s="8"/>
      <c r="B80" s="227" t="s">
        <v>179</v>
      </c>
      <c r="C80" s="129" t="s">
        <v>166</v>
      </c>
      <c r="D80" s="221">
        <f>Sesasv!D8</f>
        <v>638</v>
      </c>
      <c r="E80" s="138" t="s">
        <v>343</v>
      </c>
    </row>
    <row r="81" spans="1:5" ht="33.75" customHeight="1">
      <c r="A81" s="8"/>
      <c r="B81" s="792" t="s">
        <v>177</v>
      </c>
      <c r="C81" s="129" t="s">
        <v>54</v>
      </c>
      <c r="D81" s="310">
        <f>D80*0.0006</f>
        <v>0.38279999999999997</v>
      </c>
      <c r="E81" s="138" t="s">
        <v>395</v>
      </c>
    </row>
    <row r="82" spans="1:5" ht="39" customHeight="1">
      <c r="A82" s="8"/>
      <c r="B82" s="792" t="str">
        <f>'ა.ბეტონი მიერთ'!C29</f>
        <v>safaris qveda fenis mowyoba  msxvilmarcvlovani forovani RorRovani cxeli  asfaltobetonisagan sisqiT 7 sm</v>
      </c>
      <c r="C82" s="129" t="s">
        <v>166</v>
      </c>
      <c r="D82" s="310">
        <f>'ა.ბეტონი მიერთ'!F29</f>
        <v>638</v>
      </c>
      <c r="E82" s="138" t="s">
        <v>344</v>
      </c>
    </row>
    <row r="83" spans="1:5" ht="33.75" customHeight="1">
      <c r="A83" s="8"/>
      <c r="B83" s="792" t="s">
        <v>177</v>
      </c>
      <c r="C83" s="129" t="s">
        <v>54</v>
      </c>
      <c r="D83" s="310">
        <f>'ა.ბეტონი მიერთ'!F37</f>
        <v>0.19139999999999999</v>
      </c>
      <c r="E83" s="138" t="s">
        <v>394</v>
      </c>
    </row>
    <row r="84" spans="1:5" ht="36.75" customHeight="1">
      <c r="A84" s="7"/>
      <c r="B84" s="227" t="s">
        <v>178</v>
      </c>
      <c r="C84" s="129" t="s">
        <v>166</v>
      </c>
      <c r="D84" s="221">
        <f>D80</f>
        <v>638</v>
      </c>
      <c r="E84" s="138" t="s">
        <v>146</v>
      </c>
    </row>
    <row r="85" spans="1:5" ht="24" customHeight="1">
      <c r="A85" s="821" t="s">
        <v>174</v>
      </c>
      <c r="B85" s="824" t="s">
        <v>183</v>
      </c>
      <c r="C85" s="824"/>
      <c r="D85" s="824"/>
      <c r="E85" s="825"/>
    </row>
    <row r="86" spans="1:5" ht="86.25" customHeight="1">
      <c r="A86" s="822"/>
      <c r="B86" s="227" t="str">
        <f>MONISHVNA!C8</f>
        <v>savali nawilis horizontaluri moniSvna erTkomponentiani (TeTri) sagzao niSansadebi saRebaviT damzadebuli meTilmeTakrilatis safuZvelze, gaumjobesebuli Ramis xilvadobis Suqdamabrunebeli minis burTulakebiT  zomiT 100-600 m-mde, uwyveti xazebi siganiT 100mm</v>
      </c>
      <c r="C86" s="129" t="s">
        <v>186</v>
      </c>
      <c r="D86" s="221">
        <f>MONISHVNA!F8</f>
        <v>2.23</v>
      </c>
      <c r="E86" s="129"/>
    </row>
    <row r="87" spans="1:5" ht="24.75" customHeight="1">
      <c r="A87" s="841" t="s">
        <v>244</v>
      </c>
      <c r="B87" s="836" t="str">
        <f>თვალამრიდი!A3</f>
        <v>liTonis Tvalamridebis mowyoba</v>
      </c>
      <c r="C87" s="836"/>
      <c r="D87" s="836"/>
      <c r="E87" s="836"/>
    </row>
    <row r="88" spans="1:5" ht="87" customHeight="1">
      <c r="A88" s="842"/>
      <c r="B88" s="172" t="s">
        <v>328</v>
      </c>
      <c r="C88" s="129" t="s">
        <v>176</v>
      </c>
      <c r="D88" s="221">
        <f>თვალამრიდი!F8</f>
        <v>740</v>
      </c>
      <c r="E88" s="129"/>
    </row>
    <row r="89" spans="1:5" ht="22.5" customHeight="1">
      <c r="A89" s="780">
        <v>5</v>
      </c>
      <c r="B89" s="789" t="s">
        <v>521</v>
      </c>
      <c r="C89" s="509"/>
      <c r="D89" s="585"/>
      <c r="E89" s="510"/>
    </row>
    <row r="90" spans="1:5" ht="37.5" customHeight="1">
      <c r="A90" s="790"/>
      <c r="B90" s="215" t="str">
        <f>xarjtar!B103</f>
        <v>ganaTebis boZebis mosawyobad III jg gruntebis damuSaveba eqskavatoriT V-1.0 m3 datvirTviT avtoTviTmcvlelebze</v>
      </c>
      <c r="C90" s="129" t="s">
        <v>165</v>
      </c>
      <c r="D90" s="221">
        <f>xarjtar!D103</f>
        <v>34</v>
      </c>
      <c r="E90" s="129" t="s">
        <v>402</v>
      </c>
    </row>
    <row r="91" spans="1:5" ht="24.75" customHeight="1">
      <c r="A91" s="790"/>
      <c r="B91" s="215" t="str">
        <f>განათება!C14</f>
        <v>wertilovani saZirkvlis mowyoba betoniT</v>
      </c>
      <c r="C91" s="129" t="s">
        <v>165</v>
      </c>
      <c r="D91" s="221">
        <f>განათება!F14*100</f>
        <v>6.3</v>
      </c>
      <c r="E91" s="129"/>
    </row>
    <row r="92" spans="1:5" ht="24.75" customHeight="1">
      <c r="A92" s="790"/>
      <c r="B92" s="215" t="str">
        <f>განათება!C19</f>
        <v xml:space="preserve">el.ganaTebis liTonis boZebisa da sanaTebis mowyoba </v>
      </c>
      <c r="C92" s="129" t="s">
        <v>223</v>
      </c>
      <c r="D92" s="221">
        <f>განათება!F19</f>
        <v>28</v>
      </c>
      <c r="E92" s="129"/>
    </row>
    <row r="93" spans="1:5" ht="24.75" customHeight="1">
      <c r="A93" s="790"/>
      <c r="B93" s="215" t="str">
        <f>განათება!C29</f>
        <v>ganaTebis boZebis SeRebva</v>
      </c>
      <c r="C93" s="129" t="s">
        <v>166</v>
      </c>
      <c r="D93" s="221">
        <f>განათება!F29*100</f>
        <v>119.00000000000001</v>
      </c>
      <c r="E93" s="129"/>
    </row>
    <row r="94" spans="1:5" ht="33" customHeight="1">
      <c r="A94" s="790"/>
      <c r="B94" s="215" t="str">
        <f>xarjtar!B108</f>
        <v>არხში კაბელის ქვიშის საფენის და საფარის და კაბელის მაჩვენებელი ლენტის მოწყობა</v>
      </c>
      <c r="C94" s="584" t="s">
        <v>176</v>
      </c>
      <c r="D94" s="221">
        <f>D96</f>
        <v>880</v>
      </c>
      <c r="E94" s="129"/>
    </row>
    <row r="95" spans="1:5" ht="31.5" customHeight="1">
      <c r="A95" s="790"/>
      <c r="B95" s="215" t="str">
        <f>xarjtar!B109</f>
        <v xml:space="preserve">მზა არხში დ-100მმ პნ-8 პლასტმასის გოფრირებული მილის ჩადება </v>
      </c>
      <c r="C95" s="584" t="s">
        <v>176</v>
      </c>
      <c r="D95" s="221">
        <f>D94</f>
        <v>880</v>
      </c>
      <c r="E95" s="129"/>
    </row>
    <row r="96" spans="1:5" ht="31.5" customHeight="1">
      <c r="A96" s="790"/>
      <c r="B96" s="215" t="str">
        <f>განათება!C44</f>
        <v>Zalovani izolirebuli kabelis 4X16 mowyoba 
(50m dasaerTeblad)</v>
      </c>
      <c r="C96" s="129" t="str">
        <f>განათება!D44</f>
        <v>grZ.m</v>
      </c>
      <c r="D96" s="221">
        <f>განათება!F44</f>
        <v>880</v>
      </c>
      <c r="E96" s="129"/>
    </row>
    <row r="97" spans="1:6" ht="24.75" customHeight="1">
      <c r="A97" s="791"/>
      <c r="B97" s="215" t="str">
        <f>განათება!C49</f>
        <v>el. sadenis 2X2.25 mowyoba</v>
      </c>
      <c r="C97" s="584" t="str">
        <f>განათება!D49</f>
        <v>grZ.m</v>
      </c>
      <c r="D97" s="221">
        <f>განათება!F49</f>
        <v>308</v>
      </c>
      <c r="E97" s="172"/>
    </row>
    <row r="98" spans="1:6" ht="24.75" customHeight="1">
      <c r="A98" s="791"/>
      <c r="B98" s="215" t="str">
        <f>განათება!C54</f>
        <v>damiwebis mowyoba</v>
      </c>
      <c r="C98" s="584" t="str">
        <f>განათება!D54</f>
        <v>1 kompleqti</v>
      </c>
      <c r="D98" s="221">
        <f>განათება!F54</f>
        <v>28</v>
      </c>
      <c r="E98" s="172"/>
    </row>
    <row r="99" spans="1:6" ht="24.75" customHeight="1">
      <c r="A99" s="791"/>
      <c r="B99" s="215" t="str">
        <f>განათება!C62</f>
        <v>el. yuTebis mowyoba</v>
      </c>
      <c r="C99" s="584" t="str">
        <f>C92</f>
        <v>cali</v>
      </c>
      <c r="D99" s="221">
        <f>განათება!F62*100</f>
        <v>1</v>
      </c>
      <c r="E99" s="172"/>
    </row>
    <row r="100" spans="1:6" ht="24.75" customHeight="1">
      <c r="A100" s="809"/>
      <c r="B100" s="215" t="str">
        <f>განათება!C67</f>
        <v>fotoreles montaJi</v>
      </c>
      <c r="C100" s="584" t="str">
        <f>C99</f>
        <v>cali</v>
      </c>
      <c r="D100" s="221">
        <f>განათება!F67</f>
        <v>1</v>
      </c>
      <c r="E100" s="172"/>
    </row>
    <row r="101" spans="1:6" ht="17.25" customHeight="1">
      <c r="B101" s="583"/>
      <c r="C101" s="583"/>
      <c r="D101" s="583"/>
      <c r="E101" s="583"/>
    </row>
    <row r="102" spans="1:6" ht="17.25" customHeight="1">
      <c r="B102" s="583"/>
      <c r="C102" s="583"/>
      <c r="D102" s="583"/>
      <c r="E102" s="583"/>
    </row>
    <row r="103" spans="1:6" ht="15.75">
      <c r="A103" s="838" t="s">
        <v>574</v>
      </c>
      <c r="B103" s="838"/>
      <c r="C103" s="838"/>
      <c r="D103" s="838"/>
      <c r="E103" s="838"/>
      <c r="F103" s="801"/>
    </row>
  </sheetData>
  <mergeCells count="22">
    <mergeCell ref="A103:E103"/>
    <mergeCell ref="B87:E87"/>
    <mergeCell ref="A11:A12"/>
    <mergeCell ref="E54:E55"/>
    <mergeCell ref="B53:E53"/>
    <mergeCell ref="A87:A88"/>
    <mergeCell ref="B85:E85"/>
    <mergeCell ref="B27:E27"/>
    <mergeCell ref="B70:E70"/>
    <mergeCell ref="B78:E78"/>
    <mergeCell ref="A1:E1"/>
    <mergeCell ref="A3:E3"/>
    <mergeCell ref="B7:E7"/>
    <mergeCell ref="A2:E2"/>
    <mergeCell ref="B39:E39"/>
    <mergeCell ref="E28:E29"/>
    <mergeCell ref="A85:A86"/>
    <mergeCell ref="B11:E11"/>
    <mergeCell ref="E40:E42"/>
    <mergeCell ref="B18:E18"/>
    <mergeCell ref="B66:E66"/>
    <mergeCell ref="E19:E21"/>
  </mergeCells>
  <phoneticPr fontId="0" type="noConversion"/>
  <printOptions horizontalCentered="1"/>
  <pageMargins left="0.19685039370078741" right="0.19685039370078741" top="0.19685039370078741" bottom="0.19685039370078741" header="0.23622047244094491" footer="0.2362204724409449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90" zoomScaleSheetLayoutView="90" workbookViewId="0">
      <selection activeCell="K16" sqref="K16"/>
    </sheetView>
  </sheetViews>
  <sheetFormatPr defaultRowHeight="12.75"/>
  <cols>
    <col min="1" max="1" width="3.42578125" style="38" customWidth="1"/>
    <col min="2" max="2" width="11.28515625" style="38" customWidth="1"/>
    <col min="3" max="3" width="70.85546875" style="55" customWidth="1"/>
    <col min="4" max="4" width="8.5703125" style="38" customWidth="1"/>
    <col min="5" max="5" width="12.7109375" style="38" customWidth="1"/>
    <col min="6" max="6" width="13.28515625" style="38" customWidth="1"/>
    <col min="7" max="7" width="10" style="38" customWidth="1"/>
    <col min="8" max="8" width="11.5703125" style="38" customWidth="1"/>
    <col min="9" max="16384" width="9.140625" style="38"/>
  </cols>
  <sheetData>
    <row r="1" spans="1:8" ht="38.2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20.25" customHeight="1">
      <c r="A2" s="866" t="s">
        <v>350</v>
      </c>
      <c r="B2" s="866"/>
      <c r="C2" s="866"/>
      <c r="D2" s="866"/>
      <c r="E2" s="866"/>
      <c r="F2" s="866"/>
      <c r="G2" s="866"/>
      <c r="H2" s="866"/>
    </row>
    <row r="3" spans="1:8" ht="21" customHeight="1">
      <c r="A3" s="959" t="s">
        <v>88</v>
      </c>
      <c r="B3" s="959"/>
      <c r="C3" s="959"/>
      <c r="D3" s="959"/>
      <c r="E3" s="959"/>
      <c r="F3" s="959"/>
      <c r="G3" s="959"/>
      <c r="H3" s="959"/>
    </row>
    <row r="4" spans="1:8" ht="18" customHeight="1">
      <c r="A4" s="39"/>
      <c r="B4" s="1036" t="s">
        <v>4</v>
      </c>
      <c r="C4" s="1036"/>
      <c r="D4" s="1036"/>
      <c r="E4" s="1036"/>
      <c r="F4" s="29">
        <f>H56/1000</f>
        <v>329.58692007096238</v>
      </c>
      <c r="G4" s="1037" t="s">
        <v>56</v>
      </c>
      <c r="H4" s="1037"/>
    </row>
    <row r="5" spans="1:8" ht="19.5" customHeight="1">
      <c r="A5" s="56"/>
      <c r="B5" s="56"/>
      <c r="C5" s="56"/>
      <c r="D5" s="1087" t="s">
        <v>181</v>
      </c>
      <c r="E5" s="1085" t="s">
        <v>7</v>
      </c>
      <c r="F5" s="1086"/>
      <c r="G5" s="1090" t="s">
        <v>2</v>
      </c>
      <c r="H5" s="1090"/>
    </row>
    <row r="6" spans="1:8" ht="18" customHeight="1">
      <c r="A6" s="54" t="s">
        <v>0</v>
      </c>
      <c r="B6" s="54" t="s">
        <v>5</v>
      </c>
      <c r="C6" s="54" t="s">
        <v>62</v>
      </c>
      <c r="D6" s="1088"/>
      <c r="E6" s="56" t="s">
        <v>8</v>
      </c>
      <c r="F6" s="56" t="s">
        <v>70</v>
      </c>
      <c r="G6" s="54" t="s">
        <v>10</v>
      </c>
      <c r="H6" s="54" t="s">
        <v>1</v>
      </c>
    </row>
    <row r="7" spans="1:8" ht="18" customHeight="1">
      <c r="A7" s="52"/>
      <c r="B7" s="52"/>
      <c r="C7" s="52"/>
      <c r="D7" s="1089"/>
      <c r="E7" s="52"/>
      <c r="F7" s="41" t="s">
        <v>71</v>
      </c>
      <c r="G7" s="52"/>
      <c r="H7" s="52"/>
    </row>
    <row r="8" spans="1:8" ht="16.5" customHeight="1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</row>
    <row r="9" spans="1:8" ht="38.1" customHeight="1">
      <c r="A9" s="1079">
        <v>1</v>
      </c>
      <c r="B9" s="1076" t="s">
        <v>66</v>
      </c>
      <c r="C9" s="211" t="s">
        <v>327</v>
      </c>
      <c r="D9" s="96" t="s">
        <v>53</v>
      </c>
      <c r="E9" s="97"/>
      <c r="F9" s="98">
        <f>savali!G8</f>
        <v>1462</v>
      </c>
      <c r="G9" s="97"/>
      <c r="H9" s="98">
        <f>H10+H11+H12+H13+H15+H14</f>
        <v>51271.55051999999</v>
      </c>
    </row>
    <row r="10" spans="1:8" ht="18.600000000000001" customHeight="1">
      <c r="A10" s="1080"/>
      <c r="B10" s="1077"/>
      <c r="C10" s="212" t="s">
        <v>57</v>
      </c>
      <c r="D10" s="102" t="s">
        <v>58</v>
      </c>
      <c r="E10" s="103">
        <f>15/100</f>
        <v>0.15</v>
      </c>
      <c r="F10" s="103">
        <f>E10*F9</f>
        <v>219.29999999999998</v>
      </c>
      <c r="G10" s="103">
        <v>6</v>
      </c>
      <c r="H10" s="103">
        <f t="shared" ref="H10:H15" si="0">F10*G10</f>
        <v>1315.8</v>
      </c>
    </row>
    <row r="11" spans="1:8" ht="18.600000000000001" customHeight="1">
      <c r="A11" s="1080"/>
      <c r="B11" s="1077"/>
      <c r="C11" s="212" t="s">
        <v>86</v>
      </c>
      <c r="D11" s="102" t="s">
        <v>64</v>
      </c>
      <c r="E11" s="103">
        <f>2.16/100</f>
        <v>2.1600000000000001E-2</v>
      </c>
      <c r="F11" s="103">
        <f>E11*F9</f>
        <v>31.5792</v>
      </c>
      <c r="G11" s="25">
        <v>29.63</v>
      </c>
      <c r="H11" s="103">
        <f t="shared" si="0"/>
        <v>935.69169599999998</v>
      </c>
    </row>
    <row r="12" spans="1:8" ht="18.600000000000001" customHeight="1">
      <c r="A12" s="1080"/>
      <c r="B12" s="1077"/>
      <c r="C12" s="53" t="s">
        <v>190</v>
      </c>
      <c r="D12" s="102" t="s">
        <v>64</v>
      </c>
      <c r="E12" s="103">
        <f>2.73/100</f>
        <v>2.7300000000000001E-2</v>
      </c>
      <c r="F12" s="103">
        <f>E12*F9</f>
        <v>39.912600000000005</v>
      </c>
      <c r="G12" s="103">
        <v>38.11</v>
      </c>
      <c r="H12" s="103">
        <f t="shared" si="0"/>
        <v>1521.0691860000002</v>
      </c>
    </row>
    <row r="13" spans="1:8" ht="18.600000000000001" customHeight="1">
      <c r="A13" s="1080"/>
      <c r="B13" s="1077"/>
      <c r="C13" s="212" t="s">
        <v>76</v>
      </c>
      <c r="D13" s="102" t="s">
        <v>64</v>
      </c>
      <c r="E13" s="103">
        <f>0.97/100</f>
        <v>9.7000000000000003E-3</v>
      </c>
      <c r="F13" s="103">
        <f>E13*F9</f>
        <v>14.1814</v>
      </c>
      <c r="G13" s="102">
        <v>51.77</v>
      </c>
      <c r="H13" s="103">
        <f t="shared" si="0"/>
        <v>734.17107800000008</v>
      </c>
    </row>
    <row r="14" spans="1:8" ht="18.600000000000001" customHeight="1">
      <c r="A14" s="1080"/>
      <c r="B14" s="1077"/>
      <c r="C14" s="212" t="s">
        <v>75</v>
      </c>
      <c r="D14" s="102" t="s">
        <v>87</v>
      </c>
      <c r="E14" s="103">
        <v>1.22</v>
      </c>
      <c r="F14" s="103">
        <f>E14*F9</f>
        <v>1783.6399999999999</v>
      </c>
      <c r="G14" s="25">
        <f>კალკულაცია!J12</f>
        <v>26.103999999999999</v>
      </c>
      <c r="H14" s="103">
        <f t="shared" si="0"/>
        <v>46560.138559999992</v>
      </c>
    </row>
    <row r="15" spans="1:8" ht="18.600000000000001" customHeight="1">
      <c r="A15" s="1081"/>
      <c r="B15" s="1078"/>
      <c r="C15" s="454" t="s">
        <v>78</v>
      </c>
      <c r="D15" s="107" t="s">
        <v>87</v>
      </c>
      <c r="E15" s="108">
        <v>7.0000000000000007E-2</v>
      </c>
      <c r="F15" s="108">
        <f>E15*F9</f>
        <v>102.34</v>
      </c>
      <c r="G15" s="108">
        <v>2</v>
      </c>
      <c r="H15" s="108">
        <f t="shared" si="0"/>
        <v>204.68</v>
      </c>
    </row>
    <row r="16" spans="1:8" ht="26.1" customHeight="1">
      <c r="A16" s="165">
        <v>2</v>
      </c>
      <c r="B16" s="1082" t="s">
        <v>93</v>
      </c>
      <c r="C16" s="166" t="s">
        <v>326</v>
      </c>
      <c r="D16" s="40" t="s">
        <v>235</v>
      </c>
      <c r="E16" s="167"/>
      <c r="F16" s="19">
        <f>savali!I8</f>
        <v>5117</v>
      </c>
      <c r="G16" s="18"/>
      <c r="H16" s="19">
        <f>H17+H18+H19+H20+H21+H22+H23+H25+H24</f>
        <v>44512.319399799992</v>
      </c>
    </row>
    <row r="17" spans="1:8" ht="18.600000000000001" customHeight="1">
      <c r="A17" s="168"/>
      <c r="B17" s="1083"/>
      <c r="C17" s="164" t="s">
        <v>57</v>
      </c>
      <c r="D17" s="42" t="s">
        <v>58</v>
      </c>
      <c r="E17" s="24">
        <f>(33+16.4)/1000</f>
        <v>4.9399999999999999E-2</v>
      </c>
      <c r="F17" s="25">
        <f>E17*F16</f>
        <v>252.77979999999999</v>
      </c>
      <c r="G17" s="103">
        <v>6</v>
      </c>
      <c r="H17" s="25">
        <f>G17*F17</f>
        <v>1516.6787999999999</v>
      </c>
    </row>
    <row r="18" spans="1:8" ht="18.600000000000001" customHeight="1">
      <c r="A18" s="168"/>
      <c r="B18" s="1083"/>
      <c r="C18" s="164" t="s">
        <v>86</v>
      </c>
      <c r="D18" s="42" t="s">
        <v>64</v>
      </c>
      <c r="E18" s="24">
        <f>1.91/1000</f>
        <v>1.91E-3</v>
      </c>
      <c r="F18" s="25">
        <f>E18*F16</f>
        <v>9.7734699999999997</v>
      </c>
      <c r="G18" s="25">
        <f>G11</f>
        <v>29.63</v>
      </c>
      <c r="H18" s="25">
        <f t="shared" ref="H18:H25" si="1">F18*G18</f>
        <v>289.58791609999997</v>
      </c>
    </row>
    <row r="19" spans="1:8" ht="18.600000000000001" customHeight="1">
      <c r="A19" s="168"/>
      <c r="B19" s="1083"/>
      <c r="C19" s="164" t="s">
        <v>72</v>
      </c>
      <c r="D19" s="42" t="s">
        <v>64</v>
      </c>
      <c r="E19" s="24">
        <f>11.2/1000</f>
        <v>1.12E-2</v>
      </c>
      <c r="F19" s="25">
        <f>E19*F16</f>
        <v>57.310400000000001</v>
      </c>
      <c r="G19" s="102">
        <v>19.45</v>
      </c>
      <c r="H19" s="25">
        <f t="shared" si="1"/>
        <v>1114.6872799999999</v>
      </c>
    </row>
    <row r="20" spans="1:8" ht="18.600000000000001" customHeight="1">
      <c r="A20" s="168"/>
      <c r="B20" s="1083"/>
      <c r="C20" s="164" t="s">
        <v>73</v>
      </c>
      <c r="D20" s="42" t="s">
        <v>64</v>
      </c>
      <c r="E20" s="24">
        <f>24.8/1000</f>
        <v>2.4799999999999999E-2</v>
      </c>
      <c r="F20" s="25">
        <f>E20*F16</f>
        <v>126.9016</v>
      </c>
      <c r="G20" s="102">
        <v>23.2</v>
      </c>
      <c r="H20" s="25">
        <f t="shared" si="1"/>
        <v>2944.1171199999999</v>
      </c>
    </row>
    <row r="21" spans="1:8" ht="18.600000000000001" customHeight="1">
      <c r="A21" s="168"/>
      <c r="B21" s="1083"/>
      <c r="C21" s="164" t="s">
        <v>76</v>
      </c>
      <c r="D21" s="42" t="s">
        <v>64</v>
      </c>
      <c r="E21" s="24">
        <f>4.14/1000</f>
        <v>4.1399999999999996E-3</v>
      </c>
      <c r="F21" s="25">
        <f>E21*F16</f>
        <v>21.184379999999997</v>
      </c>
      <c r="G21" s="102">
        <f>G13</f>
        <v>51.77</v>
      </c>
      <c r="H21" s="25">
        <f t="shared" si="1"/>
        <v>1096.7153526</v>
      </c>
    </row>
    <row r="22" spans="1:8" ht="18.600000000000001" customHeight="1">
      <c r="A22" s="168"/>
      <c r="B22" s="1083"/>
      <c r="C22" s="164" t="s">
        <v>95</v>
      </c>
      <c r="D22" s="42" t="s">
        <v>64</v>
      </c>
      <c r="E22" s="24">
        <f>0.53/1000</f>
        <v>5.2999999999999998E-4</v>
      </c>
      <c r="F22" s="25">
        <f>E22*F16</f>
        <v>2.7120099999999998</v>
      </c>
      <c r="G22" s="102">
        <v>30.87</v>
      </c>
      <c r="H22" s="25">
        <f t="shared" si="1"/>
        <v>83.719748699999997</v>
      </c>
    </row>
    <row r="23" spans="1:8" ht="18.600000000000001" customHeight="1">
      <c r="A23" s="168"/>
      <c r="B23" s="1083"/>
      <c r="C23" s="164" t="s">
        <v>77</v>
      </c>
      <c r="D23" s="42" t="s">
        <v>53</v>
      </c>
      <c r="E23" s="24">
        <f>(189+12.6*3)/1000</f>
        <v>0.2268</v>
      </c>
      <c r="F23" s="25">
        <f>E23*F16</f>
        <v>1160.5355999999999</v>
      </c>
      <c r="G23" s="26">
        <f>კალკულაცია!J14</f>
        <v>30.603999999999999</v>
      </c>
      <c r="H23" s="25">
        <f t="shared" si="1"/>
        <v>35517.031502399994</v>
      </c>
    </row>
    <row r="24" spans="1:8" ht="18.600000000000001" customHeight="1">
      <c r="A24" s="168"/>
      <c r="B24" s="1083"/>
      <c r="C24" s="164" t="s">
        <v>94</v>
      </c>
      <c r="D24" s="42" t="s">
        <v>53</v>
      </c>
      <c r="E24" s="24">
        <v>0.01</v>
      </c>
      <c r="F24" s="25">
        <f>E24*F16</f>
        <v>51.17</v>
      </c>
      <c r="G24" s="26">
        <f>კალკულაცია!J13</f>
        <v>32.103999999999999</v>
      </c>
      <c r="H24" s="25">
        <f t="shared" si="1"/>
        <v>1642.7616800000001</v>
      </c>
    </row>
    <row r="25" spans="1:8" ht="18.600000000000001" customHeight="1">
      <c r="A25" s="169"/>
      <c r="B25" s="1084"/>
      <c r="C25" s="170" t="s">
        <v>78</v>
      </c>
      <c r="D25" s="41" t="s">
        <v>87</v>
      </c>
      <c r="E25" s="20">
        <v>0.03</v>
      </c>
      <c r="F25" s="21">
        <f>E25*F16</f>
        <v>153.51</v>
      </c>
      <c r="G25" s="139">
        <v>2</v>
      </c>
      <c r="H25" s="21">
        <f t="shared" si="1"/>
        <v>307.02</v>
      </c>
    </row>
    <row r="26" spans="1:8" ht="26.1" customHeight="1">
      <c r="A26" s="246">
        <v>3</v>
      </c>
      <c r="B26" s="94" t="s">
        <v>79</v>
      </c>
      <c r="C26" s="309" t="s">
        <v>239</v>
      </c>
      <c r="D26" s="96" t="s">
        <v>65</v>
      </c>
      <c r="E26" s="96"/>
      <c r="F26" s="98">
        <f>savali!J8</f>
        <v>2.58</v>
      </c>
      <c r="G26" s="96"/>
      <c r="H26" s="98">
        <f>H27+H28</f>
        <v>3366.3943199999999</v>
      </c>
    </row>
    <row r="27" spans="1:8" ht="18.600000000000001" customHeight="1">
      <c r="A27" s="247"/>
      <c r="B27" s="100"/>
      <c r="C27" s="250" t="s">
        <v>80</v>
      </c>
      <c r="D27" s="102" t="s">
        <v>64</v>
      </c>
      <c r="E27" s="102">
        <v>0.3</v>
      </c>
      <c r="F27" s="102">
        <f>E27*F26</f>
        <v>0.77400000000000002</v>
      </c>
      <c r="G27" s="25">
        <v>57.68</v>
      </c>
      <c r="H27" s="103">
        <f>F27*G27</f>
        <v>44.64432</v>
      </c>
    </row>
    <row r="28" spans="1:8" ht="18.600000000000001" customHeight="1">
      <c r="A28" s="781"/>
      <c r="B28" s="796"/>
      <c r="C28" s="106" t="s">
        <v>163</v>
      </c>
      <c r="D28" s="107" t="s">
        <v>65</v>
      </c>
      <c r="E28" s="107">
        <v>1.03</v>
      </c>
      <c r="F28" s="107">
        <f>E28*F26</f>
        <v>2.6574</v>
      </c>
      <c r="G28" s="21">
        <v>1250</v>
      </c>
      <c r="H28" s="108">
        <f>F28*G28</f>
        <v>3321.75</v>
      </c>
    </row>
    <row r="29" spans="1:8" ht="33.950000000000003" customHeight="1">
      <c r="A29" s="246">
        <v>4</v>
      </c>
      <c r="B29" s="136" t="s">
        <v>81</v>
      </c>
      <c r="C29" s="216" t="s">
        <v>250</v>
      </c>
      <c r="D29" s="96" t="s">
        <v>235</v>
      </c>
      <c r="E29" s="96"/>
      <c r="F29" s="98">
        <f>savali!L8</f>
        <v>4300</v>
      </c>
      <c r="G29" s="96"/>
      <c r="H29" s="98">
        <f>H30+H31+H32+H33+H34+H35+H36</f>
        <v>93352.92088000002</v>
      </c>
    </row>
    <row r="30" spans="1:8" ht="17.45" customHeight="1">
      <c r="A30" s="247"/>
      <c r="B30" s="99"/>
      <c r="C30" s="250" t="s">
        <v>57</v>
      </c>
      <c r="D30" s="102" t="s">
        <v>58</v>
      </c>
      <c r="E30" s="308">
        <f>(37.5+0.07*2)/1000</f>
        <v>3.764E-2</v>
      </c>
      <c r="F30" s="103">
        <f>E30*F29</f>
        <v>161.852</v>
      </c>
      <c r="G30" s="103">
        <v>6</v>
      </c>
      <c r="H30" s="103">
        <f t="shared" ref="H30:H36" si="2">F30*G30</f>
        <v>971.11200000000008</v>
      </c>
    </row>
    <row r="31" spans="1:8" ht="17.45" customHeight="1">
      <c r="A31" s="251"/>
      <c r="B31" s="252"/>
      <c r="C31" s="250" t="s">
        <v>82</v>
      </c>
      <c r="D31" s="102" t="s">
        <v>64</v>
      </c>
      <c r="E31" s="23">
        <f>3.02/1000</f>
        <v>3.0200000000000001E-3</v>
      </c>
      <c r="F31" s="103">
        <f>E31*F29</f>
        <v>12.986000000000001</v>
      </c>
      <c r="G31" s="102">
        <v>23.93</v>
      </c>
      <c r="H31" s="103">
        <f t="shared" si="2"/>
        <v>310.75497999999999</v>
      </c>
    </row>
    <row r="32" spans="1:8" ht="17.45" customHeight="1">
      <c r="A32" s="251"/>
      <c r="B32" s="252"/>
      <c r="C32" s="250" t="s">
        <v>72</v>
      </c>
      <c r="D32" s="102" t="s">
        <v>64</v>
      </c>
      <c r="E32" s="23">
        <f>3.7/1000</f>
        <v>3.7000000000000002E-3</v>
      </c>
      <c r="F32" s="103">
        <f>E32*F29</f>
        <v>15.91</v>
      </c>
      <c r="G32" s="102">
        <f>G19</f>
        <v>19.45</v>
      </c>
      <c r="H32" s="103">
        <f t="shared" si="2"/>
        <v>309.4495</v>
      </c>
    </row>
    <row r="33" spans="1:8" ht="17.45" customHeight="1">
      <c r="A33" s="251"/>
      <c r="B33" s="252"/>
      <c r="C33" s="250" t="s">
        <v>73</v>
      </c>
      <c r="D33" s="102" t="s">
        <v>64</v>
      </c>
      <c r="E33" s="23">
        <f>11.1/1000</f>
        <v>1.11E-2</v>
      </c>
      <c r="F33" s="103">
        <f>E33*F29</f>
        <v>47.730000000000004</v>
      </c>
      <c r="G33" s="102">
        <f>G20</f>
        <v>23.2</v>
      </c>
      <c r="H33" s="103">
        <f t="shared" si="2"/>
        <v>1107.336</v>
      </c>
    </row>
    <row r="34" spans="1:8" ht="17.45" customHeight="1">
      <c r="A34" s="251"/>
      <c r="B34" s="252"/>
      <c r="C34" s="250" t="s">
        <v>74</v>
      </c>
      <c r="D34" s="102" t="s">
        <v>47</v>
      </c>
      <c r="E34" s="23">
        <f>2.3/1000</f>
        <v>2.3E-3</v>
      </c>
      <c r="F34" s="103">
        <f>E34*F29</f>
        <v>9.89</v>
      </c>
      <c r="G34" s="102">
        <v>3.2</v>
      </c>
      <c r="H34" s="103">
        <f t="shared" si="2"/>
        <v>31.648000000000003</v>
      </c>
    </row>
    <row r="35" spans="1:8" ht="17.45" customHeight="1">
      <c r="A35" s="251"/>
      <c r="B35" s="252"/>
      <c r="C35" s="250" t="s">
        <v>240</v>
      </c>
      <c r="D35" s="102" t="s">
        <v>65</v>
      </c>
      <c r="E35" s="102">
        <v>0.16270000000000001</v>
      </c>
      <c r="F35" s="103">
        <f>E35*F29</f>
        <v>699.61</v>
      </c>
      <c r="G35" s="25">
        <f>კალკულაცია!J11</f>
        <v>129.24</v>
      </c>
      <c r="H35" s="103">
        <f t="shared" si="2"/>
        <v>90417.596400000009</v>
      </c>
    </row>
    <row r="36" spans="1:8" ht="17.45" customHeight="1">
      <c r="A36" s="253"/>
      <c r="B36" s="254"/>
      <c r="C36" s="106" t="s">
        <v>48</v>
      </c>
      <c r="D36" s="107" t="s">
        <v>47</v>
      </c>
      <c r="E36" s="27">
        <f>(14.5+0.2*2)/1000</f>
        <v>1.49E-2</v>
      </c>
      <c r="F36" s="108">
        <f>E36*F29</f>
        <v>64.069999999999993</v>
      </c>
      <c r="G36" s="27">
        <v>3.2</v>
      </c>
      <c r="H36" s="108">
        <f t="shared" si="2"/>
        <v>205.024</v>
      </c>
    </row>
    <row r="37" spans="1:8" ht="21" customHeight="1">
      <c r="A37" s="57">
        <v>5</v>
      </c>
      <c r="B37" s="46" t="s">
        <v>79</v>
      </c>
      <c r="C37" s="53" t="s">
        <v>241</v>
      </c>
      <c r="D37" s="42" t="s">
        <v>65</v>
      </c>
      <c r="E37" s="163"/>
      <c r="F37" s="25">
        <f>savali!M8</f>
        <v>1.29</v>
      </c>
      <c r="G37" s="23"/>
      <c r="H37" s="125">
        <f>H38+H39</f>
        <v>1683.1971599999999</v>
      </c>
    </row>
    <row r="38" spans="1:8" ht="17.45" customHeight="1">
      <c r="A38" s="57"/>
      <c r="B38" s="46"/>
      <c r="C38" s="53" t="s">
        <v>80</v>
      </c>
      <c r="D38" s="42" t="s">
        <v>64</v>
      </c>
      <c r="E38" s="23">
        <v>0.3</v>
      </c>
      <c r="F38" s="25">
        <f>E38*F37</f>
        <v>0.38700000000000001</v>
      </c>
      <c r="G38" s="25">
        <f>G27</f>
        <v>57.68</v>
      </c>
      <c r="H38" s="125">
        <f>F38*G38</f>
        <v>22.32216</v>
      </c>
    </row>
    <row r="39" spans="1:8" ht="17.45" customHeight="1">
      <c r="A39" s="57"/>
      <c r="B39" s="670" t="s">
        <v>96</v>
      </c>
      <c r="C39" s="53" t="s">
        <v>163</v>
      </c>
      <c r="D39" s="42" t="s">
        <v>65</v>
      </c>
      <c r="E39" s="23">
        <v>1.03</v>
      </c>
      <c r="F39" s="25">
        <f>E39*F37</f>
        <v>1.3287</v>
      </c>
      <c r="G39" s="25">
        <v>1250</v>
      </c>
      <c r="H39" s="125">
        <f>F39*G39</f>
        <v>1660.875</v>
      </c>
    </row>
    <row r="40" spans="1:8" ht="33.950000000000003" customHeight="1">
      <c r="A40" s="246">
        <v>6</v>
      </c>
      <c r="B40" s="136" t="s">
        <v>81</v>
      </c>
      <c r="C40" s="216" t="s">
        <v>251</v>
      </c>
      <c r="D40" s="96" t="s">
        <v>235</v>
      </c>
      <c r="E40" s="123"/>
      <c r="F40" s="19">
        <f>savali!O8</f>
        <v>4300</v>
      </c>
      <c r="G40" s="17"/>
      <c r="H40" s="124">
        <f>H41+H42+H43+H44+H45+H46+H47</f>
        <v>76368.591680000027</v>
      </c>
    </row>
    <row r="41" spans="1:8" ht="17.45" customHeight="1">
      <c r="A41" s="247"/>
      <c r="B41" s="99"/>
      <c r="C41" s="250" t="s">
        <v>57</v>
      </c>
      <c r="D41" s="102" t="s">
        <v>58</v>
      </c>
      <c r="E41" s="308">
        <f>(37.5+0.07*2)/1000</f>
        <v>3.764E-2</v>
      </c>
      <c r="F41" s="25">
        <f>E41*F40</f>
        <v>161.852</v>
      </c>
      <c r="G41" s="103">
        <v>6</v>
      </c>
      <c r="H41" s="125">
        <f t="shared" ref="H41:H47" si="3">F41*G41</f>
        <v>971.11200000000008</v>
      </c>
    </row>
    <row r="42" spans="1:8" ht="17.45" customHeight="1">
      <c r="A42" s="251"/>
      <c r="B42" s="252"/>
      <c r="C42" s="250" t="s">
        <v>82</v>
      </c>
      <c r="D42" s="102" t="s">
        <v>64</v>
      </c>
      <c r="E42" s="23">
        <f>3.02/1000</f>
        <v>3.0200000000000001E-3</v>
      </c>
      <c r="F42" s="25">
        <f>E42*F40</f>
        <v>12.986000000000001</v>
      </c>
      <c r="G42" s="102">
        <f>G31</f>
        <v>23.93</v>
      </c>
      <c r="H42" s="125">
        <f t="shared" si="3"/>
        <v>310.75497999999999</v>
      </c>
    </row>
    <row r="43" spans="1:8" ht="17.45" customHeight="1">
      <c r="A43" s="251"/>
      <c r="B43" s="252"/>
      <c r="C43" s="250" t="s">
        <v>72</v>
      </c>
      <c r="D43" s="102" t="s">
        <v>64</v>
      </c>
      <c r="E43" s="23">
        <f>3.7/1000</f>
        <v>3.7000000000000002E-3</v>
      </c>
      <c r="F43" s="25">
        <f>E43*F40</f>
        <v>15.91</v>
      </c>
      <c r="G43" s="102">
        <f>G32</f>
        <v>19.45</v>
      </c>
      <c r="H43" s="125">
        <f t="shared" si="3"/>
        <v>309.4495</v>
      </c>
    </row>
    <row r="44" spans="1:8" ht="17.45" customHeight="1">
      <c r="A44" s="251"/>
      <c r="B44" s="252"/>
      <c r="C44" s="250" t="s">
        <v>73</v>
      </c>
      <c r="D44" s="102" t="s">
        <v>64</v>
      </c>
      <c r="E44" s="23">
        <f>11.1/1000</f>
        <v>1.11E-2</v>
      </c>
      <c r="F44" s="25">
        <f>E44*F40</f>
        <v>47.730000000000004</v>
      </c>
      <c r="G44" s="102">
        <f>G33</f>
        <v>23.2</v>
      </c>
      <c r="H44" s="125">
        <f t="shared" si="3"/>
        <v>1107.336</v>
      </c>
    </row>
    <row r="45" spans="1:8" ht="17.45" customHeight="1">
      <c r="A45" s="251"/>
      <c r="B45" s="252"/>
      <c r="C45" s="250" t="s">
        <v>74</v>
      </c>
      <c r="D45" s="102" t="s">
        <v>47</v>
      </c>
      <c r="E45" s="23">
        <f>2.3/1000</f>
        <v>2.3E-3</v>
      </c>
      <c r="F45" s="25">
        <f>E45*F40</f>
        <v>9.89</v>
      </c>
      <c r="G45" s="102">
        <v>3.2</v>
      </c>
      <c r="H45" s="125">
        <f t="shared" si="3"/>
        <v>31.648000000000003</v>
      </c>
    </row>
    <row r="46" spans="1:8" ht="17.45" customHeight="1">
      <c r="A46" s="251"/>
      <c r="B46" s="252"/>
      <c r="C46" s="250" t="s">
        <v>83</v>
      </c>
      <c r="D46" s="102" t="s">
        <v>65</v>
      </c>
      <c r="E46" s="23">
        <f>(97.4+12.1*2)/1000</f>
        <v>0.12160000000000001</v>
      </c>
      <c r="F46" s="25">
        <f>E46*F40</f>
        <v>522.88000000000011</v>
      </c>
      <c r="G46" s="25">
        <f>კალკულაცია!J10</f>
        <v>140.44</v>
      </c>
      <c r="H46" s="125">
        <f t="shared" si="3"/>
        <v>73433.267200000017</v>
      </c>
    </row>
    <row r="47" spans="1:8" ht="17.45" customHeight="1">
      <c r="A47" s="253"/>
      <c r="B47" s="254"/>
      <c r="C47" s="106" t="s">
        <v>48</v>
      </c>
      <c r="D47" s="107" t="s">
        <v>47</v>
      </c>
      <c r="E47" s="27">
        <f>(14.5+0.2*2)/1000</f>
        <v>1.49E-2</v>
      </c>
      <c r="F47" s="21">
        <f>E47*F40</f>
        <v>64.069999999999993</v>
      </c>
      <c r="G47" s="27">
        <v>3.2</v>
      </c>
      <c r="H47" s="126">
        <f t="shared" si="3"/>
        <v>205.024</v>
      </c>
    </row>
    <row r="48" spans="1:8" ht="21" customHeight="1">
      <c r="A48" s="43">
        <v>7</v>
      </c>
      <c r="B48" s="46" t="s">
        <v>66</v>
      </c>
      <c r="C48" s="44" t="s">
        <v>213</v>
      </c>
      <c r="D48" s="40" t="s">
        <v>53</v>
      </c>
      <c r="E48" s="137"/>
      <c r="F48" s="19">
        <f>savali!Q8</f>
        <v>206</v>
      </c>
      <c r="G48" s="17"/>
      <c r="H48" s="124">
        <f>H49+H50+H51</f>
        <v>6875.0934399999996</v>
      </c>
    </row>
    <row r="49" spans="1:8" ht="17.45" customHeight="1">
      <c r="A49" s="45"/>
      <c r="B49" s="46"/>
      <c r="C49" s="47" t="s">
        <v>57</v>
      </c>
      <c r="D49" s="42" t="s">
        <v>58</v>
      </c>
      <c r="E49" s="135">
        <f>14.9/100</f>
        <v>0.14899999999999999</v>
      </c>
      <c r="F49" s="25">
        <f>E49*F48</f>
        <v>30.693999999999999</v>
      </c>
      <c r="G49" s="25">
        <v>6</v>
      </c>
      <c r="H49" s="125">
        <f>F49*G49</f>
        <v>184.16399999999999</v>
      </c>
    </row>
    <row r="50" spans="1:8" ht="17.45" customHeight="1">
      <c r="A50" s="45"/>
      <c r="B50" s="49"/>
      <c r="C50" s="53" t="s">
        <v>73</v>
      </c>
      <c r="D50" s="42" t="s">
        <v>64</v>
      </c>
      <c r="E50" s="135">
        <f>2.73/100</f>
        <v>2.7300000000000001E-2</v>
      </c>
      <c r="F50" s="25">
        <f>E50*F48</f>
        <v>5.6238000000000001</v>
      </c>
      <c r="G50" s="102">
        <f>G20</f>
        <v>23.2</v>
      </c>
      <c r="H50" s="125">
        <f>F50*G50</f>
        <v>130.47216</v>
      </c>
    </row>
    <row r="51" spans="1:8" ht="17.45" customHeight="1">
      <c r="A51" s="50"/>
      <c r="B51" s="50"/>
      <c r="C51" s="51" t="s">
        <v>85</v>
      </c>
      <c r="D51" s="41" t="s">
        <v>87</v>
      </c>
      <c r="E51" s="127">
        <v>1.22</v>
      </c>
      <c r="F51" s="21">
        <f>E51*F48</f>
        <v>251.32</v>
      </c>
      <c r="G51" s="25">
        <f>კალკულაცია!J12</f>
        <v>26.103999999999999</v>
      </c>
      <c r="H51" s="126">
        <f>F51*G51</f>
        <v>6560.4572799999996</v>
      </c>
    </row>
    <row r="52" spans="1:8" ht="18.95" customHeight="1">
      <c r="A52" s="981" t="s">
        <v>67</v>
      </c>
      <c r="B52" s="982"/>
      <c r="C52" s="982"/>
      <c r="D52" s="982"/>
      <c r="E52" s="982"/>
      <c r="F52" s="982"/>
      <c r="G52" s="983"/>
      <c r="H52" s="21">
        <f>H48+H37+H16+H9+H40+H29+H26</f>
        <v>277430.0673998</v>
      </c>
    </row>
    <row r="53" spans="1:8" ht="18.95" customHeight="1">
      <c r="A53" s="981" t="s">
        <v>372</v>
      </c>
      <c r="B53" s="982"/>
      <c r="C53" s="982"/>
      <c r="D53" s="982"/>
      <c r="E53" s="982"/>
      <c r="F53" s="982"/>
      <c r="G53" s="983"/>
      <c r="H53" s="28">
        <f>H52*0.1</f>
        <v>27743.006739980003</v>
      </c>
    </row>
    <row r="54" spans="1:8" ht="18.95" customHeight="1">
      <c r="A54" s="981" t="s">
        <v>68</v>
      </c>
      <c r="B54" s="982"/>
      <c r="C54" s="982"/>
      <c r="D54" s="982"/>
      <c r="E54" s="982"/>
      <c r="F54" s="982"/>
      <c r="G54" s="983"/>
      <c r="H54" s="28">
        <f>H53+H52</f>
        <v>305173.07413978002</v>
      </c>
    </row>
    <row r="55" spans="1:8" ht="18.95" customHeight="1">
      <c r="A55" s="981" t="s">
        <v>373</v>
      </c>
      <c r="B55" s="982"/>
      <c r="C55" s="982"/>
      <c r="D55" s="982"/>
      <c r="E55" s="982"/>
      <c r="F55" s="982"/>
      <c r="G55" s="983"/>
      <c r="H55" s="28">
        <f>H54*0.08</f>
        <v>24413.845931182401</v>
      </c>
    </row>
    <row r="56" spans="1:8" ht="18.95" customHeight="1">
      <c r="A56" s="981" t="s">
        <v>69</v>
      </c>
      <c r="B56" s="982"/>
      <c r="C56" s="982"/>
      <c r="D56" s="982"/>
      <c r="E56" s="982"/>
      <c r="F56" s="982"/>
      <c r="G56" s="983"/>
      <c r="H56" s="28">
        <f>H55+H54</f>
        <v>329586.9200709624</v>
      </c>
    </row>
    <row r="57" spans="1:8" ht="27" customHeight="1">
      <c r="A57" s="1005" t="s">
        <v>149</v>
      </c>
      <c r="B57" s="1005"/>
      <c r="C57" s="1005"/>
      <c r="D57" s="1005"/>
      <c r="E57" s="1005"/>
      <c r="F57" s="1005"/>
      <c r="G57" s="1005"/>
      <c r="H57" s="1005"/>
    </row>
  </sheetData>
  <mergeCells count="17">
    <mergeCell ref="E5:F5"/>
    <mergeCell ref="D5:D7"/>
    <mergeCell ref="A1:H1"/>
    <mergeCell ref="A2:H2"/>
    <mergeCell ref="A3:H3"/>
    <mergeCell ref="B4:E4"/>
    <mergeCell ref="G4:H4"/>
    <mergeCell ref="G5:H5"/>
    <mergeCell ref="A57:H57"/>
    <mergeCell ref="A56:G56"/>
    <mergeCell ref="A53:G53"/>
    <mergeCell ref="A54:G54"/>
    <mergeCell ref="B9:B15"/>
    <mergeCell ref="A55:G55"/>
    <mergeCell ref="A9:A15"/>
    <mergeCell ref="A52:G52"/>
    <mergeCell ref="B16:B25"/>
  </mergeCells>
  <phoneticPr fontId="0" type="noConversion"/>
  <printOptions horizontalCentered="1"/>
  <pageMargins left="0.39370078740157483" right="0.39370078740157483" top="0.27559055118110237" bottom="0.19685039370078741" header="0.19685039370078741" footer="0.1574803149606299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BreakPreview" zoomScale="90" zoomScaleNormal="90" zoomScaleSheetLayoutView="90" workbookViewId="0">
      <selection activeCell="K16" sqref="K16"/>
    </sheetView>
  </sheetViews>
  <sheetFormatPr defaultRowHeight="12.75"/>
  <cols>
    <col min="1" max="1" width="3.42578125" style="38" customWidth="1"/>
    <col min="2" max="2" width="11.28515625" style="38" customWidth="1"/>
    <col min="3" max="3" width="70.85546875" style="55" customWidth="1"/>
    <col min="4" max="4" width="8.5703125" style="38" customWidth="1"/>
    <col min="5" max="5" width="12.7109375" style="38" customWidth="1"/>
    <col min="6" max="6" width="13.28515625" style="38" customWidth="1"/>
    <col min="7" max="7" width="10" style="38" customWidth="1"/>
    <col min="8" max="8" width="11.5703125" style="38" customWidth="1"/>
    <col min="9" max="9" width="12.140625" style="38" customWidth="1"/>
    <col min="10" max="16384" width="9.140625" style="38"/>
  </cols>
  <sheetData>
    <row r="1" spans="1:8" ht="36.7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15" customHeight="1">
      <c r="A2" s="866" t="s">
        <v>381</v>
      </c>
      <c r="B2" s="866"/>
      <c r="C2" s="866"/>
      <c r="D2" s="866"/>
      <c r="E2" s="866"/>
      <c r="F2" s="866"/>
      <c r="G2" s="866"/>
      <c r="H2" s="866"/>
    </row>
    <row r="3" spans="1:8" ht="15" customHeight="1">
      <c r="A3" s="959" t="s">
        <v>97</v>
      </c>
      <c r="B3" s="959"/>
      <c r="C3" s="959"/>
      <c r="D3" s="959"/>
      <c r="E3" s="959"/>
      <c r="F3" s="959"/>
      <c r="G3" s="959"/>
      <c r="H3" s="959"/>
    </row>
    <row r="4" spans="1:8" ht="16.5" customHeight="1">
      <c r="A4" s="39"/>
      <c r="B4" s="1036" t="s">
        <v>4</v>
      </c>
      <c r="C4" s="1036"/>
      <c r="D4" s="1036"/>
      <c r="E4" s="1036"/>
      <c r="F4" s="29">
        <f>H52/1000</f>
        <v>44.044669437436795</v>
      </c>
      <c r="G4" s="1037" t="s">
        <v>56</v>
      </c>
      <c r="H4" s="1037"/>
    </row>
    <row r="5" spans="1:8" ht="18" customHeight="1">
      <c r="A5" s="56"/>
      <c r="B5" s="56"/>
      <c r="C5" s="56"/>
      <c r="D5" s="1087" t="s">
        <v>181</v>
      </c>
      <c r="E5" s="1085" t="s">
        <v>7</v>
      </c>
      <c r="F5" s="1086"/>
      <c r="G5" s="1090" t="s">
        <v>2</v>
      </c>
      <c r="H5" s="1090"/>
    </row>
    <row r="6" spans="1:8" ht="17.25" customHeight="1">
      <c r="A6" s="54" t="s">
        <v>0</v>
      </c>
      <c r="B6" s="54" t="s">
        <v>5</v>
      </c>
      <c r="C6" s="54" t="s">
        <v>62</v>
      </c>
      <c r="D6" s="1088"/>
      <c r="E6" s="56" t="s">
        <v>8</v>
      </c>
      <c r="F6" s="56" t="s">
        <v>70</v>
      </c>
      <c r="G6" s="54" t="s">
        <v>10</v>
      </c>
      <c r="H6" s="54" t="s">
        <v>1</v>
      </c>
    </row>
    <row r="7" spans="1:8" ht="15.75" customHeight="1">
      <c r="A7" s="52"/>
      <c r="B7" s="52"/>
      <c r="C7" s="52"/>
      <c r="D7" s="1089"/>
      <c r="E7" s="52"/>
      <c r="F7" s="41" t="s">
        <v>71</v>
      </c>
      <c r="G7" s="52"/>
      <c r="H7" s="52"/>
    </row>
    <row r="8" spans="1:8" ht="12" customHeight="1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</row>
    <row r="9" spans="1:8" ht="36.75" customHeight="1">
      <c r="A9" s="1079">
        <v>1</v>
      </c>
      <c r="B9" s="1076" t="s">
        <v>66</v>
      </c>
      <c r="C9" s="211" t="s">
        <v>327</v>
      </c>
      <c r="D9" s="96" t="s">
        <v>53</v>
      </c>
      <c r="E9" s="97"/>
      <c r="F9" s="98">
        <f>F16*0.25</f>
        <v>159.5</v>
      </c>
      <c r="G9" s="97"/>
      <c r="H9" s="98">
        <f>H10+H11+H12+H13+H15+H14</f>
        <v>5593.5788700000003</v>
      </c>
    </row>
    <row r="10" spans="1:8" ht="18.75" customHeight="1">
      <c r="A10" s="1080"/>
      <c r="B10" s="1077"/>
      <c r="C10" s="212" t="s">
        <v>57</v>
      </c>
      <c r="D10" s="102" t="s">
        <v>58</v>
      </c>
      <c r="E10" s="103">
        <f>15/100</f>
        <v>0.15</v>
      </c>
      <c r="F10" s="103">
        <f>E10*F9</f>
        <v>23.925000000000001</v>
      </c>
      <c r="G10" s="103">
        <v>6</v>
      </c>
      <c r="H10" s="103">
        <f t="shared" ref="H10:H15" si="0">F10*G10</f>
        <v>143.55000000000001</v>
      </c>
    </row>
    <row r="11" spans="1:8" ht="18.75" customHeight="1">
      <c r="A11" s="1080"/>
      <c r="B11" s="1077"/>
      <c r="C11" s="212" t="s">
        <v>86</v>
      </c>
      <c r="D11" s="102" t="s">
        <v>64</v>
      </c>
      <c r="E11" s="103">
        <f>2.16/100</f>
        <v>2.1600000000000001E-2</v>
      </c>
      <c r="F11" s="103">
        <f>E11*F9</f>
        <v>3.4452000000000003</v>
      </c>
      <c r="G11" s="25">
        <v>29.63</v>
      </c>
      <c r="H11" s="103">
        <f t="shared" si="0"/>
        <v>102.081276</v>
      </c>
    </row>
    <row r="12" spans="1:8" ht="18.75" customHeight="1">
      <c r="A12" s="1080"/>
      <c r="B12" s="1077"/>
      <c r="C12" s="53" t="s">
        <v>190</v>
      </c>
      <c r="D12" s="102" t="s">
        <v>64</v>
      </c>
      <c r="E12" s="103">
        <f>2.73/100</f>
        <v>2.7300000000000001E-2</v>
      </c>
      <c r="F12" s="103">
        <f>E12*F9</f>
        <v>4.3543500000000002</v>
      </c>
      <c r="G12" s="103">
        <v>38.11</v>
      </c>
      <c r="H12" s="103">
        <f t="shared" si="0"/>
        <v>165.9442785</v>
      </c>
    </row>
    <row r="13" spans="1:8" ht="18.75" customHeight="1">
      <c r="A13" s="1080"/>
      <c r="B13" s="1077"/>
      <c r="C13" s="212" t="s">
        <v>76</v>
      </c>
      <c r="D13" s="102" t="s">
        <v>64</v>
      </c>
      <c r="E13" s="103">
        <f>0.97/100</f>
        <v>9.7000000000000003E-3</v>
      </c>
      <c r="F13" s="103">
        <f>E13*F9</f>
        <v>1.54715</v>
      </c>
      <c r="G13" s="102">
        <v>51.77</v>
      </c>
      <c r="H13" s="103">
        <f t="shared" si="0"/>
        <v>80.095955500000002</v>
      </c>
    </row>
    <row r="14" spans="1:8" ht="18.75" customHeight="1">
      <c r="A14" s="1080"/>
      <c r="B14" s="1077"/>
      <c r="C14" s="212" t="s">
        <v>75</v>
      </c>
      <c r="D14" s="102" t="s">
        <v>87</v>
      </c>
      <c r="E14" s="103">
        <v>1.22</v>
      </c>
      <c r="F14" s="103">
        <f>E14*F9</f>
        <v>194.59</v>
      </c>
      <c r="G14" s="25">
        <f>კალკულაცია!J12</f>
        <v>26.103999999999999</v>
      </c>
      <c r="H14" s="103">
        <f t="shared" si="0"/>
        <v>5079.5773600000002</v>
      </c>
    </row>
    <row r="15" spans="1:8" ht="18.75" customHeight="1">
      <c r="A15" s="1080"/>
      <c r="B15" s="1077"/>
      <c r="C15" s="212" t="s">
        <v>78</v>
      </c>
      <c r="D15" s="102" t="s">
        <v>87</v>
      </c>
      <c r="E15" s="103">
        <v>7.0000000000000007E-2</v>
      </c>
      <c r="F15" s="103">
        <f>E15*F9</f>
        <v>11.165000000000001</v>
      </c>
      <c r="G15" s="103">
        <v>2</v>
      </c>
      <c r="H15" s="103">
        <f t="shared" si="0"/>
        <v>22.330000000000002</v>
      </c>
    </row>
    <row r="16" spans="1:8" ht="31.5" customHeight="1">
      <c r="A16" s="165">
        <v>2</v>
      </c>
      <c r="B16" s="1094" t="s">
        <v>93</v>
      </c>
      <c r="C16" s="166" t="s">
        <v>326</v>
      </c>
      <c r="D16" s="40" t="s">
        <v>235</v>
      </c>
      <c r="E16" s="167"/>
      <c r="F16" s="19">
        <f>Sesasv!D8</f>
        <v>638</v>
      </c>
      <c r="G16" s="18"/>
      <c r="H16" s="19">
        <f>H17+H18+H19+H20+H21+H22+H23+H25+H24</f>
        <v>5549.9041971999986</v>
      </c>
    </row>
    <row r="17" spans="1:8" ht="18.75" customHeight="1">
      <c r="A17" s="168"/>
      <c r="B17" s="1095"/>
      <c r="C17" s="164" t="s">
        <v>57</v>
      </c>
      <c r="D17" s="42" t="s">
        <v>58</v>
      </c>
      <c r="E17" s="24">
        <f>(33+16.4)/1000</f>
        <v>4.9399999999999999E-2</v>
      </c>
      <c r="F17" s="25">
        <f>E17*F16</f>
        <v>31.517199999999999</v>
      </c>
      <c r="G17" s="103">
        <v>6</v>
      </c>
      <c r="H17" s="25">
        <f>G17*F17</f>
        <v>189.10319999999999</v>
      </c>
    </row>
    <row r="18" spans="1:8" ht="18.75" customHeight="1">
      <c r="A18" s="168"/>
      <c r="B18" s="1095"/>
      <c r="C18" s="164" t="s">
        <v>86</v>
      </c>
      <c r="D18" s="42" t="s">
        <v>64</v>
      </c>
      <c r="E18" s="24">
        <f>1.91/1000</f>
        <v>1.91E-3</v>
      </c>
      <c r="F18" s="25">
        <f>E18*F16</f>
        <v>1.21858</v>
      </c>
      <c r="G18" s="25">
        <f>G11</f>
        <v>29.63</v>
      </c>
      <c r="H18" s="25">
        <f t="shared" ref="H18:H25" si="1">F18*G18</f>
        <v>36.106525399999995</v>
      </c>
    </row>
    <row r="19" spans="1:8" ht="18.75" customHeight="1">
      <c r="A19" s="168"/>
      <c r="B19" s="1095"/>
      <c r="C19" s="164" t="s">
        <v>72</v>
      </c>
      <c r="D19" s="42" t="s">
        <v>64</v>
      </c>
      <c r="E19" s="24">
        <f>11.2/1000</f>
        <v>1.12E-2</v>
      </c>
      <c r="F19" s="25">
        <f>E19*F16</f>
        <v>7.1456</v>
      </c>
      <c r="G19" s="102">
        <v>19.45</v>
      </c>
      <c r="H19" s="25">
        <f t="shared" si="1"/>
        <v>138.98192</v>
      </c>
    </row>
    <row r="20" spans="1:8" ht="18.75" customHeight="1">
      <c r="A20" s="168"/>
      <c r="B20" s="1095"/>
      <c r="C20" s="164" t="s">
        <v>73</v>
      </c>
      <c r="D20" s="42" t="s">
        <v>64</v>
      </c>
      <c r="E20" s="24">
        <f>24.8/1000</f>
        <v>2.4799999999999999E-2</v>
      </c>
      <c r="F20" s="25">
        <f>E20*F16</f>
        <v>15.8224</v>
      </c>
      <c r="G20" s="102">
        <v>23.2</v>
      </c>
      <c r="H20" s="25">
        <f t="shared" si="1"/>
        <v>367.07968</v>
      </c>
    </row>
    <row r="21" spans="1:8" ht="18.75" customHeight="1">
      <c r="A21" s="168"/>
      <c r="B21" s="1095"/>
      <c r="C21" s="164" t="s">
        <v>76</v>
      </c>
      <c r="D21" s="42" t="s">
        <v>64</v>
      </c>
      <c r="E21" s="24">
        <f>4.14/1000</f>
        <v>4.1399999999999996E-3</v>
      </c>
      <c r="F21" s="25">
        <f>E21*F16</f>
        <v>2.6413199999999999</v>
      </c>
      <c r="G21" s="102">
        <v>51.77</v>
      </c>
      <c r="H21" s="25">
        <f t="shared" si="1"/>
        <v>136.74113640000002</v>
      </c>
    </row>
    <row r="22" spans="1:8" ht="18.75" customHeight="1">
      <c r="A22" s="168"/>
      <c r="B22" s="1095"/>
      <c r="C22" s="164" t="s">
        <v>95</v>
      </c>
      <c r="D22" s="42" t="s">
        <v>64</v>
      </c>
      <c r="E22" s="24">
        <f>0.53/1000</f>
        <v>5.2999999999999998E-4</v>
      </c>
      <c r="F22" s="25">
        <f>E22*F16</f>
        <v>0.33814</v>
      </c>
      <c r="G22" s="102">
        <v>30.87</v>
      </c>
      <c r="H22" s="25">
        <f t="shared" si="1"/>
        <v>10.4383818</v>
      </c>
    </row>
    <row r="23" spans="1:8" ht="18.75" customHeight="1">
      <c r="A23" s="168"/>
      <c r="B23" s="1095"/>
      <c r="C23" s="164" t="s">
        <v>77</v>
      </c>
      <c r="D23" s="42" t="s">
        <v>53</v>
      </c>
      <c r="E23" s="24">
        <f>(189+12.6*3)/1000</f>
        <v>0.2268</v>
      </c>
      <c r="F23" s="25">
        <f>E23*F16</f>
        <v>144.69839999999999</v>
      </c>
      <c r="G23" s="26">
        <f>კალკულაცია!J14</f>
        <v>30.603999999999999</v>
      </c>
      <c r="H23" s="25">
        <f t="shared" si="1"/>
        <v>4428.3498335999993</v>
      </c>
    </row>
    <row r="24" spans="1:8" ht="18.75" customHeight="1">
      <c r="A24" s="168"/>
      <c r="B24" s="1095"/>
      <c r="C24" s="164" t="s">
        <v>94</v>
      </c>
      <c r="D24" s="42" t="s">
        <v>53</v>
      </c>
      <c r="E24" s="24">
        <v>0.01</v>
      </c>
      <c r="F24" s="25">
        <f>E24*F16</f>
        <v>6.38</v>
      </c>
      <c r="G24" s="26">
        <f>კალკულაცია!J13</f>
        <v>32.103999999999999</v>
      </c>
      <c r="H24" s="25">
        <f t="shared" si="1"/>
        <v>204.82352</v>
      </c>
    </row>
    <row r="25" spans="1:8" ht="18.75" customHeight="1">
      <c r="A25" s="169"/>
      <c r="B25" s="1096"/>
      <c r="C25" s="170" t="s">
        <v>78</v>
      </c>
      <c r="D25" s="41" t="s">
        <v>87</v>
      </c>
      <c r="E25" s="20">
        <v>0.03</v>
      </c>
      <c r="F25" s="21">
        <f>E25*F16</f>
        <v>19.14</v>
      </c>
      <c r="G25" s="139">
        <v>2</v>
      </c>
      <c r="H25" s="21">
        <f t="shared" si="1"/>
        <v>38.28</v>
      </c>
    </row>
    <row r="26" spans="1:8" ht="24.75" customHeight="1">
      <c r="A26" s="246">
        <v>3</v>
      </c>
      <c r="B26" s="1076" t="s">
        <v>79</v>
      </c>
      <c r="C26" s="309" t="s">
        <v>239</v>
      </c>
      <c r="D26" s="96" t="s">
        <v>65</v>
      </c>
      <c r="E26" s="96"/>
      <c r="F26" s="98">
        <f>F16*0.0006</f>
        <v>0.38279999999999997</v>
      </c>
      <c r="G26" s="96"/>
      <c r="H26" s="98">
        <f>H27+H28</f>
        <v>499.47897119999993</v>
      </c>
    </row>
    <row r="27" spans="1:8" ht="19.5" customHeight="1">
      <c r="A27" s="247"/>
      <c r="B27" s="1077"/>
      <c r="C27" s="250" t="s">
        <v>80</v>
      </c>
      <c r="D27" s="102" t="s">
        <v>64</v>
      </c>
      <c r="E27" s="102">
        <v>0.3</v>
      </c>
      <c r="F27" s="102">
        <f>E27*F26</f>
        <v>0.11483999999999998</v>
      </c>
      <c r="G27" s="25">
        <v>57.68</v>
      </c>
      <c r="H27" s="103">
        <f>F27*G27</f>
        <v>6.6239711999999988</v>
      </c>
    </row>
    <row r="28" spans="1:8" ht="19.5" customHeight="1">
      <c r="A28" s="781"/>
      <c r="B28" s="1078"/>
      <c r="C28" s="106" t="s">
        <v>163</v>
      </c>
      <c r="D28" s="107" t="s">
        <v>65</v>
      </c>
      <c r="E28" s="107">
        <v>1.03</v>
      </c>
      <c r="F28" s="107">
        <f>E28*F26</f>
        <v>0.39428399999999997</v>
      </c>
      <c r="G28" s="21">
        <v>1250</v>
      </c>
      <c r="H28" s="108">
        <f>F28*G28</f>
        <v>492.85499999999996</v>
      </c>
    </row>
    <row r="29" spans="1:8" ht="34.5" customHeight="1">
      <c r="A29" s="246">
        <v>4</v>
      </c>
      <c r="B29" s="1091" t="s">
        <v>81</v>
      </c>
      <c r="C29" s="216" t="s">
        <v>250</v>
      </c>
      <c r="D29" s="96" t="s">
        <v>235</v>
      </c>
      <c r="E29" s="96"/>
      <c r="F29" s="98">
        <f>F16</f>
        <v>638</v>
      </c>
      <c r="G29" s="96"/>
      <c r="H29" s="98">
        <f>H30+H31+H32+H33+H34+H35+H36</f>
        <v>13850.968260800004</v>
      </c>
    </row>
    <row r="30" spans="1:8" ht="20.25" customHeight="1">
      <c r="A30" s="247"/>
      <c r="B30" s="1092"/>
      <c r="C30" s="250" t="s">
        <v>57</v>
      </c>
      <c r="D30" s="102" t="s">
        <v>58</v>
      </c>
      <c r="E30" s="308">
        <f>(37.5+0.07*2)/1000</f>
        <v>3.764E-2</v>
      </c>
      <c r="F30" s="103">
        <f>E30*F29</f>
        <v>24.014320000000001</v>
      </c>
      <c r="G30" s="103">
        <v>6</v>
      </c>
      <c r="H30" s="103">
        <f t="shared" ref="H30:H36" si="2">F30*G30</f>
        <v>144.08592000000002</v>
      </c>
    </row>
    <row r="31" spans="1:8" ht="20.25" customHeight="1">
      <c r="A31" s="251"/>
      <c r="B31" s="1092"/>
      <c r="C31" s="250" t="s">
        <v>82</v>
      </c>
      <c r="D31" s="102" t="s">
        <v>64</v>
      </c>
      <c r="E31" s="23">
        <f>3.02/1000</f>
        <v>3.0200000000000001E-3</v>
      </c>
      <c r="F31" s="103">
        <f>E31*F29</f>
        <v>1.92676</v>
      </c>
      <c r="G31" s="102">
        <v>23.93</v>
      </c>
      <c r="H31" s="103">
        <f t="shared" si="2"/>
        <v>46.107366800000001</v>
      </c>
    </row>
    <row r="32" spans="1:8" ht="20.25" customHeight="1">
      <c r="A32" s="251"/>
      <c r="B32" s="1092"/>
      <c r="C32" s="250" t="s">
        <v>72</v>
      </c>
      <c r="D32" s="102" t="s">
        <v>64</v>
      </c>
      <c r="E32" s="23">
        <f>3.7/1000</f>
        <v>3.7000000000000002E-3</v>
      </c>
      <c r="F32" s="103">
        <f>E32*F29</f>
        <v>2.3606000000000003</v>
      </c>
      <c r="G32" s="102">
        <f>G19</f>
        <v>19.45</v>
      </c>
      <c r="H32" s="103">
        <f t="shared" si="2"/>
        <v>45.913670000000003</v>
      </c>
    </row>
    <row r="33" spans="1:8" ht="20.25" customHeight="1">
      <c r="A33" s="251"/>
      <c r="B33" s="1092"/>
      <c r="C33" s="250" t="s">
        <v>73</v>
      </c>
      <c r="D33" s="102" t="s">
        <v>64</v>
      </c>
      <c r="E33" s="23">
        <f>11.1/1000</f>
        <v>1.11E-2</v>
      </c>
      <c r="F33" s="103">
        <f>E33*F29</f>
        <v>7.0818000000000003</v>
      </c>
      <c r="G33" s="102">
        <f>G20</f>
        <v>23.2</v>
      </c>
      <c r="H33" s="103">
        <f t="shared" si="2"/>
        <v>164.29776000000001</v>
      </c>
    </row>
    <row r="34" spans="1:8" ht="20.25" customHeight="1">
      <c r="A34" s="251"/>
      <c r="B34" s="1092"/>
      <c r="C34" s="250" t="s">
        <v>74</v>
      </c>
      <c r="D34" s="102" t="s">
        <v>47</v>
      </c>
      <c r="E34" s="23">
        <f>2.3/1000</f>
        <v>2.3E-3</v>
      </c>
      <c r="F34" s="103">
        <f>E34*F29</f>
        <v>1.4674</v>
      </c>
      <c r="G34" s="102">
        <v>3.2</v>
      </c>
      <c r="H34" s="103">
        <f t="shared" si="2"/>
        <v>4.6956800000000003</v>
      </c>
    </row>
    <row r="35" spans="1:8" ht="20.25" customHeight="1">
      <c r="A35" s="251"/>
      <c r="B35" s="1092"/>
      <c r="C35" s="250" t="s">
        <v>240</v>
      </c>
      <c r="D35" s="102" t="s">
        <v>65</v>
      </c>
      <c r="E35" s="102">
        <v>0.16270000000000001</v>
      </c>
      <c r="F35" s="103">
        <f>E35*F29</f>
        <v>103.80260000000001</v>
      </c>
      <c r="G35" s="25">
        <f>კალკულაცია!J11</f>
        <v>129.24</v>
      </c>
      <c r="H35" s="103">
        <f t="shared" si="2"/>
        <v>13415.448024000003</v>
      </c>
    </row>
    <row r="36" spans="1:8" ht="20.25" customHeight="1">
      <c r="A36" s="253"/>
      <c r="B36" s="1093"/>
      <c r="C36" s="106" t="s">
        <v>48</v>
      </c>
      <c r="D36" s="107" t="s">
        <v>47</v>
      </c>
      <c r="E36" s="27">
        <f>(14.5+0.2*2)/1000</f>
        <v>1.49E-2</v>
      </c>
      <c r="F36" s="108">
        <f>E36*F29</f>
        <v>9.5061999999999998</v>
      </c>
      <c r="G36" s="27">
        <v>3.2</v>
      </c>
      <c r="H36" s="108">
        <f t="shared" si="2"/>
        <v>30.419840000000001</v>
      </c>
    </row>
    <row r="37" spans="1:8" ht="24.75" customHeight="1">
      <c r="A37" s="57">
        <v>5</v>
      </c>
      <c r="B37" s="1097" t="s">
        <v>79</v>
      </c>
      <c r="C37" s="53" t="s">
        <v>241</v>
      </c>
      <c r="D37" s="42" t="s">
        <v>65</v>
      </c>
      <c r="E37" s="163"/>
      <c r="F37" s="25">
        <f>F26/2</f>
        <v>0.19139999999999999</v>
      </c>
      <c r="G37" s="23"/>
      <c r="H37" s="125">
        <f>H38+H39</f>
        <v>249.73948559999997</v>
      </c>
    </row>
    <row r="38" spans="1:8" ht="20.25" customHeight="1">
      <c r="A38" s="57"/>
      <c r="B38" s="1098"/>
      <c r="C38" s="53" t="s">
        <v>80</v>
      </c>
      <c r="D38" s="42" t="s">
        <v>64</v>
      </c>
      <c r="E38" s="23">
        <v>0.3</v>
      </c>
      <c r="F38" s="25">
        <f>E38*F37</f>
        <v>5.7419999999999992E-2</v>
      </c>
      <c r="G38" s="25">
        <f>G27</f>
        <v>57.68</v>
      </c>
      <c r="H38" s="125">
        <f>F38*G38</f>
        <v>3.3119855999999994</v>
      </c>
    </row>
    <row r="39" spans="1:8" ht="20.25" customHeight="1">
      <c r="A39" s="57"/>
      <c r="B39" s="1099"/>
      <c r="C39" s="53" t="s">
        <v>163</v>
      </c>
      <c r="D39" s="42" t="s">
        <v>65</v>
      </c>
      <c r="E39" s="23">
        <v>1.03</v>
      </c>
      <c r="F39" s="25">
        <f>E39*F37</f>
        <v>0.19714199999999998</v>
      </c>
      <c r="G39" s="25">
        <v>1250</v>
      </c>
      <c r="H39" s="125">
        <f>F39*G39</f>
        <v>246.42749999999998</v>
      </c>
    </row>
    <row r="40" spans="1:8" ht="36" customHeight="1">
      <c r="A40" s="246">
        <v>6</v>
      </c>
      <c r="B40" s="1091" t="s">
        <v>81</v>
      </c>
      <c r="C40" s="216" t="s">
        <v>251</v>
      </c>
      <c r="D40" s="96" t="s">
        <v>235</v>
      </c>
      <c r="E40" s="123"/>
      <c r="F40" s="19">
        <f>F29</f>
        <v>638</v>
      </c>
      <c r="G40" s="17"/>
      <c r="H40" s="124">
        <f>H41+H42+H43+H44+H45+H46+H47</f>
        <v>11330.967788800002</v>
      </c>
    </row>
    <row r="41" spans="1:8" ht="20.25" customHeight="1">
      <c r="A41" s="247"/>
      <c r="B41" s="1092"/>
      <c r="C41" s="250" t="s">
        <v>57</v>
      </c>
      <c r="D41" s="102" t="s">
        <v>58</v>
      </c>
      <c r="E41" s="308">
        <f>(37.5+0.07*2)/1000</f>
        <v>3.764E-2</v>
      </c>
      <c r="F41" s="25">
        <f>E41*F40</f>
        <v>24.014320000000001</v>
      </c>
      <c r="G41" s="103">
        <v>6</v>
      </c>
      <c r="H41" s="125">
        <f t="shared" ref="H41:H47" si="3">F41*G41</f>
        <v>144.08592000000002</v>
      </c>
    </row>
    <row r="42" spans="1:8" ht="20.25" customHeight="1">
      <c r="A42" s="251"/>
      <c r="B42" s="1092"/>
      <c r="C42" s="250" t="s">
        <v>82</v>
      </c>
      <c r="D42" s="102" t="s">
        <v>64</v>
      </c>
      <c r="E42" s="23">
        <f>3.02/1000</f>
        <v>3.0200000000000001E-3</v>
      </c>
      <c r="F42" s="25">
        <f>E42*F40</f>
        <v>1.92676</v>
      </c>
      <c r="G42" s="102">
        <f>G31</f>
        <v>23.93</v>
      </c>
      <c r="H42" s="125">
        <f t="shared" si="3"/>
        <v>46.107366800000001</v>
      </c>
    </row>
    <row r="43" spans="1:8" ht="20.25" customHeight="1">
      <c r="A43" s="251"/>
      <c r="B43" s="1092"/>
      <c r="C43" s="250" t="s">
        <v>72</v>
      </c>
      <c r="D43" s="102" t="s">
        <v>64</v>
      </c>
      <c r="E43" s="23">
        <f>3.7/1000</f>
        <v>3.7000000000000002E-3</v>
      </c>
      <c r="F43" s="25">
        <f>E43*F40</f>
        <v>2.3606000000000003</v>
      </c>
      <c r="G43" s="102">
        <f>G32</f>
        <v>19.45</v>
      </c>
      <c r="H43" s="125">
        <f t="shared" si="3"/>
        <v>45.913670000000003</v>
      </c>
    </row>
    <row r="44" spans="1:8" ht="20.25" customHeight="1">
      <c r="A44" s="251"/>
      <c r="B44" s="1092"/>
      <c r="C44" s="250" t="s">
        <v>73</v>
      </c>
      <c r="D44" s="102" t="s">
        <v>64</v>
      </c>
      <c r="E44" s="23">
        <f>11.1/1000</f>
        <v>1.11E-2</v>
      </c>
      <c r="F44" s="25">
        <f>E44*F40</f>
        <v>7.0818000000000003</v>
      </c>
      <c r="G44" s="102">
        <f>G33</f>
        <v>23.2</v>
      </c>
      <c r="H44" s="125">
        <f t="shared" si="3"/>
        <v>164.29776000000001</v>
      </c>
    </row>
    <row r="45" spans="1:8" ht="20.25" customHeight="1">
      <c r="A45" s="251"/>
      <c r="B45" s="1092"/>
      <c r="C45" s="250" t="s">
        <v>74</v>
      </c>
      <c r="D45" s="102" t="s">
        <v>47</v>
      </c>
      <c r="E45" s="23">
        <f>2.3/1000</f>
        <v>2.3E-3</v>
      </c>
      <c r="F45" s="25">
        <f>E45*F40</f>
        <v>1.4674</v>
      </c>
      <c r="G45" s="102">
        <v>3.2</v>
      </c>
      <c r="H45" s="125">
        <f t="shared" si="3"/>
        <v>4.6956800000000003</v>
      </c>
    </row>
    <row r="46" spans="1:8" ht="20.25" customHeight="1">
      <c r="A46" s="251"/>
      <c r="B46" s="1092"/>
      <c r="C46" s="250" t="s">
        <v>83</v>
      </c>
      <c r="D46" s="102" t="s">
        <v>65</v>
      </c>
      <c r="E46" s="23">
        <f>(97.4+12.1*2)/1000</f>
        <v>0.12160000000000001</v>
      </c>
      <c r="F46" s="25">
        <f>E46*F40</f>
        <v>77.580800000000011</v>
      </c>
      <c r="G46" s="25">
        <f>კალკულაცია!J10</f>
        <v>140.44</v>
      </c>
      <c r="H46" s="125">
        <f t="shared" si="3"/>
        <v>10895.447552000001</v>
      </c>
    </row>
    <row r="47" spans="1:8" ht="20.25" customHeight="1">
      <c r="A47" s="253"/>
      <c r="B47" s="1093"/>
      <c r="C47" s="106" t="s">
        <v>48</v>
      </c>
      <c r="D47" s="107" t="s">
        <v>47</v>
      </c>
      <c r="E47" s="27">
        <f>(14.5+0.2*2)/1000</f>
        <v>1.49E-2</v>
      </c>
      <c r="F47" s="21">
        <f>E47*F40</f>
        <v>9.5061999999999998</v>
      </c>
      <c r="G47" s="27">
        <v>3.2</v>
      </c>
      <c r="H47" s="126">
        <f t="shared" si="3"/>
        <v>30.419840000000001</v>
      </c>
    </row>
    <row r="48" spans="1:8" ht="20.25" customHeight="1">
      <c r="A48" s="981" t="s">
        <v>67</v>
      </c>
      <c r="B48" s="982"/>
      <c r="C48" s="982"/>
      <c r="D48" s="982"/>
      <c r="E48" s="982"/>
      <c r="F48" s="982"/>
      <c r="G48" s="983"/>
      <c r="H48" s="21">
        <f>H37+H16+H9+H40+H29+H26</f>
        <v>37074.637573599997</v>
      </c>
    </row>
    <row r="49" spans="1:8" ht="20.25" customHeight="1">
      <c r="A49" s="981" t="s">
        <v>372</v>
      </c>
      <c r="B49" s="982"/>
      <c r="C49" s="982"/>
      <c r="D49" s="982"/>
      <c r="E49" s="982"/>
      <c r="F49" s="982"/>
      <c r="G49" s="983"/>
      <c r="H49" s="28">
        <f>H48*0.1</f>
        <v>3707.4637573599998</v>
      </c>
    </row>
    <row r="50" spans="1:8" ht="20.25" customHeight="1">
      <c r="A50" s="981" t="s">
        <v>68</v>
      </c>
      <c r="B50" s="982"/>
      <c r="C50" s="982"/>
      <c r="D50" s="982"/>
      <c r="E50" s="982"/>
      <c r="F50" s="982"/>
      <c r="G50" s="983"/>
      <c r="H50" s="28">
        <f>H49+H48</f>
        <v>40782.101330959995</v>
      </c>
    </row>
    <row r="51" spans="1:8" ht="20.25" customHeight="1">
      <c r="A51" s="981" t="s">
        <v>373</v>
      </c>
      <c r="B51" s="982"/>
      <c r="C51" s="982"/>
      <c r="D51" s="982"/>
      <c r="E51" s="982"/>
      <c r="F51" s="982"/>
      <c r="G51" s="983"/>
      <c r="H51" s="28">
        <f>H50*0.08</f>
        <v>3262.5681064767996</v>
      </c>
    </row>
    <row r="52" spans="1:8" ht="20.25" customHeight="1">
      <c r="A52" s="981" t="s">
        <v>69</v>
      </c>
      <c r="B52" s="982"/>
      <c r="C52" s="982"/>
      <c r="D52" s="982"/>
      <c r="E52" s="982"/>
      <c r="F52" s="982"/>
      <c r="G52" s="983"/>
      <c r="H52" s="28">
        <f>H51+H50</f>
        <v>44044.669437436794</v>
      </c>
    </row>
    <row r="53" spans="1:8" ht="45" customHeight="1">
      <c r="A53" s="1005" t="s">
        <v>149</v>
      </c>
      <c r="B53" s="1005"/>
      <c r="C53" s="1005"/>
      <c r="D53" s="1005"/>
      <c r="E53" s="1005"/>
      <c r="F53" s="1005"/>
      <c r="G53" s="1005"/>
      <c r="H53" s="1005"/>
    </row>
  </sheetData>
  <mergeCells count="21">
    <mergeCell ref="A1:H1"/>
    <mergeCell ref="A2:H2"/>
    <mergeCell ref="A3:H3"/>
    <mergeCell ref="B4:E4"/>
    <mergeCell ref="B37:B39"/>
    <mergeCell ref="G4:H4"/>
    <mergeCell ref="A52:G52"/>
    <mergeCell ref="B29:B36"/>
    <mergeCell ref="A51:G51"/>
    <mergeCell ref="D5:D7"/>
    <mergeCell ref="A53:H53"/>
    <mergeCell ref="A48:G48"/>
    <mergeCell ref="A49:G49"/>
    <mergeCell ref="A9:A15"/>
    <mergeCell ref="B9:B15"/>
    <mergeCell ref="B40:B47"/>
    <mergeCell ref="G5:H5"/>
    <mergeCell ref="A50:G50"/>
    <mergeCell ref="E5:F5"/>
    <mergeCell ref="B16:B25"/>
    <mergeCell ref="B26:B28"/>
  </mergeCells>
  <printOptions horizontalCentered="1"/>
  <pageMargins left="0.39370078740157483" right="0.39370078740157483" top="0.27559055118110237" bottom="0.19685039370078741" header="0.19685039370078741" footer="0.1574803149606299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BreakPreview" zoomScale="90" zoomScaleNormal="100" zoomScaleSheetLayoutView="90" workbookViewId="0">
      <selection activeCell="K16" sqref="K16"/>
    </sheetView>
  </sheetViews>
  <sheetFormatPr defaultRowHeight="12.75"/>
  <cols>
    <col min="1" max="1" width="4.5703125" style="111" customWidth="1"/>
    <col min="2" max="2" width="9.140625" style="111" customWidth="1"/>
    <col min="3" max="3" width="74.7109375" style="116" customWidth="1"/>
    <col min="4" max="4" width="10" style="111" customWidth="1"/>
    <col min="5" max="5" width="11.7109375" style="111" customWidth="1"/>
    <col min="6" max="6" width="13.7109375" style="111" customWidth="1"/>
    <col min="7" max="7" width="11" style="111" customWidth="1"/>
    <col min="8" max="8" width="11.28515625" style="111" customWidth="1"/>
    <col min="9" max="16384" width="9.140625" style="111"/>
  </cols>
  <sheetData>
    <row r="1" spans="1:8" ht="43.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26.25" customHeight="1">
      <c r="A2" s="972" t="s">
        <v>382</v>
      </c>
      <c r="B2" s="972"/>
      <c r="C2" s="972"/>
      <c r="D2" s="972"/>
      <c r="E2" s="972"/>
      <c r="F2" s="972"/>
      <c r="G2" s="972"/>
      <c r="H2" s="972"/>
    </row>
    <row r="3" spans="1:8" ht="23.25" customHeight="1">
      <c r="A3" s="972" t="s">
        <v>183</v>
      </c>
      <c r="B3" s="972"/>
      <c r="C3" s="972"/>
      <c r="D3" s="972"/>
      <c r="E3" s="972"/>
      <c r="F3" s="972"/>
      <c r="G3" s="972"/>
      <c r="H3" s="972"/>
    </row>
    <row r="4" spans="1:8" ht="24" customHeight="1">
      <c r="A4" s="973" t="s">
        <v>61</v>
      </c>
      <c r="B4" s="973"/>
      <c r="C4" s="973"/>
      <c r="D4" s="968" t="s">
        <v>4</v>
      </c>
      <c r="E4" s="968"/>
      <c r="F4" s="968"/>
      <c r="G4" s="218">
        <f>H17/1000</f>
        <v>2.0027300673599995</v>
      </c>
      <c r="H4" s="219" t="s">
        <v>55</v>
      </c>
    </row>
    <row r="5" spans="1:8" ht="18" customHeight="1">
      <c r="A5" s="984" t="s">
        <v>17</v>
      </c>
      <c r="B5" s="984" t="s">
        <v>5</v>
      </c>
      <c r="C5" s="984" t="s">
        <v>62</v>
      </c>
      <c r="D5" s="986" t="s">
        <v>181</v>
      </c>
      <c r="E5" s="987" t="s">
        <v>7</v>
      </c>
      <c r="F5" s="988"/>
      <c r="G5" s="966" t="s">
        <v>2</v>
      </c>
      <c r="H5" s="966"/>
    </row>
    <row r="6" spans="1:8" ht="33.75" customHeight="1">
      <c r="A6" s="985"/>
      <c r="B6" s="985"/>
      <c r="C6" s="985"/>
      <c r="D6" s="986"/>
      <c r="E6" s="96" t="s">
        <v>10</v>
      </c>
      <c r="F6" s="112" t="s">
        <v>9</v>
      </c>
      <c r="G6" s="102" t="s">
        <v>10</v>
      </c>
      <c r="H6" s="102" t="s">
        <v>1</v>
      </c>
    </row>
    <row r="7" spans="1:8" ht="15.75" customHeight="1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</row>
    <row r="8" spans="1:8" ht="72.75" customHeight="1">
      <c r="A8" s="399">
        <v>1</v>
      </c>
      <c r="B8" s="731" t="s">
        <v>184</v>
      </c>
      <c r="C8" s="797" t="s">
        <v>636</v>
      </c>
      <c r="D8" s="402" t="s">
        <v>186</v>
      </c>
      <c r="E8" s="402"/>
      <c r="F8" s="693">
        <f>(874+84+36+34+85)*2/1000+0.004</f>
        <v>2.23</v>
      </c>
      <c r="G8" s="402"/>
      <c r="H8" s="403">
        <f>H9+H12+H10+H11</f>
        <v>1685.7997199999995</v>
      </c>
    </row>
    <row r="9" spans="1:8" ht="18.95" customHeight="1">
      <c r="A9" s="404"/>
      <c r="B9" s="405"/>
      <c r="C9" s="270" t="s">
        <v>57</v>
      </c>
      <c r="D9" s="406" t="s">
        <v>58</v>
      </c>
      <c r="E9" s="406">
        <v>3.25</v>
      </c>
      <c r="F9" s="409">
        <f>E9*F8</f>
        <v>7.2474999999999996</v>
      </c>
      <c r="G9" s="406">
        <v>6</v>
      </c>
      <c r="H9" s="409">
        <f>F9*G9</f>
        <v>43.484999999999999</v>
      </c>
    </row>
    <row r="10" spans="1:8" ht="18.95" customHeight="1">
      <c r="A10" s="404"/>
      <c r="B10" s="405"/>
      <c r="C10" s="734" t="s">
        <v>185</v>
      </c>
      <c r="D10" s="406" t="s">
        <v>58</v>
      </c>
      <c r="E10" s="406">
        <v>0.88</v>
      </c>
      <c r="F10" s="409">
        <f>E10*F8</f>
        <v>1.9623999999999999</v>
      </c>
      <c r="G10" s="406">
        <v>175</v>
      </c>
      <c r="H10" s="409">
        <f>F10*G10</f>
        <v>343.41999999999996</v>
      </c>
    </row>
    <row r="11" spans="1:8" ht="18.95" customHeight="1">
      <c r="A11" s="404"/>
      <c r="B11" s="405"/>
      <c r="C11" s="734" t="s">
        <v>74</v>
      </c>
      <c r="D11" s="735" t="s">
        <v>47</v>
      </c>
      <c r="E11" s="406">
        <v>3.52</v>
      </c>
      <c r="F11" s="409">
        <f>E11*F8</f>
        <v>7.8495999999999997</v>
      </c>
      <c r="G11" s="406">
        <v>3.2</v>
      </c>
      <c r="H11" s="409">
        <f>F11*G11</f>
        <v>25.11872</v>
      </c>
    </row>
    <row r="12" spans="1:8" ht="18.95" customHeight="1">
      <c r="A12" s="404"/>
      <c r="B12" s="410"/>
      <c r="C12" s="270" t="s">
        <v>637</v>
      </c>
      <c r="D12" s="406" t="s">
        <v>49</v>
      </c>
      <c r="E12" s="406">
        <v>42</v>
      </c>
      <c r="F12" s="409">
        <f>E12*F8</f>
        <v>93.66</v>
      </c>
      <c r="G12" s="406">
        <v>13.6</v>
      </c>
      <c r="H12" s="417">
        <f>F12*G12</f>
        <v>1273.7759999999998</v>
      </c>
    </row>
    <row r="13" spans="1:8" ht="18.95" customHeight="1">
      <c r="A13" s="987" t="s">
        <v>51</v>
      </c>
      <c r="B13" s="1100"/>
      <c r="C13" s="1100"/>
      <c r="D13" s="1100"/>
      <c r="E13" s="1100"/>
      <c r="F13" s="1100"/>
      <c r="G13" s="988"/>
      <c r="H13" s="113">
        <f>H8</f>
        <v>1685.7997199999995</v>
      </c>
    </row>
    <row r="14" spans="1:8" ht="18.95" customHeight="1">
      <c r="A14" s="981" t="s">
        <v>372</v>
      </c>
      <c r="B14" s="982"/>
      <c r="C14" s="982"/>
      <c r="D14" s="982"/>
      <c r="E14" s="982"/>
      <c r="F14" s="982"/>
      <c r="G14" s="983"/>
      <c r="H14" s="28">
        <f>H13*0.1</f>
        <v>168.57997199999997</v>
      </c>
    </row>
    <row r="15" spans="1:8" ht="18.95" customHeight="1">
      <c r="A15" s="981" t="s">
        <v>68</v>
      </c>
      <c r="B15" s="982"/>
      <c r="C15" s="982"/>
      <c r="D15" s="982"/>
      <c r="E15" s="982"/>
      <c r="F15" s="982"/>
      <c r="G15" s="983"/>
      <c r="H15" s="28">
        <f>H13+H14</f>
        <v>1854.3796919999995</v>
      </c>
    </row>
    <row r="16" spans="1:8" ht="18.95" customHeight="1">
      <c r="A16" s="981" t="s">
        <v>373</v>
      </c>
      <c r="B16" s="982"/>
      <c r="C16" s="982"/>
      <c r="D16" s="982"/>
      <c r="E16" s="982"/>
      <c r="F16" s="982"/>
      <c r="G16" s="983"/>
      <c r="H16" s="28">
        <f>H15*0.08</f>
        <v>148.35037535999996</v>
      </c>
    </row>
    <row r="17" spans="1:8" ht="18.95" customHeight="1">
      <c r="A17" s="981" t="s">
        <v>69</v>
      </c>
      <c r="B17" s="982"/>
      <c r="C17" s="982"/>
      <c r="D17" s="982"/>
      <c r="E17" s="982"/>
      <c r="F17" s="982"/>
      <c r="G17" s="983"/>
      <c r="H17" s="28">
        <f>H15+H16</f>
        <v>2002.7300673599996</v>
      </c>
    </row>
    <row r="18" spans="1:8" ht="39" customHeight="1">
      <c r="A18" s="114"/>
      <c r="B18" s="114"/>
      <c r="C18" s="115"/>
      <c r="D18" s="114"/>
      <c r="E18" s="114"/>
      <c r="F18" s="114"/>
      <c r="G18" s="114"/>
      <c r="H18" s="114"/>
    </row>
    <row r="19" spans="1:8" ht="22.5" customHeight="1">
      <c r="A19" s="940" t="s">
        <v>149</v>
      </c>
      <c r="B19" s="940"/>
      <c r="C19" s="940"/>
      <c r="D19" s="940"/>
      <c r="E19" s="940"/>
      <c r="F19" s="940"/>
      <c r="G19" s="940"/>
      <c r="H19" s="940"/>
    </row>
  </sheetData>
  <mergeCells count="17">
    <mergeCell ref="G5:H5"/>
    <mergeCell ref="A17:G17"/>
    <mergeCell ref="A19:H19"/>
    <mergeCell ref="A13:G13"/>
    <mergeCell ref="A14:G14"/>
    <mergeCell ref="A15:G15"/>
    <mergeCell ref="A16:G16"/>
    <mergeCell ref="A5:A6"/>
    <mergeCell ref="B5:B6"/>
    <mergeCell ref="C5:C6"/>
    <mergeCell ref="D5:D6"/>
    <mergeCell ref="E5:F5"/>
    <mergeCell ref="A1:H1"/>
    <mergeCell ref="A2:H2"/>
    <mergeCell ref="A3:H3"/>
    <mergeCell ref="A4:C4"/>
    <mergeCell ref="D4:F4"/>
  </mergeCells>
  <printOptions horizontalCentered="1"/>
  <pageMargins left="0.23622047244094491" right="0.23622047244094491" top="0.35433070866141736" bottom="0.31496062992125984" header="0.23622047244094491" footer="0.1968503937007874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75" zoomScaleNormal="100" zoomScaleSheetLayoutView="75" workbookViewId="0">
      <selection activeCell="K16" sqref="K16"/>
    </sheetView>
  </sheetViews>
  <sheetFormatPr defaultRowHeight="16.5"/>
  <cols>
    <col min="1" max="1" width="4.7109375" style="14" customWidth="1"/>
    <col min="2" max="2" width="8.85546875" style="15" customWidth="1"/>
    <col min="3" max="3" width="65" style="14" customWidth="1"/>
    <col min="4" max="4" width="10.42578125" style="14" customWidth="1"/>
    <col min="5" max="8" width="14" style="14" customWidth="1"/>
    <col min="9" max="9" width="15.85546875" style="14" customWidth="1"/>
    <col min="10" max="10" width="13.7109375" style="13" customWidth="1"/>
    <col min="11" max="12" width="13.28515625" style="14" bestFit="1" customWidth="1"/>
    <col min="13" max="16384" width="9.140625" style="14"/>
  </cols>
  <sheetData>
    <row r="1" spans="1:11" ht="39.7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11" ht="21" customHeight="1">
      <c r="A2" s="1104" t="s">
        <v>383</v>
      </c>
      <c r="B2" s="1104"/>
      <c r="C2" s="1104"/>
      <c r="D2" s="1104"/>
      <c r="E2" s="1104"/>
      <c r="F2" s="1104"/>
      <c r="G2" s="1104"/>
      <c r="H2" s="1104"/>
    </row>
    <row r="3" spans="1:11" ht="21" customHeight="1">
      <c r="A3" s="1104" t="s">
        <v>320</v>
      </c>
      <c r="B3" s="1104"/>
      <c r="C3" s="1104"/>
      <c r="D3" s="1104"/>
      <c r="E3" s="1104"/>
      <c r="F3" s="1104"/>
      <c r="G3" s="1104"/>
      <c r="H3" s="1104"/>
    </row>
    <row r="4" spans="1:11" ht="21" customHeight="1">
      <c r="B4" s="1036" t="s">
        <v>4</v>
      </c>
      <c r="C4" s="1036"/>
      <c r="D4" s="1036"/>
      <c r="E4" s="269">
        <f>H19/1000</f>
        <v>73.966080934944003</v>
      </c>
      <c r="F4" s="1105" t="s">
        <v>55</v>
      </c>
      <c r="G4" s="1105"/>
      <c r="H4" s="1105"/>
    </row>
    <row r="5" spans="1:11" ht="18" customHeight="1">
      <c r="A5" s="986" t="s">
        <v>0</v>
      </c>
      <c r="B5" s="986" t="s">
        <v>5</v>
      </c>
      <c r="C5" s="986" t="s">
        <v>6</v>
      </c>
      <c r="D5" s="986" t="s">
        <v>181</v>
      </c>
      <c r="E5" s="986" t="s">
        <v>7</v>
      </c>
      <c r="F5" s="986"/>
      <c r="G5" s="986" t="s">
        <v>2</v>
      </c>
      <c r="H5" s="986"/>
    </row>
    <row r="6" spans="1:11" ht="34.5" customHeight="1">
      <c r="A6" s="986"/>
      <c r="B6" s="986"/>
      <c r="C6" s="986"/>
      <c r="D6" s="986"/>
      <c r="E6" s="16" t="s">
        <v>8</v>
      </c>
      <c r="F6" s="16" t="s">
        <v>9</v>
      </c>
      <c r="G6" s="16" t="s">
        <v>10</v>
      </c>
      <c r="H6" s="16" t="s">
        <v>1</v>
      </c>
    </row>
    <row r="7" spans="1:11" ht="15" customHeight="1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11" ht="85.5" customHeight="1">
      <c r="A8" s="1030">
        <v>1</v>
      </c>
      <c r="B8" s="1101" t="s">
        <v>321</v>
      </c>
      <c r="C8" s="171" t="s">
        <v>328</v>
      </c>
      <c r="D8" s="311" t="s">
        <v>176</v>
      </c>
      <c r="E8" s="142"/>
      <c r="F8" s="143">
        <f>'ლითონის თვალამრ'!E7</f>
        <v>740</v>
      </c>
      <c r="G8" s="151"/>
      <c r="H8" s="143">
        <f>H9+H10+H11+H13+H14+H12</f>
        <v>62261.010888000004</v>
      </c>
    </row>
    <row r="9" spans="1:11" ht="21" customHeight="1">
      <c r="A9" s="1031"/>
      <c r="B9" s="1102"/>
      <c r="C9" s="160" t="s">
        <v>3</v>
      </c>
      <c r="D9" s="135" t="s">
        <v>46</v>
      </c>
      <c r="E9" s="146">
        <v>1.33</v>
      </c>
      <c r="F9" s="147">
        <f>E9*F8</f>
        <v>984.2</v>
      </c>
      <c r="G9" s="152">
        <v>6</v>
      </c>
      <c r="H9" s="147">
        <f t="shared" ref="H9:H14" si="0">F9*G9</f>
        <v>5905.2000000000007</v>
      </c>
      <c r="I9" s="191"/>
      <c r="J9" s="192"/>
      <c r="K9" s="191"/>
    </row>
    <row r="10" spans="1:11" ht="21" customHeight="1">
      <c r="A10" s="1031"/>
      <c r="B10" s="1102"/>
      <c r="C10" s="266" t="s">
        <v>322</v>
      </c>
      <c r="D10" s="135" t="s">
        <v>154</v>
      </c>
      <c r="E10" s="146">
        <v>3.6900000000000002E-2</v>
      </c>
      <c r="F10" s="147">
        <f>E10*F8</f>
        <v>27.306000000000001</v>
      </c>
      <c r="G10" s="394">
        <v>48.82</v>
      </c>
      <c r="H10" s="147">
        <f t="shared" si="0"/>
        <v>1333.0789200000002</v>
      </c>
      <c r="I10" s="191"/>
      <c r="J10" s="192"/>
      <c r="K10" s="191"/>
    </row>
    <row r="11" spans="1:11" ht="21" customHeight="1">
      <c r="A11" s="1031"/>
      <c r="B11" s="1102"/>
      <c r="C11" s="266" t="s">
        <v>329</v>
      </c>
      <c r="D11" s="135" t="s">
        <v>154</v>
      </c>
      <c r="E11" s="146">
        <v>2.64E-2</v>
      </c>
      <c r="F11" s="147">
        <f>E11*F8</f>
        <v>19.536000000000001</v>
      </c>
      <c r="G11" s="152">
        <v>3.2</v>
      </c>
      <c r="H11" s="147">
        <f t="shared" si="0"/>
        <v>62.515200000000007</v>
      </c>
      <c r="I11" s="191"/>
      <c r="J11" s="192"/>
      <c r="K11" s="191"/>
    </row>
    <row r="12" spans="1:11" ht="21" customHeight="1">
      <c r="A12" s="1031"/>
      <c r="B12" s="1102"/>
      <c r="C12" s="266" t="s">
        <v>330</v>
      </c>
      <c r="D12" s="135" t="s">
        <v>53</v>
      </c>
      <c r="E12" s="146">
        <f>0.0372</f>
        <v>3.7199999999999997E-2</v>
      </c>
      <c r="F12" s="147">
        <f>E12*F8</f>
        <v>27.527999999999999</v>
      </c>
      <c r="G12" s="152">
        <f>კალკულაცია!J16</f>
        <v>124.456</v>
      </c>
      <c r="H12" s="147">
        <f t="shared" si="0"/>
        <v>3426.0247679999998</v>
      </c>
      <c r="I12" s="191"/>
      <c r="J12" s="192"/>
      <c r="K12" s="191"/>
    </row>
    <row r="13" spans="1:11" ht="21" customHeight="1">
      <c r="A13" s="1031"/>
      <c r="B13" s="1102"/>
      <c r="C13" s="266" t="s">
        <v>323</v>
      </c>
      <c r="D13" s="135" t="s">
        <v>176</v>
      </c>
      <c r="E13" s="146">
        <v>1</v>
      </c>
      <c r="F13" s="147">
        <f>E13*F8</f>
        <v>740</v>
      </c>
      <c r="G13" s="152">
        <v>68.3</v>
      </c>
      <c r="H13" s="147">
        <f t="shared" si="0"/>
        <v>50542</v>
      </c>
    </row>
    <row r="14" spans="1:11" ht="21" customHeight="1">
      <c r="A14" s="1032"/>
      <c r="B14" s="1103"/>
      <c r="C14" s="267" t="s">
        <v>48</v>
      </c>
      <c r="D14" s="162" t="s">
        <v>47</v>
      </c>
      <c r="E14" s="149">
        <v>0.41899999999999998</v>
      </c>
      <c r="F14" s="150">
        <f>E14*F8</f>
        <v>310.06</v>
      </c>
      <c r="G14" s="154">
        <v>3.2</v>
      </c>
      <c r="H14" s="150">
        <f t="shared" si="0"/>
        <v>992.19200000000001</v>
      </c>
    </row>
    <row r="15" spans="1:11" ht="21" customHeight="1">
      <c r="A15" s="1049" t="s">
        <v>50</v>
      </c>
      <c r="B15" s="1050"/>
      <c r="C15" s="1050"/>
      <c r="D15" s="1050"/>
      <c r="E15" s="1050"/>
      <c r="F15" s="1051"/>
      <c r="G15" s="36"/>
      <c r="H15" s="28">
        <f>H8</f>
        <v>62261.010888000004</v>
      </c>
    </row>
    <row r="16" spans="1:11" ht="21" customHeight="1">
      <c r="A16" s="1049" t="s">
        <v>374</v>
      </c>
      <c r="B16" s="1050"/>
      <c r="C16" s="1050"/>
      <c r="D16" s="1050"/>
      <c r="E16" s="1050"/>
      <c r="F16" s="1051"/>
      <c r="G16" s="36"/>
      <c r="H16" s="28">
        <f>H15*0.1</f>
        <v>6226.101088800001</v>
      </c>
    </row>
    <row r="17" spans="1:8" ht="21" customHeight="1">
      <c r="A17" s="1049" t="s">
        <v>51</v>
      </c>
      <c r="B17" s="1050"/>
      <c r="C17" s="1050"/>
      <c r="D17" s="1050"/>
      <c r="E17" s="1050"/>
      <c r="F17" s="1051"/>
      <c r="G17" s="36"/>
      <c r="H17" s="28">
        <f>H16+H15</f>
        <v>68487.111976800006</v>
      </c>
    </row>
    <row r="18" spans="1:8" ht="21" customHeight="1">
      <c r="A18" s="1049" t="s">
        <v>375</v>
      </c>
      <c r="B18" s="1050"/>
      <c r="C18" s="1050"/>
      <c r="D18" s="1050"/>
      <c r="E18" s="1050"/>
      <c r="F18" s="1051"/>
      <c r="G18" s="36"/>
      <c r="H18" s="28">
        <f>H17*0.08</f>
        <v>5478.9689581440007</v>
      </c>
    </row>
    <row r="19" spans="1:8" ht="21" customHeight="1">
      <c r="A19" s="1049" t="s">
        <v>52</v>
      </c>
      <c r="B19" s="1050"/>
      <c r="C19" s="1050"/>
      <c r="D19" s="1050"/>
      <c r="E19" s="1050"/>
      <c r="F19" s="1051"/>
      <c r="G19" s="36"/>
      <c r="H19" s="28">
        <f>H18+H17</f>
        <v>73966.08093494401</v>
      </c>
    </row>
    <row r="20" spans="1:8" ht="60" customHeight="1">
      <c r="A20" s="1005" t="s">
        <v>667</v>
      </c>
      <c r="B20" s="1005"/>
      <c r="C20" s="1005"/>
      <c r="D20" s="1005"/>
      <c r="E20" s="1005"/>
      <c r="F20" s="1005"/>
      <c r="G20" s="1005"/>
      <c r="H20" s="1005"/>
    </row>
  </sheetData>
  <mergeCells count="19">
    <mergeCell ref="A8:A14"/>
    <mergeCell ref="B8:B14"/>
    <mergeCell ref="A15:F15"/>
    <mergeCell ref="G5:H5"/>
    <mergeCell ref="A1:H1"/>
    <mergeCell ref="A2:H2"/>
    <mergeCell ref="A3:H3"/>
    <mergeCell ref="B4:D4"/>
    <mergeCell ref="F4:H4"/>
    <mergeCell ref="A5:A6"/>
    <mergeCell ref="B5:B6"/>
    <mergeCell ref="C5:C6"/>
    <mergeCell ref="D5:D6"/>
    <mergeCell ref="E5:F5"/>
    <mergeCell ref="A20:H20"/>
    <mergeCell ref="A16:F16"/>
    <mergeCell ref="A17:F17"/>
    <mergeCell ref="A18:F18"/>
    <mergeCell ref="A19:F19"/>
  </mergeCells>
  <printOptions horizontalCentered="1"/>
  <pageMargins left="0.31496062992125984" right="0.23622047244094491" top="0.19685039370078741" bottom="0.27559055118110237" header="0.19685039370078741" footer="0.2362204724409449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topLeftCell="A52" zoomScale="90" zoomScaleNormal="90" zoomScaleSheetLayoutView="90" workbookViewId="0">
      <selection activeCell="K16" sqref="K16"/>
    </sheetView>
  </sheetViews>
  <sheetFormatPr defaultRowHeight="12.75"/>
  <cols>
    <col min="1" max="1" width="3.42578125" style="111" customWidth="1"/>
    <col min="2" max="2" width="11.28515625" style="111" customWidth="1"/>
    <col min="3" max="3" width="70.85546875" style="116" customWidth="1"/>
    <col min="4" max="4" width="13.5703125" style="111" customWidth="1"/>
    <col min="5" max="5" width="12" style="111" customWidth="1"/>
    <col min="6" max="6" width="12.85546875" style="111" customWidth="1"/>
    <col min="7" max="7" width="10" style="111" customWidth="1"/>
    <col min="8" max="8" width="11.5703125" style="111" customWidth="1"/>
    <col min="9" max="16384" width="9.140625" style="111"/>
  </cols>
  <sheetData>
    <row r="1" spans="1:8" ht="34.5" customHeight="1">
      <c r="A1" s="970" t="str">
        <f>krepsiTi!A13</f>
        <v>saerTaSoriso mniSvnelobis senaki-foTi (asaqcevi)-sarfis (TurqeTis respublikis sazRvari) s/gzis Caqvi-maxinjauris monakveTze, saavtomobilo gvirabis mimdebared, mosabrunebeli saavtomobilo gzis mowyoba</v>
      </c>
      <c r="B1" s="971"/>
      <c r="C1" s="971"/>
      <c r="D1" s="971"/>
      <c r="E1" s="971"/>
      <c r="F1" s="971"/>
      <c r="G1" s="971"/>
      <c r="H1" s="971"/>
    </row>
    <row r="2" spans="1:8" ht="20.25" customHeight="1">
      <c r="A2" s="866" t="s">
        <v>506</v>
      </c>
      <c r="B2" s="866"/>
      <c r="C2" s="866"/>
      <c r="D2" s="866"/>
      <c r="E2" s="866"/>
      <c r="F2" s="866"/>
      <c r="G2" s="866"/>
      <c r="H2" s="866"/>
    </row>
    <row r="3" spans="1:8" ht="18" customHeight="1">
      <c r="A3" s="972" t="s">
        <v>516</v>
      </c>
      <c r="B3" s="972"/>
      <c r="C3" s="972"/>
      <c r="D3" s="972"/>
      <c r="E3" s="972"/>
      <c r="F3" s="972"/>
      <c r="G3" s="972"/>
      <c r="H3" s="972"/>
    </row>
    <row r="4" spans="1:8" ht="20.25" customHeight="1">
      <c r="A4" s="548"/>
      <c r="B4" s="1036" t="s">
        <v>4</v>
      </c>
      <c r="C4" s="1036"/>
      <c r="D4" s="1036"/>
      <c r="E4" s="1036"/>
      <c r="F4" s="29">
        <f>H78/1000</f>
        <v>39.094848843984003</v>
      </c>
      <c r="G4" s="1105" t="s">
        <v>56</v>
      </c>
      <c r="H4" s="1105"/>
    </row>
    <row r="5" spans="1:8" ht="20.25" customHeight="1">
      <c r="A5" s="549"/>
      <c r="B5" s="549"/>
      <c r="C5" s="549"/>
      <c r="D5" s="1087" t="s">
        <v>181</v>
      </c>
      <c r="E5" s="987" t="s">
        <v>7</v>
      </c>
      <c r="F5" s="988"/>
      <c r="G5" s="966" t="s">
        <v>2</v>
      </c>
      <c r="H5" s="966"/>
    </row>
    <row r="6" spans="1:8" ht="20.25" customHeight="1">
      <c r="A6" s="175" t="s">
        <v>0</v>
      </c>
      <c r="B6" s="175" t="s">
        <v>5</v>
      </c>
      <c r="C6" s="175" t="s">
        <v>62</v>
      </c>
      <c r="D6" s="1088"/>
      <c r="E6" s="549" t="s">
        <v>8</v>
      </c>
      <c r="F6" s="549" t="s">
        <v>70</v>
      </c>
      <c r="G6" s="175" t="s">
        <v>10</v>
      </c>
      <c r="H6" s="175" t="s">
        <v>1</v>
      </c>
    </row>
    <row r="7" spans="1:8" ht="18" customHeight="1">
      <c r="A7" s="109"/>
      <c r="B7" s="109"/>
      <c r="C7" s="109"/>
      <c r="D7" s="1089"/>
      <c r="E7" s="109"/>
      <c r="F7" s="107" t="s">
        <v>71</v>
      </c>
      <c r="G7" s="109"/>
      <c r="H7" s="109"/>
    </row>
    <row r="8" spans="1:8" ht="16.5" customHeight="1">
      <c r="A8" s="174">
        <v>1</v>
      </c>
      <c r="B8" s="174">
        <v>2</v>
      </c>
      <c r="C8" s="174">
        <v>3</v>
      </c>
      <c r="D8" s="798">
        <v>4</v>
      </c>
      <c r="E8" s="174">
        <v>5</v>
      </c>
      <c r="F8" s="174">
        <v>6</v>
      </c>
      <c r="G8" s="174">
        <v>7</v>
      </c>
      <c r="H8" s="174">
        <v>8</v>
      </c>
    </row>
    <row r="9" spans="1:8" ht="36" customHeight="1">
      <c r="A9" s="399">
        <v>2</v>
      </c>
      <c r="B9" s="400" t="s">
        <v>249</v>
      </c>
      <c r="C9" s="401" t="s">
        <v>615</v>
      </c>
      <c r="D9" s="402" t="s">
        <v>53</v>
      </c>
      <c r="E9" s="402"/>
      <c r="F9" s="403">
        <v>34</v>
      </c>
      <c r="G9" s="402"/>
      <c r="H9" s="403">
        <f>H12+H10+H11</f>
        <v>41.011412</v>
      </c>
    </row>
    <row r="10" spans="1:8" ht="18.95" customHeight="1">
      <c r="A10" s="404"/>
      <c r="B10" s="405"/>
      <c r="C10" s="270" t="s">
        <v>57</v>
      </c>
      <c r="D10" s="406" t="s">
        <v>58</v>
      </c>
      <c r="E10" s="407">
        <v>9.2499999999999995E-3</v>
      </c>
      <c r="F10" s="408">
        <f>E10*F9</f>
        <v>0.3145</v>
      </c>
      <c r="G10" s="407">
        <v>6</v>
      </c>
      <c r="H10" s="409">
        <f>F10*G10</f>
        <v>1.887</v>
      </c>
    </row>
    <row r="11" spans="1:8" ht="18.95" customHeight="1">
      <c r="A11" s="404"/>
      <c r="B11" s="410"/>
      <c r="C11" s="271" t="s">
        <v>304</v>
      </c>
      <c r="D11" s="406" t="s">
        <v>64</v>
      </c>
      <c r="E11" s="407">
        <v>2.07E-2</v>
      </c>
      <c r="F11" s="408">
        <f>E11*F9</f>
        <v>0.70379999999999998</v>
      </c>
      <c r="G11" s="411">
        <v>55.38</v>
      </c>
      <c r="H11" s="409">
        <f>F11*G11</f>
        <v>38.976444000000001</v>
      </c>
    </row>
    <row r="12" spans="1:8" ht="18.95" customHeight="1">
      <c r="A12" s="412"/>
      <c r="B12" s="412"/>
      <c r="C12" s="272" t="s">
        <v>59</v>
      </c>
      <c r="D12" s="413" t="s">
        <v>47</v>
      </c>
      <c r="E12" s="414">
        <v>1.3600000000000001E-3</v>
      </c>
      <c r="F12" s="415">
        <f>E12*F9</f>
        <v>4.6240000000000003E-2</v>
      </c>
      <c r="G12" s="414">
        <v>3.2</v>
      </c>
      <c r="H12" s="417">
        <f>F12*G12</f>
        <v>0.14796800000000002</v>
      </c>
    </row>
    <row r="13" spans="1:8" ht="24" customHeight="1">
      <c r="A13" s="671">
        <v>3</v>
      </c>
      <c r="B13" s="107" t="s">
        <v>465</v>
      </c>
      <c r="C13" s="250" t="s">
        <v>397</v>
      </c>
      <c r="D13" s="102" t="s">
        <v>65</v>
      </c>
      <c r="E13" s="730" t="s">
        <v>614</v>
      </c>
      <c r="F13" s="730">
        <f>34*1.6</f>
        <v>54.400000000000006</v>
      </c>
      <c r="G13" s="730">
        <v>5.63</v>
      </c>
      <c r="H13" s="552">
        <f>F13*G13</f>
        <v>306.27200000000005</v>
      </c>
    </row>
    <row r="14" spans="1:8" ht="24" customHeight="1">
      <c r="A14" s="1106">
        <v>4</v>
      </c>
      <c r="B14" s="1109" t="s">
        <v>259</v>
      </c>
      <c r="C14" s="508" t="s">
        <v>466</v>
      </c>
      <c r="D14" s="194" t="s">
        <v>461</v>
      </c>
      <c r="E14" s="553"/>
      <c r="F14" s="550">
        <f>0.018/8*28</f>
        <v>6.3E-2</v>
      </c>
      <c r="G14" s="551"/>
      <c r="H14" s="554">
        <f>H15+H18+H16+H17</f>
        <v>869.7447360000001</v>
      </c>
    </row>
    <row r="15" spans="1:8" ht="18.95" customHeight="1">
      <c r="A15" s="1107"/>
      <c r="B15" s="1110"/>
      <c r="C15" s="250" t="s">
        <v>57</v>
      </c>
      <c r="D15" s="102" t="s">
        <v>58</v>
      </c>
      <c r="E15" s="729">
        <v>137</v>
      </c>
      <c r="F15" s="103">
        <f>E15*F14</f>
        <v>8.6310000000000002</v>
      </c>
      <c r="G15" s="555">
        <v>6</v>
      </c>
      <c r="H15" s="103">
        <f>F15*G15</f>
        <v>51.786000000000001</v>
      </c>
    </row>
    <row r="16" spans="1:8" ht="18.95" customHeight="1">
      <c r="A16" s="1107"/>
      <c r="B16" s="1110"/>
      <c r="C16" s="579" t="s">
        <v>148</v>
      </c>
      <c r="D16" s="576" t="s">
        <v>47</v>
      </c>
      <c r="E16" s="260">
        <v>28.3</v>
      </c>
      <c r="F16" s="147">
        <f>E16*F14</f>
        <v>1.7829000000000002</v>
      </c>
      <c r="G16" s="333">
        <v>3.2</v>
      </c>
      <c r="H16" s="147">
        <f>F16*G16</f>
        <v>5.705280000000001</v>
      </c>
    </row>
    <row r="17" spans="1:8" ht="18.95" customHeight="1">
      <c r="A17" s="1107"/>
      <c r="B17" s="1110"/>
      <c r="C17" s="250" t="s">
        <v>613</v>
      </c>
      <c r="D17" s="102" t="s">
        <v>53</v>
      </c>
      <c r="E17" s="729">
        <v>102</v>
      </c>
      <c r="F17" s="103">
        <f>E17*F14</f>
        <v>6.4260000000000002</v>
      </c>
      <c r="G17" s="556">
        <f>კალკულაცია!J16</f>
        <v>124.456</v>
      </c>
      <c r="H17" s="147">
        <f>F17*G17</f>
        <v>799.75425600000005</v>
      </c>
    </row>
    <row r="18" spans="1:8" ht="18.95" customHeight="1">
      <c r="A18" s="1108"/>
      <c r="B18" s="1111"/>
      <c r="C18" s="437" t="s">
        <v>59</v>
      </c>
      <c r="D18" s="717" t="s">
        <v>47</v>
      </c>
      <c r="E18" s="718">
        <v>62</v>
      </c>
      <c r="F18" s="719">
        <f>E18*F14</f>
        <v>3.9060000000000001</v>
      </c>
      <c r="G18" s="720">
        <v>3.2</v>
      </c>
      <c r="H18" s="719">
        <f>F18*G18</f>
        <v>12.499200000000002</v>
      </c>
    </row>
    <row r="19" spans="1:8" ht="24" customHeight="1">
      <c r="A19" s="1079">
        <v>4</v>
      </c>
      <c r="B19" s="1076" t="s">
        <v>467</v>
      </c>
      <c r="C19" s="211" t="s">
        <v>468</v>
      </c>
      <c r="D19" s="799" t="s">
        <v>223</v>
      </c>
      <c r="E19" s="559"/>
      <c r="F19" s="98">
        <v>28</v>
      </c>
      <c r="G19" s="560"/>
      <c r="H19" s="98">
        <f>H20+H21+H22+H23+H24+H25+H26+H27+H28</f>
        <v>18133.808000000001</v>
      </c>
    </row>
    <row r="20" spans="1:8" ht="18.95" customHeight="1">
      <c r="A20" s="1080"/>
      <c r="B20" s="1077"/>
      <c r="C20" s="212" t="s">
        <v>57</v>
      </c>
      <c r="D20" s="558" t="s">
        <v>58</v>
      </c>
      <c r="E20" s="561">
        <v>4.05</v>
      </c>
      <c r="F20" s="103">
        <f>E20*F19</f>
        <v>113.39999999999999</v>
      </c>
      <c r="G20" s="562">
        <v>6</v>
      </c>
      <c r="H20" s="103">
        <f t="shared" ref="H20:H28" si="0">F20*G20</f>
        <v>680.4</v>
      </c>
    </row>
    <row r="21" spans="1:8" ht="18.95" customHeight="1">
      <c r="A21" s="1080"/>
      <c r="B21" s="1077"/>
      <c r="C21" s="557" t="s">
        <v>469</v>
      </c>
      <c r="D21" s="558" t="s">
        <v>171</v>
      </c>
      <c r="E21" s="561">
        <v>1.8</v>
      </c>
      <c r="F21" s="103">
        <f>E21*F19</f>
        <v>50.4</v>
      </c>
      <c r="G21" s="26">
        <v>7.59</v>
      </c>
      <c r="H21" s="103">
        <f t="shared" si="0"/>
        <v>382.536</v>
      </c>
    </row>
    <row r="22" spans="1:8" ht="18.95" customHeight="1">
      <c r="A22" s="1080"/>
      <c r="B22" s="1077"/>
      <c r="C22" s="557" t="s">
        <v>470</v>
      </c>
      <c r="D22" s="558" t="s">
        <v>171</v>
      </c>
      <c r="E22" s="561">
        <v>3</v>
      </c>
      <c r="F22" s="103">
        <f>E22*F19</f>
        <v>84</v>
      </c>
      <c r="G22" s="562">
        <v>20.100000000000001</v>
      </c>
      <c r="H22" s="103">
        <f t="shared" si="0"/>
        <v>1688.4</v>
      </c>
    </row>
    <row r="23" spans="1:8" ht="18.95" customHeight="1">
      <c r="A23" s="1080"/>
      <c r="B23" s="1077"/>
      <c r="C23" s="557" t="s">
        <v>471</v>
      </c>
      <c r="D23" s="558" t="s">
        <v>171</v>
      </c>
      <c r="E23" s="561">
        <v>7</v>
      </c>
      <c r="F23" s="103">
        <f>E23*F19</f>
        <v>196</v>
      </c>
      <c r="G23" s="505">
        <v>30.4</v>
      </c>
      <c r="H23" s="103">
        <f t="shared" si="0"/>
        <v>5958.4</v>
      </c>
    </row>
    <row r="24" spans="1:8" ht="18.95" customHeight="1">
      <c r="A24" s="1080"/>
      <c r="B24" s="1077"/>
      <c r="C24" s="557" t="s">
        <v>472</v>
      </c>
      <c r="D24" s="558" t="s">
        <v>235</v>
      </c>
      <c r="E24" s="561">
        <v>0.03</v>
      </c>
      <c r="F24" s="103">
        <f>E24*F19</f>
        <v>0.84</v>
      </c>
      <c r="G24" s="26">
        <v>57.8</v>
      </c>
      <c r="H24" s="103">
        <f t="shared" si="0"/>
        <v>48.551999999999992</v>
      </c>
    </row>
    <row r="25" spans="1:8" ht="18.95" customHeight="1">
      <c r="A25" s="1080"/>
      <c r="B25" s="1077"/>
      <c r="C25" s="212" t="s">
        <v>490</v>
      </c>
      <c r="D25" s="558" t="s">
        <v>223</v>
      </c>
      <c r="E25" s="561">
        <v>1</v>
      </c>
      <c r="F25" s="103">
        <f>E25*F19</f>
        <v>28</v>
      </c>
      <c r="G25" s="562">
        <v>8</v>
      </c>
      <c r="H25" s="103">
        <f t="shared" si="0"/>
        <v>224</v>
      </c>
    </row>
    <row r="26" spans="1:8" ht="18.95" customHeight="1">
      <c r="A26" s="1080"/>
      <c r="B26" s="1077"/>
      <c r="C26" s="212" t="s">
        <v>473</v>
      </c>
      <c r="D26" s="558" t="s">
        <v>49</v>
      </c>
      <c r="E26" s="561" t="s">
        <v>474</v>
      </c>
      <c r="F26" s="103">
        <f>2.4/8*28</f>
        <v>8.4</v>
      </c>
      <c r="G26" s="562">
        <v>2.8</v>
      </c>
      <c r="H26" s="103">
        <f t="shared" si="0"/>
        <v>23.52</v>
      </c>
    </row>
    <row r="27" spans="1:8" ht="18.95" customHeight="1">
      <c r="A27" s="1080"/>
      <c r="B27" s="1077"/>
      <c r="C27" s="212" t="s">
        <v>475</v>
      </c>
      <c r="D27" s="558" t="s">
        <v>223</v>
      </c>
      <c r="E27" s="561">
        <v>1</v>
      </c>
      <c r="F27" s="103">
        <f>E27*F19</f>
        <v>28</v>
      </c>
      <c r="G27" s="26">
        <v>220</v>
      </c>
      <c r="H27" s="103">
        <f t="shared" si="0"/>
        <v>6160</v>
      </c>
    </row>
    <row r="28" spans="1:8" ht="17.25" customHeight="1">
      <c r="A28" s="1081"/>
      <c r="B28" s="1078"/>
      <c r="C28" s="106" t="s">
        <v>476</v>
      </c>
      <c r="D28" s="586" t="s">
        <v>223</v>
      </c>
      <c r="E28" s="563">
        <v>1</v>
      </c>
      <c r="F28" s="108">
        <f>E28*F19</f>
        <v>28</v>
      </c>
      <c r="G28" s="564">
        <v>106</v>
      </c>
      <c r="H28" s="108">
        <f t="shared" si="0"/>
        <v>2968</v>
      </c>
    </row>
    <row r="29" spans="1:8" ht="31.5" customHeight="1">
      <c r="A29" s="565">
        <v>5</v>
      </c>
      <c r="B29" s="731" t="s">
        <v>597</v>
      </c>
      <c r="C29" s="214" t="s">
        <v>477</v>
      </c>
      <c r="D29" s="96" t="s">
        <v>478</v>
      </c>
      <c r="E29" s="566"/>
      <c r="F29" s="25">
        <f>0.34/8*28</f>
        <v>1.1900000000000002</v>
      </c>
      <c r="G29" s="24"/>
      <c r="H29" s="25">
        <f>H30+H32+H31+H33</f>
        <v>617.01976000000013</v>
      </c>
    </row>
    <row r="30" spans="1:8" ht="21" customHeight="1">
      <c r="A30" s="567"/>
      <c r="B30" s="100"/>
      <c r="C30" s="489" t="s">
        <v>57</v>
      </c>
      <c r="D30" s="102" t="s">
        <v>58</v>
      </c>
      <c r="E30" s="24">
        <v>68</v>
      </c>
      <c r="F30" s="25">
        <f>E30*F29</f>
        <v>80.920000000000016</v>
      </c>
      <c r="G30" s="103">
        <v>6</v>
      </c>
      <c r="H30" s="25">
        <f>G30*F30</f>
        <v>485.5200000000001</v>
      </c>
    </row>
    <row r="31" spans="1:8" ht="21" customHeight="1">
      <c r="A31" s="567"/>
      <c r="B31" s="100"/>
      <c r="C31" s="574" t="s">
        <v>148</v>
      </c>
      <c r="D31" s="576" t="s">
        <v>47</v>
      </c>
      <c r="E31" s="260">
        <v>0.03</v>
      </c>
      <c r="F31" s="147">
        <f>E31*F29</f>
        <v>3.5700000000000003E-2</v>
      </c>
      <c r="G31" s="333">
        <v>3.2</v>
      </c>
      <c r="H31" s="147">
        <f>F31*G31</f>
        <v>0.11424000000000001</v>
      </c>
    </row>
    <row r="32" spans="1:8" ht="21" customHeight="1">
      <c r="A32" s="567"/>
      <c r="B32" s="100"/>
      <c r="C32" s="489" t="s">
        <v>479</v>
      </c>
      <c r="D32" s="102" t="s">
        <v>49</v>
      </c>
      <c r="E32" s="24">
        <v>24.4</v>
      </c>
      <c r="F32" s="25">
        <f>E32*F29</f>
        <v>29.036000000000001</v>
      </c>
      <c r="G32" s="25">
        <v>4.5</v>
      </c>
      <c r="H32" s="25">
        <f>F32*G32</f>
        <v>130.66200000000001</v>
      </c>
    </row>
    <row r="33" spans="1:8" ht="21" customHeight="1">
      <c r="A33" s="567"/>
      <c r="B33" s="100"/>
      <c r="C33" s="426" t="s">
        <v>59</v>
      </c>
      <c r="D33" s="741" t="s">
        <v>47</v>
      </c>
      <c r="E33" s="432">
        <v>0.19</v>
      </c>
      <c r="F33" s="712">
        <f>E33*F29</f>
        <v>0.22610000000000002</v>
      </c>
      <c r="G33" s="672">
        <v>3.2</v>
      </c>
      <c r="H33" s="712">
        <f>F33*G33</f>
        <v>0.72352000000000016</v>
      </c>
    </row>
    <row r="34" spans="1:8" ht="37.5" customHeight="1">
      <c r="A34" s="1120">
        <v>6</v>
      </c>
      <c r="B34" s="997" t="s">
        <v>648</v>
      </c>
      <c r="C34" s="755" t="s">
        <v>656</v>
      </c>
      <c r="D34" s="17" t="s">
        <v>176</v>
      </c>
      <c r="E34" s="18"/>
      <c r="F34" s="19">
        <v>880</v>
      </c>
      <c r="G34" s="18"/>
      <c r="H34" s="19">
        <f>H35+H36+H37+H38+H39</f>
        <v>1858.1023999999998</v>
      </c>
    </row>
    <row r="35" spans="1:8" ht="21" customHeight="1">
      <c r="A35" s="1121"/>
      <c r="B35" s="998"/>
      <c r="C35" s="756" t="s">
        <v>649</v>
      </c>
      <c r="D35" s="23" t="s">
        <v>642</v>
      </c>
      <c r="E35" s="754">
        <v>7.4999999999999997E-2</v>
      </c>
      <c r="F35" s="25">
        <f>E35*F34</f>
        <v>66</v>
      </c>
      <c r="G35" s="24">
        <v>6</v>
      </c>
      <c r="H35" s="25">
        <f>F35*G35</f>
        <v>396</v>
      </c>
    </row>
    <row r="36" spans="1:8" ht="21" customHeight="1">
      <c r="A36" s="1121"/>
      <c r="B36" s="998"/>
      <c r="C36" s="756" t="s">
        <v>650</v>
      </c>
      <c r="D36" s="23" t="s">
        <v>651</v>
      </c>
      <c r="E36" s="754">
        <v>6.9599999999999995E-2</v>
      </c>
      <c r="F36" s="25">
        <f>E36*F34</f>
        <v>61.247999999999998</v>
      </c>
      <c r="G36" s="24">
        <v>3.2</v>
      </c>
      <c r="H36" s="25">
        <f>F36*G36</f>
        <v>195.99360000000001</v>
      </c>
    </row>
    <row r="37" spans="1:8" ht="21" customHeight="1">
      <c r="A37" s="1121"/>
      <c r="B37" s="998"/>
      <c r="C37" s="756" t="s">
        <v>652</v>
      </c>
      <c r="D37" s="23" t="s">
        <v>653</v>
      </c>
      <c r="E37" s="754">
        <v>0.04</v>
      </c>
      <c r="F37" s="759">
        <f>F34*E37</f>
        <v>35.200000000000003</v>
      </c>
      <c r="G37" s="26">
        <f>კალკულაცია!J13</f>
        <v>32.103999999999999</v>
      </c>
      <c r="H37" s="25">
        <f>F37*G37</f>
        <v>1130.0608</v>
      </c>
    </row>
    <row r="38" spans="1:8" ht="21" customHeight="1">
      <c r="A38" s="1121"/>
      <c r="B38" s="998"/>
      <c r="C38" s="756" t="s">
        <v>654</v>
      </c>
      <c r="D38" s="23" t="s">
        <v>645</v>
      </c>
      <c r="E38" s="754">
        <v>1.02</v>
      </c>
      <c r="F38" s="759">
        <f>F34*E38</f>
        <v>897.6</v>
      </c>
      <c r="G38" s="24">
        <v>0.15</v>
      </c>
      <c r="H38" s="25">
        <f>F38*G38</f>
        <v>134.63999999999999</v>
      </c>
    </row>
    <row r="39" spans="1:8" ht="21" customHeight="1">
      <c r="A39" s="1122"/>
      <c r="B39" s="999"/>
      <c r="C39" s="757" t="s">
        <v>655</v>
      </c>
      <c r="D39" s="27" t="s">
        <v>651</v>
      </c>
      <c r="E39" s="758">
        <v>5.0000000000000001E-4</v>
      </c>
      <c r="F39" s="21">
        <f>E39*F34</f>
        <v>0.44</v>
      </c>
      <c r="G39" s="20">
        <v>3.2</v>
      </c>
      <c r="H39" s="21">
        <f>F39*G39</f>
        <v>1.4080000000000001</v>
      </c>
    </row>
    <row r="40" spans="1:8" ht="31.5" customHeight="1">
      <c r="A40" s="770">
        <v>7</v>
      </c>
      <c r="B40" s="1118" t="s">
        <v>640</v>
      </c>
      <c r="C40" s="692" t="s">
        <v>641</v>
      </c>
      <c r="D40" s="24" t="s">
        <v>176</v>
      </c>
      <c r="E40" s="23"/>
      <c r="F40" s="26">
        <v>880</v>
      </c>
      <c r="G40" s="23"/>
      <c r="H40" s="125">
        <f>H41+H42+H43</f>
        <v>4514.2592000000004</v>
      </c>
    </row>
    <row r="41" spans="1:8" ht="21" customHeight="1">
      <c r="A41" s="742"/>
      <c r="B41" s="1119"/>
      <c r="C41" s="424" t="s">
        <v>3</v>
      </c>
      <c r="D41" s="24" t="s">
        <v>46</v>
      </c>
      <c r="E41" s="749">
        <v>0.13900000000000001</v>
      </c>
      <c r="F41" s="26">
        <f>E41*F40</f>
        <v>122.32000000000001</v>
      </c>
      <c r="G41" s="23">
        <v>6</v>
      </c>
      <c r="H41" s="743">
        <f>F41*G41</f>
        <v>733.92000000000007</v>
      </c>
    </row>
    <row r="42" spans="1:8" ht="21" customHeight="1">
      <c r="A42" s="744"/>
      <c r="B42" s="747" t="s">
        <v>643</v>
      </c>
      <c r="C42" s="692" t="s">
        <v>644</v>
      </c>
      <c r="D42" s="24" t="s">
        <v>645</v>
      </c>
      <c r="E42" s="749">
        <v>1.02</v>
      </c>
      <c r="F42" s="26">
        <f>E42*F40</f>
        <v>897.6</v>
      </c>
      <c r="G42" s="23">
        <v>4.2</v>
      </c>
      <c r="H42" s="743">
        <f>F42*G42</f>
        <v>3769.92</v>
      </c>
    </row>
    <row r="43" spans="1:8" ht="21" customHeight="1">
      <c r="A43" s="745"/>
      <c r="B43" s="748"/>
      <c r="C43" s="259" t="s">
        <v>48</v>
      </c>
      <c r="D43" s="260" t="s">
        <v>47</v>
      </c>
      <c r="E43" s="750">
        <v>3.7000000000000002E-3</v>
      </c>
      <c r="F43" s="139">
        <f>E43*F40</f>
        <v>3.2560000000000002</v>
      </c>
      <c r="G43" s="27">
        <v>3.2</v>
      </c>
      <c r="H43" s="746">
        <f>F43*G43</f>
        <v>10.419200000000002</v>
      </c>
    </row>
    <row r="44" spans="1:8" ht="35.25" customHeight="1">
      <c r="A44" s="751">
        <v>8</v>
      </c>
      <c r="B44" s="978" t="s">
        <v>639</v>
      </c>
      <c r="C44" s="763" t="s">
        <v>480</v>
      </c>
      <c r="D44" s="402" t="s">
        <v>176</v>
      </c>
      <c r="E44" s="760"/>
      <c r="F44" s="403">
        <v>880</v>
      </c>
      <c r="G44" s="402"/>
      <c r="H44" s="403">
        <f>H45+H48+H46+H47</f>
        <v>3019.808</v>
      </c>
    </row>
    <row r="45" spans="1:8" ht="18.75" customHeight="1">
      <c r="A45" s="752"/>
      <c r="B45" s="979"/>
      <c r="C45" s="764" t="s">
        <v>57</v>
      </c>
      <c r="D45" s="406" t="s">
        <v>58</v>
      </c>
      <c r="E45" s="761">
        <v>0.11</v>
      </c>
      <c r="F45" s="406">
        <f>E45*F44</f>
        <v>96.8</v>
      </c>
      <c r="G45" s="25">
        <v>6</v>
      </c>
      <c r="H45" s="409">
        <f>F45*G45</f>
        <v>580.79999999999995</v>
      </c>
    </row>
    <row r="46" spans="1:8" ht="18.75" customHeight="1">
      <c r="A46" s="752"/>
      <c r="B46" s="979"/>
      <c r="C46" s="764" t="s">
        <v>74</v>
      </c>
      <c r="D46" s="406" t="s">
        <v>47</v>
      </c>
      <c r="E46" s="687">
        <v>2.7000000000000001E-3</v>
      </c>
      <c r="F46" s="406">
        <f>E46*F44</f>
        <v>2.3760000000000003</v>
      </c>
      <c r="G46" s="25">
        <v>3.2</v>
      </c>
      <c r="H46" s="409">
        <f>F46*G46</f>
        <v>7.6032000000000011</v>
      </c>
    </row>
    <row r="47" spans="1:8" ht="18.75" customHeight="1">
      <c r="A47" s="752"/>
      <c r="B47" s="979"/>
      <c r="C47" s="266" t="s">
        <v>48</v>
      </c>
      <c r="D47" s="146" t="s">
        <v>47</v>
      </c>
      <c r="E47" s="687">
        <v>3.5299999999999998E-2</v>
      </c>
      <c r="F47" s="406">
        <f>E47*F44</f>
        <v>31.064</v>
      </c>
      <c r="G47" s="25">
        <v>3.2</v>
      </c>
      <c r="H47" s="409">
        <f>F47*G47</f>
        <v>99.404800000000009</v>
      </c>
    </row>
    <row r="48" spans="1:8" ht="18.75" customHeight="1">
      <c r="A48" s="752"/>
      <c r="B48" s="980"/>
      <c r="C48" s="764" t="s">
        <v>481</v>
      </c>
      <c r="D48" s="406" t="s">
        <v>176</v>
      </c>
      <c r="E48" s="762">
        <v>1</v>
      </c>
      <c r="F48" s="406">
        <v>880</v>
      </c>
      <c r="G48" s="25">
        <v>2.65</v>
      </c>
      <c r="H48" s="409">
        <f>F48*G48</f>
        <v>2332</v>
      </c>
    </row>
    <row r="49" spans="1:8" ht="24.75" customHeight="1">
      <c r="A49" s="751">
        <v>9</v>
      </c>
      <c r="B49" s="766" t="s">
        <v>646</v>
      </c>
      <c r="C49" s="763" t="s">
        <v>482</v>
      </c>
      <c r="D49" s="402" t="s">
        <v>176</v>
      </c>
      <c r="E49" s="760"/>
      <c r="F49" s="403">
        <v>308</v>
      </c>
      <c r="G49" s="402"/>
      <c r="H49" s="403">
        <f>H50+H53+H51+H52</f>
        <v>442.04776000000004</v>
      </c>
    </row>
    <row r="50" spans="1:8" ht="18.75" customHeight="1">
      <c r="A50" s="752"/>
      <c r="B50" s="767"/>
      <c r="C50" s="764" t="s">
        <v>57</v>
      </c>
      <c r="D50" s="406" t="s">
        <v>58</v>
      </c>
      <c r="E50" s="761">
        <f>5.07/100</f>
        <v>5.0700000000000002E-2</v>
      </c>
      <c r="F50" s="406">
        <f>E50*F49</f>
        <v>15.615600000000001</v>
      </c>
      <c r="G50" s="25">
        <v>6</v>
      </c>
      <c r="H50" s="409">
        <f>F50*G50</f>
        <v>93.693600000000004</v>
      </c>
    </row>
    <row r="51" spans="1:8" ht="18.75" customHeight="1">
      <c r="A51" s="752"/>
      <c r="B51" s="767"/>
      <c r="C51" s="764" t="s">
        <v>647</v>
      </c>
      <c r="D51" s="406" t="s">
        <v>47</v>
      </c>
      <c r="E51" s="687">
        <f>0.03/100</f>
        <v>2.9999999999999997E-4</v>
      </c>
      <c r="F51" s="406">
        <f>E51*F49</f>
        <v>9.2399999999999996E-2</v>
      </c>
      <c r="G51" s="25">
        <v>3.2</v>
      </c>
      <c r="H51" s="409">
        <f>F51*G51</f>
        <v>0.29568</v>
      </c>
    </row>
    <row r="52" spans="1:8" ht="18.75" customHeight="1">
      <c r="A52" s="752"/>
      <c r="B52" s="767"/>
      <c r="C52" s="266" t="s">
        <v>48</v>
      </c>
      <c r="D52" s="146" t="s">
        <v>47</v>
      </c>
      <c r="E52" s="687">
        <f>0.23/100</f>
        <v>2.3E-3</v>
      </c>
      <c r="F52" s="406">
        <f>E52*F49</f>
        <v>0.70840000000000003</v>
      </c>
      <c r="G52" s="25">
        <v>3.2</v>
      </c>
      <c r="H52" s="409">
        <f>F52*G52</f>
        <v>2.26688</v>
      </c>
    </row>
    <row r="53" spans="1:8" ht="18.75" customHeight="1">
      <c r="A53" s="753"/>
      <c r="B53" s="686"/>
      <c r="C53" s="765" t="s">
        <v>493</v>
      </c>
      <c r="D53" s="413" t="s">
        <v>176</v>
      </c>
      <c r="E53" s="768">
        <v>1.03</v>
      </c>
      <c r="F53" s="413">
        <f>E53*F49</f>
        <v>317.24</v>
      </c>
      <c r="G53" s="21">
        <v>1.0900000000000001</v>
      </c>
      <c r="H53" s="417">
        <f>F53*G53</f>
        <v>345.79160000000002</v>
      </c>
    </row>
    <row r="54" spans="1:8" ht="34.5" customHeight="1">
      <c r="A54" s="335">
        <v>10</v>
      </c>
      <c r="B54" s="329" t="s">
        <v>618</v>
      </c>
      <c r="C54" s="769" t="s">
        <v>483</v>
      </c>
      <c r="D54" s="23" t="s">
        <v>619</v>
      </c>
      <c r="E54" s="336"/>
      <c r="F54" s="143">
        <v>28</v>
      </c>
      <c r="G54" s="336"/>
      <c r="H54" s="143">
        <f>H55+H56+H57+H58+H59+H60+H61</f>
        <v>937.31680000000006</v>
      </c>
    </row>
    <row r="55" spans="1:8" ht="21" customHeight="1">
      <c r="A55" s="337"/>
      <c r="B55" s="330"/>
      <c r="C55" s="426" t="s">
        <v>3</v>
      </c>
      <c r="D55" s="23" t="s">
        <v>46</v>
      </c>
      <c r="E55" s="333">
        <f>1.76+0.32</f>
        <v>2.08</v>
      </c>
      <c r="F55" s="147">
        <f>E55*$F$54</f>
        <v>58.24</v>
      </c>
      <c r="G55" s="333">
        <v>6</v>
      </c>
      <c r="H55" s="147">
        <f t="shared" ref="H55:H61" si="1">F55*G55</f>
        <v>349.44</v>
      </c>
    </row>
    <row r="56" spans="1:8" ht="21" customHeight="1">
      <c r="A56" s="337"/>
      <c r="B56" s="330"/>
      <c r="C56" s="426" t="s">
        <v>620</v>
      </c>
      <c r="D56" s="23" t="s">
        <v>154</v>
      </c>
      <c r="E56" s="333">
        <f>0.09+0.09</f>
        <v>0.18</v>
      </c>
      <c r="F56" s="147">
        <f t="shared" ref="F56:F61" si="2">E56*$F$54</f>
        <v>5.04</v>
      </c>
      <c r="G56" s="333">
        <v>26.01</v>
      </c>
      <c r="H56" s="147">
        <f t="shared" si="1"/>
        <v>131.09040000000002</v>
      </c>
    </row>
    <row r="57" spans="1:8" ht="21" customHeight="1">
      <c r="A57" s="337"/>
      <c r="B57" s="330"/>
      <c r="C57" s="426" t="s">
        <v>621</v>
      </c>
      <c r="D57" s="23" t="s">
        <v>154</v>
      </c>
      <c r="E57" s="333">
        <v>0.36</v>
      </c>
      <c r="F57" s="147">
        <f t="shared" si="2"/>
        <v>10.08</v>
      </c>
      <c r="G57" s="333">
        <v>10.34</v>
      </c>
      <c r="H57" s="147">
        <f t="shared" si="1"/>
        <v>104.2272</v>
      </c>
    </row>
    <row r="58" spans="1:8" ht="21" customHeight="1">
      <c r="A58" s="337"/>
      <c r="B58" s="330"/>
      <c r="C58" s="426" t="s">
        <v>622</v>
      </c>
      <c r="D58" s="23" t="s">
        <v>154</v>
      </c>
      <c r="E58" s="333">
        <v>0.25</v>
      </c>
      <c r="F58" s="147">
        <f t="shared" si="2"/>
        <v>7</v>
      </c>
      <c r="G58" s="333">
        <v>11.56</v>
      </c>
      <c r="H58" s="147">
        <f t="shared" si="1"/>
        <v>80.92</v>
      </c>
    </row>
    <row r="59" spans="1:8" ht="21" customHeight="1">
      <c r="A59" s="337"/>
      <c r="B59" s="330"/>
      <c r="C59" s="332" t="s">
        <v>623</v>
      </c>
      <c r="D59" s="23" t="s">
        <v>49</v>
      </c>
      <c r="E59" s="333">
        <v>4.53</v>
      </c>
      <c r="F59" s="147">
        <f t="shared" si="2"/>
        <v>126.84</v>
      </c>
      <c r="G59" s="394">
        <v>1.58</v>
      </c>
      <c r="H59" s="147">
        <f t="shared" si="1"/>
        <v>200.40720000000002</v>
      </c>
    </row>
    <row r="60" spans="1:8" ht="21" customHeight="1">
      <c r="A60" s="337"/>
      <c r="B60" s="330"/>
      <c r="C60" s="332" t="s">
        <v>624</v>
      </c>
      <c r="D60" s="146" t="s">
        <v>49</v>
      </c>
      <c r="E60" s="333">
        <v>0.8</v>
      </c>
      <c r="F60" s="147">
        <f t="shared" si="2"/>
        <v>22.400000000000002</v>
      </c>
      <c r="G60" s="333">
        <v>1.58</v>
      </c>
      <c r="H60" s="147">
        <f t="shared" si="1"/>
        <v>35.392000000000003</v>
      </c>
    </row>
    <row r="61" spans="1:8" ht="21" customHeight="1">
      <c r="A61" s="339"/>
      <c r="B61" s="331"/>
      <c r="C61" s="703" t="s">
        <v>48</v>
      </c>
      <c r="D61" s="149" t="s">
        <v>47</v>
      </c>
      <c r="E61" s="340">
        <v>0.4</v>
      </c>
      <c r="F61" s="150">
        <f t="shared" si="2"/>
        <v>11.200000000000001</v>
      </c>
      <c r="G61" s="340">
        <v>3.2</v>
      </c>
      <c r="H61" s="150">
        <f t="shared" si="1"/>
        <v>35.840000000000003</v>
      </c>
    </row>
    <row r="62" spans="1:8" ht="27" customHeight="1">
      <c r="A62" s="247">
        <v>11</v>
      </c>
      <c r="B62" s="100" t="s">
        <v>484</v>
      </c>
      <c r="C62" s="250" t="s">
        <v>485</v>
      </c>
      <c r="D62" s="568" t="s">
        <v>486</v>
      </c>
      <c r="E62" s="163"/>
      <c r="F62" s="25">
        <v>0.01</v>
      </c>
      <c r="G62" s="23"/>
      <c r="H62" s="125">
        <f>H63+H65+H66+H64</f>
        <v>121.01599999999999</v>
      </c>
    </row>
    <row r="63" spans="1:8" ht="20.25" customHeight="1">
      <c r="A63" s="247"/>
      <c r="B63" s="100"/>
      <c r="C63" s="426" t="s">
        <v>3</v>
      </c>
      <c r="D63" s="23" t="s">
        <v>46</v>
      </c>
      <c r="E63" s="333">
        <v>525</v>
      </c>
      <c r="F63" s="147">
        <f>E63*F62</f>
        <v>5.25</v>
      </c>
      <c r="G63" s="333">
        <v>6</v>
      </c>
      <c r="H63" s="147">
        <f>F63*G63</f>
        <v>31.5</v>
      </c>
    </row>
    <row r="64" spans="1:8" ht="20.25" customHeight="1">
      <c r="A64" s="247"/>
      <c r="B64" s="100"/>
      <c r="C64" s="332" t="s">
        <v>487</v>
      </c>
      <c r="D64" s="23" t="s">
        <v>223</v>
      </c>
      <c r="E64" s="333">
        <v>100</v>
      </c>
      <c r="F64" s="147">
        <f>E64*F62</f>
        <v>1</v>
      </c>
      <c r="G64" s="394">
        <v>55.1</v>
      </c>
      <c r="H64" s="147">
        <f>F64*G64</f>
        <v>55.1</v>
      </c>
    </row>
    <row r="65" spans="1:8" ht="20.25" customHeight="1">
      <c r="A65" s="247"/>
      <c r="B65" s="1112"/>
      <c r="C65" s="332" t="s">
        <v>638</v>
      </c>
      <c r="D65" s="146" t="s">
        <v>223</v>
      </c>
      <c r="E65" s="333">
        <v>100</v>
      </c>
      <c r="F65" s="147">
        <f>E65*F62</f>
        <v>1</v>
      </c>
      <c r="G65" s="333">
        <v>34</v>
      </c>
      <c r="H65" s="147">
        <f>F65*G65</f>
        <v>34</v>
      </c>
    </row>
    <row r="66" spans="1:8" ht="20.25" customHeight="1">
      <c r="A66" s="247"/>
      <c r="B66" s="1113"/>
      <c r="C66" s="332" t="s">
        <v>74</v>
      </c>
      <c r="D66" s="146" t="s">
        <v>47</v>
      </c>
      <c r="E66" s="333">
        <v>13</v>
      </c>
      <c r="F66" s="147">
        <f>E66*F62</f>
        <v>0.13</v>
      </c>
      <c r="G66" s="333">
        <v>3.2</v>
      </c>
      <c r="H66" s="147">
        <f>F66*G66</f>
        <v>0.41600000000000004</v>
      </c>
    </row>
    <row r="67" spans="1:8" ht="25.5" customHeight="1">
      <c r="A67" s="565">
        <v>12</v>
      </c>
      <c r="B67" s="400" t="s">
        <v>598</v>
      </c>
      <c r="C67" s="569" t="s">
        <v>489</v>
      </c>
      <c r="D67" s="112" t="s">
        <v>223</v>
      </c>
      <c r="E67" s="167"/>
      <c r="F67" s="19">
        <v>1</v>
      </c>
      <c r="G67" s="18"/>
      <c r="H67" s="19">
        <f>H68+H69+H70</f>
        <v>63.376000000000005</v>
      </c>
    </row>
    <row r="68" spans="1:8" ht="20.25" customHeight="1">
      <c r="A68" s="567"/>
      <c r="B68" s="100"/>
      <c r="C68" s="426" t="s">
        <v>3</v>
      </c>
      <c r="D68" s="23" t="s">
        <v>46</v>
      </c>
      <c r="E68" s="333">
        <v>1.1399999999999999</v>
      </c>
      <c r="F68" s="147">
        <f>E68*F67</f>
        <v>1.1399999999999999</v>
      </c>
      <c r="G68" s="333">
        <v>6</v>
      </c>
      <c r="H68" s="147">
        <f>F68*G68</f>
        <v>6.84</v>
      </c>
    </row>
    <row r="69" spans="1:8" ht="20.25" customHeight="1">
      <c r="A69" s="567"/>
      <c r="B69" s="1112"/>
      <c r="C69" s="332" t="s">
        <v>488</v>
      </c>
      <c r="D69" s="146" t="s">
        <v>223</v>
      </c>
      <c r="E69" s="333">
        <v>1</v>
      </c>
      <c r="F69" s="147">
        <f>E69*F67</f>
        <v>1</v>
      </c>
      <c r="G69" s="333">
        <v>55</v>
      </c>
      <c r="H69" s="147">
        <f>F69*G69</f>
        <v>55</v>
      </c>
    </row>
    <row r="70" spans="1:8" ht="20.25" customHeight="1">
      <c r="A70" s="802"/>
      <c r="B70" s="1114"/>
      <c r="C70" s="703" t="s">
        <v>74</v>
      </c>
      <c r="D70" s="149" t="s">
        <v>47</v>
      </c>
      <c r="E70" s="340">
        <v>0.48</v>
      </c>
      <c r="F70" s="150">
        <f>E70*F67</f>
        <v>0.48</v>
      </c>
      <c r="G70" s="340">
        <v>3.2</v>
      </c>
      <c r="H70" s="150">
        <f>F70*G70</f>
        <v>1.536</v>
      </c>
    </row>
    <row r="71" spans="1:8" ht="20.25" customHeight="1">
      <c r="A71" s="1115" t="s">
        <v>67</v>
      </c>
      <c r="B71" s="1116"/>
      <c r="C71" s="1116"/>
      <c r="D71" s="1116"/>
      <c r="E71" s="1116"/>
      <c r="F71" s="1116"/>
      <c r="G71" s="1117"/>
      <c r="H71" s="21">
        <f>H67+H62+H54+H49+H44+H29+H19+H14+H13+H9+H40+H34</f>
        <v>30923.782068000004</v>
      </c>
    </row>
    <row r="72" spans="1:8" ht="20.25" customHeight="1">
      <c r="A72" s="1123" t="s">
        <v>682</v>
      </c>
      <c r="B72" s="1124"/>
      <c r="C72" s="1124"/>
      <c r="D72" s="1124"/>
      <c r="E72" s="1124"/>
      <c r="F72" s="1124"/>
      <c r="G72" s="1125"/>
      <c r="H72" s="21">
        <f>H68+H63+H55+H50+H45+H41+H35+H30+H20</f>
        <v>3358.1136000000001</v>
      </c>
    </row>
    <row r="73" spans="1:8" ht="20.25" customHeight="1">
      <c r="A73" s="981" t="s">
        <v>683</v>
      </c>
      <c r="B73" s="982"/>
      <c r="C73" s="982"/>
      <c r="D73" s="982"/>
      <c r="E73" s="982"/>
      <c r="F73" s="982"/>
      <c r="G73" s="983"/>
      <c r="H73" s="28">
        <f>H72*0.75</f>
        <v>2518.5852</v>
      </c>
    </row>
    <row r="74" spans="1:8" ht="20.25" customHeight="1">
      <c r="A74" s="981" t="s">
        <v>68</v>
      </c>
      <c r="B74" s="982"/>
      <c r="C74" s="982"/>
      <c r="D74" s="982"/>
      <c r="E74" s="982"/>
      <c r="F74" s="982"/>
      <c r="G74" s="983"/>
      <c r="H74" s="28">
        <f>H71-H72</f>
        <v>27565.668468000003</v>
      </c>
    </row>
    <row r="75" spans="1:8" ht="20.25" customHeight="1">
      <c r="A75" s="1049" t="s">
        <v>374</v>
      </c>
      <c r="B75" s="1050"/>
      <c r="C75" s="1050"/>
      <c r="D75" s="1050"/>
      <c r="E75" s="1050"/>
      <c r="F75" s="1050"/>
      <c r="G75" s="1051"/>
      <c r="H75" s="28">
        <f>H74*0.1</f>
        <v>2756.5668468000003</v>
      </c>
    </row>
    <row r="76" spans="1:8" ht="20.25" customHeight="1">
      <c r="A76" s="981" t="s">
        <v>68</v>
      </c>
      <c r="B76" s="982"/>
      <c r="C76" s="982"/>
      <c r="D76" s="982"/>
      <c r="E76" s="982"/>
      <c r="F76" s="982"/>
      <c r="G76" s="983"/>
      <c r="H76" s="28">
        <f>H73+H71+H75</f>
        <v>36198.934114800002</v>
      </c>
    </row>
    <row r="77" spans="1:8" ht="20.25" customHeight="1">
      <c r="A77" s="981" t="s">
        <v>373</v>
      </c>
      <c r="B77" s="982"/>
      <c r="C77" s="982"/>
      <c r="D77" s="982"/>
      <c r="E77" s="982"/>
      <c r="F77" s="982"/>
      <c r="G77" s="983"/>
      <c r="H77" s="28">
        <f>H76*0.08</f>
        <v>2895.9147291840004</v>
      </c>
    </row>
    <row r="78" spans="1:8" ht="20.25" customHeight="1">
      <c r="A78" s="981" t="s">
        <v>69</v>
      </c>
      <c r="B78" s="982"/>
      <c r="C78" s="982"/>
      <c r="D78" s="982"/>
      <c r="E78" s="982"/>
      <c r="F78" s="982"/>
      <c r="G78" s="983"/>
      <c r="H78" s="28">
        <f>H77+H76</f>
        <v>39094.848843984</v>
      </c>
    </row>
    <row r="79" spans="1:8" ht="20.25" customHeight="1">
      <c r="A79" s="866" t="s">
        <v>149</v>
      </c>
      <c r="B79" s="866"/>
      <c r="C79" s="866"/>
      <c r="D79" s="866"/>
      <c r="E79" s="866"/>
      <c r="F79" s="866"/>
      <c r="G79" s="866"/>
      <c r="H79" s="866"/>
    </row>
  </sheetData>
  <mergeCells count="27">
    <mergeCell ref="A75:G75"/>
    <mergeCell ref="A19:A28"/>
    <mergeCell ref="B19:B28"/>
    <mergeCell ref="A78:G78"/>
    <mergeCell ref="A79:H79"/>
    <mergeCell ref="B65:B66"/>
    <mergeCell ref="B69:B70"/>
    <mergeCell ref="A71:G71"/>
    <mergeCell ref="A73:G73"/>
    <mergeCell ref="A76:G76"/>
    <mergeCell ref="A77:G77"/>
    <mergeCell ref="B44:B48"/>
    <mergeCell ref="B40:B41"/>
    <mergeCell ref="B34:B39"/>
    <mergeCell ref="A34:A39"/>
    <mergeCell ref="A72:G72"/>
    <mergeCell ref="A74:G74"/>
    <mergeCell ref="D5:D7"/>
    <mergeCell ref="E5:F5"/>
    <mergeCell ref="G5:H5"/>
    <mergeCell ref="A14:A18"/>
    <mergeCell ref="B14:B18"/>
    <mergeCell ref="A1:H1"/>
    <mergeCell ref="A2:H2"/>
    <mergeCell ref="A3:H3"/>
    <mergeCell ref="B4:E4"/>
    <mergeCell ref="G4:H4"/>
  </mergeCells>
  <printOptions horizontalCentered="1"/>
  <pageMargins left="0.19685039370078741" right="0.19685039370078741" top="0.27559055118110237" bottom="0.19685039370078741" header="0.19685039370078741" footer="0.15748031496062992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view="pageBreakPreview" zoomScaleNormal="100" zoomScaleSheetLayoutView="100" workbookViewId="0">
      <selection activeCell="K16" sqref="K16"/>
    </sheetView>
  </sheetViews>
  <sheetFormatPr defaultRowHeight="13.5"/>
  <cols>
    <col min="1" max="1" width="3.5703125" style="87" customWidth="1"/>
    <col min="2" max="2" width="28.140625" style="87" customWidth="1"/>
    <col min="3" max="3" width="12.85546875" style="87" customWidth="1"/>
    <col min="4" max="4" width="14.42578125" style="87" customWidth="1"/>
    <col min="5" max="5" width="11.140625" style="87" customWidth="1"/>
    <col min="6" max="6" width="12.7109375" style="87" customWidth="1"/>
    <col min="7" max="7" width="10.5703125" style="87" customWidth="1"/>
    <col min="8" max="8" width="15.85546875" style="87" customWidth="1"/>
    <col min="9" max="9" width="12.140625" style="87" customWidth="1"/>
    <col min="10" max="10" width="11" style="87" customWidth="1"/>
    <col min="11" max="16384" width="9.140625" style="87"/>
  </cols>
  <sheetData>
    <row r="1" spans="1:10" ht="3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0" s="88" customFormat="1" ht="16.5">
      <c r="A2" s="1126" t="s">
        <v>98</v>
      </c>
      <c r="B2" s="1126"/>
      <c r="C2" s="1126"/>
      <c r="D2" s="1126"/>
      <c r="E2" s="1126"/>
      <c r="F2" s="1126"/>
      <c r="G2" s="1126"/>
      <c r="H2" s="1126"/>
      <c r="I2" s="1126"/>
      <c r="J2" s="1126"/>
    </row>
    <row r="3" spans="1:10" s="88" customFormat="1" ht="9.75" customHeight="1">
      <c r="A3" s="673"/>
      <c r="B3" s="672"/>
      <c r="C3" s="672"/>
      <c r="D3" s="672"/>
      <c r="E3" s="672"/>
      <c r="F3" s="672"/>
      <c r="G3" s="672"/>
      <c r="H3" s="672"/>
      <c r="I3" s="672"/>
      <c r="J3" s="672"/>
    </row>
    <row r="4" spans="1:10" ht="41.25" customHeight="1">
      <c r="A4" s="1033" t="str">
        <f>krepsiTi!A13</f>
        <v>saerTaSoriso mniSvnelobis senaki-foTi (asaqcevi)-sarfis (TurqeTis respublikis sazRvari) s/gzis Caqvi-maxinjauris monakveTze, saavtomobilo gvirabis mimdebared, mosabrunebeli saavtomobilo gzis mowyoba</v>
      </c>
      <c r="B4" s="1033"/>
      <c r="C4" s="1033"/>
      <c r="D4" s="1033"/>
      <c r="E4" s="1033"/>
      <c r="F4" s="1033"/>
      <c r="G4" s="1033"/>
      <c r="H4" s="1033"/>
      <c r="I4" s="1033"/>
      <c r="J4" s="1033"/>
    </row>
    <row r="5" spans="1:10" ht="8.25" customHeight="1">
      <c r="A5" s="674"/>
      <c r="B5" s="674"/>
      <c r="C5" s="674"/>
      <c r="D5" s="674"/>
      <c r="E5" s="674"/>
      <c r="F5" s="674"/>
      <c r="G5" s="674"/>
      <c r="H5" s="674"/>
      <c r="I5" s="674"/>
      <c r="J5" s="674"/>
    </row>
    <row r="6" spans="1:10" s="86" customFormat="1" ht="18" customHeight="1">
      <c r="A6" s="675"/>
      <c r="B6" s="675" t="s">
        <v>99</v>
      </c>
      <c r="C6" s="676" t="s">
        <v>100</v>
      </c>
      <c r="D6" s="675" t="s">
        <v>215</v>
      </c>
      <c r="E6" s="677" t="s">
        <v>101</v>
      </c>
      <c r="F6" s="675" t="s">
        <v>102</v>
      </c>
      <c r="G6" s="675" t="s">
        <v>103</v>
      </c>
      <c r="H6" s="675" t="s">
        <v>104</v>
      </c>
      <c r="I6" s="675" t="s">
        <v>102</v>
      </c>
      <c r="J6" s="675"/>
    </row>
    <row r="7" spans="1:10" s="86" customFormat="1" ht="18" customHeight="1">
      <c r="A7" s="678" t="s">
        <v>0</v>
      </c>
      <c r="B7" s="678" t="s">
        <v>105</v>
      </c>
      <c r="C7" s="679" t="s">
        <v>106</v>
      </c>
      <c r="D7" s="678" t="s">
        <v>112</v>
      </c>
      <c r="E7" s="680" t="s">
        <v>107</v>
      </c>
      <c r="F7" s="678" t="s">
        <v>108</v>
      </c>
      <c r="G7" s="678" t="s">
        <v>109</v>
      </c>
      <c r="H7" s="678" t="s">
        <v>110</v>
      </c>
      <c r="I7" s="678" t="s">
        <v>108</v>
      </c>
      <c r="J7" s="678" t="s">
        <v>1</v>
      </c>
    </row>
    <row r="8" spans="1:10" s="86" customFormat="1" ht="18" customHeight="1">
      <c r="A8" s="681"/>
      <c r="B8" s="681"/>
      <c r="C8" s="682" t="s">
        <v>111</v>
      </c>
      <c r="D8" s="681"/>
      <c r="E8" s="683" t="s">
        <v>113</v>
      </c>
      <c r="F8" s="681" t="s">
        <v>114</v>
      </c>
      <c r="G8" s="681" t="s">
        <v>115</v>
      </c>
      <c r="H8" s="681" t="s">
        <v>2</v>
      </c>
      <c r="I8" s="681" t="s">
        <v>114</v>
      </c>
      <c r="J8" s="681"/>
    </row>
    <row r="9" spans="1:10" s="89" customFormat="1" ht="18.75" customHeight="1">
      <c r="A9" s="645">
        <v>1</v>
      </c>
      <c r="B9" s="645">
        <v>2</v>
      </c>
      <c r="C9" s="645">
        <v>3</v>
      </c>
      <c r="D9" s="645">
        <v>4</v>
      </c>
      <c r="E9" s="645">
        <v>5</v>
      </c>
      <c r="F9" s="645">
        <v>6</v>
      </c>
      <c r="G9" s="645">
        <v>7</v>
      </c>
      <c r="H9" s="645">
        <v>8</v>
      </c>
      <c r="I9" s="645">
        <v>9</v>
      </c>
      <c r="J9" s="645">
        <v>10</v>
      </c>
    </row>
    <row r="10" spans="1:10" s="90" customFormat="1" ht="32.25" customHeight="1">
      <c r="A10" s="645">
        <v>1</v>
      </c>
      <c r="B10" s="606" t="s">
        <v>180</v>
      </c>
      <c r="C10" s="645" t="s">
        <v>54</v>
      </c>
      <c r="D10" s="645"/>
      <c r="E10" s="645">
        <v>1</v>
      </c>
      <c r="F10" s="645">
        <f>'გადაზიდ. კალკულაცია'!G10</f>
        <v>8.94</v>
      </c>
      <c r="G10" s="645">
        <v>131.5</v>
      </c>
      <c r="H10" s="645"/>
      <c r="I10" s="684">
        <f>F10</f>
        <v>8.94</v>
      </c>
      <c r="J10" s="684">
        <f t="shared" ref="J10:J20" si="0">G10+I10</f>
        <v>140.44</v>
      </c>
    </row>
    <row r="11" spans="1:10" s="90" customFormat="1" ht="32.25" customHeight="1">
      <c r="A11" s="645">
        <v>2</v>
      </c>
      <c r="B11" s="606" t="s">
        <v>243</v>
      </c>
      <c r="C11" s="645" t="s">
        <v>54</v>
      </c>
      <c r="D11" s="645"/>
      <c r="E11" s="645">
        <v>1</v>
      </c>
      <c r="F11" s="645">
        <f>'გადაზიდ. კალკულაცია'!G10</f>
        <v>8.94</v>
      </c>
      <c r="G11" s="645">
        <v>120.3</v>
      </c>
      <c r="H11" s="645"/>
      <c r="I11" s="684">
        <f>F11</f>
        <v>8.94</v>
      </c>
      <c r="J11" s="684">
        <f>G11+I11</f>
        <v>129.24</v>
      </c>
    </row>
    <row r="12" spans="1:10" s="90" customFormat="1" ht="24" customHeight="1">
      <c r="A12" s="645">
        <v>3</v>
      </c>
      <c r="B12" s="685" t="s">
        <v>75</v>
      </c>
      <c r="C12" s="645" t="s">
        <v>117</v>
      </c>
      <c r="D12" s="645"/>
      <c r="E12" s="645">
        <v>1.6</v>
      </c>
      <c r="F12" s="645">
        <f>'გადაზიდ. კალკულაცია'!G11</f>
        <v>8.94</v>
      </c>
      <c r="G12" s="645">
        <v>11.8</v>
      </c>
      <c r="H12" s="645"/>
      <c r="I12" s="684">
        <f t="shared" ref="I12:I17" si="1">E12*F12</f>
        <v>14.304</v>
      </c>
      <c r="J12" s="684">
        <f t="shared" si="0"/>
        <v>26.103999999999999</v>
      </c>
    </row>
    <row r="13" spans="1:10" s="90" customFormat="1" ht="24" customHeight="1">
      <c r="A13" s="645">
        <v>4</v>
      </c>
      <c r="B13" s="685" t="s">
        <v>118</v>
      </c>
      <c r="C13" s="645" t="s">
        <v>117</v>
      </c>
      <c r="D13" s="645"/>
      <c r="E13" s="645">
        <v>1.6</v>
      </c>
      <c r="F13" s="645">
        <f>'გადაზიდ. კალკულაცია'!G12</f>
        <v>8.94</v>
      </c>
      <c r="G13" s="645">
        <v>17.8</v>
      </c>
      <c r="H13" s="645"/>
      <c r="I13" s="684">
        <f t="shared" si="1"/>
        <v>14.304</v>
      </c>
      <c r="J13" s="684">
        <f t="shared" si="0"/>
        <v>32.103999999999999</v>
      </c>
    </row>
    <row r="14" spans="1:10" s="90" customFormat="1" ht="24" customHeight="1">
      <c r="A14" s="645">
        <v>5</v>
      </c>
      <c r="B14" s="685" t="s">
        <v>119</v>
      </c>
      <c r="C14" s="645" t="s">
        <v>117</v>
      </c>
      <c r="D14" s="645"/>
      <c r="E14" s="645">
        <v>1.6</v>
      </c>
      <c r="F14" s="645">
        <f>'გადაზიდ. კალკულაცია'!G12</f>
        <v>8.94</v>
      </c>
      <c r="G14" s="645">
        <v>16.3</v>
      </c>
      <c r="H14" s="645"/>
      <c r="I14" s="684">
        <f t="shared" si="1"/>
        <v>14.304</v>
      </c>
      <c r="J14" s="684">
        <f t="shared" si="0"/>
        <v>30.603999999999999</v>
      </c>
    </row>
    <row r="15" spans="1:10" ht="24" customHeight="1">
      <c r="A15" s="645">
        <v>6</v>
      </c>
      <c r="B15" s="606" t="s">
        <v>120</v>
      </c>
      <c r="C15" s="645" t="s">
        <v>117</v>
      </c>
      <c r="D15" s="645"/>
      <c r="E15" s="645">
        <v>0.7</v>
      </c>
      <c r="F15" s="645">
        <f>'გადაზიდ. კალკულაცია'!G14</f>
        <v>5.63</v>
      </c>
      <c r="G15" s="645">
        <v>416</v>
      </c>
      <c r="H15" s="645"/>
      <c r="I15" s="684">
        <f t="shared" si="1"/>
        <v>3.9409999999999998</v>
      </c>
      <c r="J15" s="684">
        <f t="shared" si="0"/>
        <v>419.94099999999997</v>
      </c>
    </row>
    <row r="16" spans="1:10" ht="24" customHeight="1">
      <c r="A16" s="645">
        <v>7</v>
      </c>
      <c r="B16" s="606" t="s">
        <v>134</v>
      </c>
      <c r="C16" s="645" t="s">
        <v>117</v>
      </c>
      <c r="D16" s="645"/>
      <c r="E16" s="645">
        <v>2.4</v>
      </c>
      <c r="F16" s="645">
        <f>'გადაზიდ. კალკულაცია'!G15</f>
        <v>8.94</v>
      </c>
      <c r="G16" s="645">
        <v>103</v>
      </c>
      <c r="H16" s="645"/>
      <c r="I16" s="684">
        <f t="shared" si="1"/>
        <v>21.456</v>
      </c>
      <c r="J16" s="684">
        <f t="shared" si="0"/>
        <v>124.456</v>
      </c>
    </row>
    <row r="17" spans="1:10" ht="24" customHeight="1">
      <c r="A17" s="645">
        <v>8</v>
      </c>
      <c r="B17" s="606" t="s">
        <v>324</v>
      </c>
      <c r="C17" s="645" t="s">
        <v>117</v>
      </c>
      <c r="D17" s="645"/>
      <c r="E17" s="645">
        <v>2.4</v>
      </c>
      <c r="F17" s="645">
        <f>'გადაზიდ. კალკულაცია'!G15</f>
        <v>8.94</v>
      </c>
      <c r="G17" s="645">
        <v>113</v>
      </c>
      <c r="H17" s="645"/>
      <c r="I17" s="684">
        <f t="shared" si="1"/>
        <v>21.456</v>
      </c>
      <c r="J17" s="684">
        <f>G17+I17</f>
        <v>134.45599999999999</v>
      </c>
    </row>
    <row r="18" spans="1:10" ht="36" customHeight="1">
      <c r="A18" s="645">
        <v>9</v>
      </c>
      <c r="B18" s="606" t="s">
        <v>364</v>
      </c>
      <c r="C18" s="645" t="s">
        <v>117</v>
      </c>
      <c r="D18" s="645"/>
      <c r="E18" s="645">
        <f>2.5*0.225</f>
        <v>0.5625</v>
      </c>
      <c r="F18" s="684">
        <f>'გადაზიდ. კალკულაცია'!G16</f>
        <v>8.94</v>
      </c>
      <c r="G18" s="645">
        <v>50</v>
      </c>
      <c r="H18" s="645"/>
      <c r="I18" s="684">
        <f>E18*F18</f>
        <v>5.0287499999999996</v>
      </c>
      <c r="J18" s="684">
        <f>G18+I18</f>
        <v>55.028750000000002</v>
      </c>
    </row>
    <row r="19" spans="1:10" ht="36" customHeight="1">
      <c r="A19" s="645">
        <v>10</v>
      </c>
      <c r="B19" s="606" t="s">
        <v>364</v>
      </c>
      <c r="C19" s="645" t="s">
        <v>117</v>
      </c>
      <c r="D19" s="645"/>
      <c r="E19" s="645">
        <f>2.5*0.648</f>
        <v>1.62</v>
      </c>
      <c r="F19" s="684">
        <f>'გადაზიდ. კალკულაცია'!G16</f>
        <v>8.94</v>
      </c>
      <c r="G19" s="645">
        <v>173.09</v>
      </c>
      <c r="H19" s="645"/>
      <c r="I19" s="684">
        <f>E19*F19</f>
        <v>14.482800000000001</v>
      </c>
      <c r="J19" s="684">
        <f>G19+I19</f>
        <v>187.5728</v>
      </c>
    </row>
    <row r="20" spans="1:10" ht="24" customHeight="1">
      <c r="A20" s="645">
        <v>11</v>
      </c>
      <c r="B20" s="685" t="s">
        <v>368</v>
      </c>
      <c r="C20" s="645" t="s">
        <v>117</v>
      </c>
      <c r="D20" s="645"/>
      <c r="E20" s="645">
        <v>1.95</v>
      </c>
      <c r="F20" s="645">
        <f>'გადაზიდ. კალკულაცია'!G18</f>
        <v>8.94</v>
      </c>
      <c r="G20" s="645">
        <v>12</v>
      </c>
      <c r="H20" s="645"/>
      <c r="I20" s="684">
        <f>F20*E20</f>
        <v>17.433</v>
      </c>
      <c r="J20" s="684">
        <f t="shared" si="0"/>
        <v>29.433</v>
      </c>
    </row>
    <row r="21" spans="1:10" ht="24" customHeight="1">
      <c r="A21" s="645">
        <v>12</v>
      </c>
      <c r="B21" s="685" t="s">
        <v>370</v>
      </c>
      <c r="C21" s="645" t="s">
        <v>117</v>
      </c>
      <c r="D21" s="645"/>
      <c r="E21" s="645">
        <v>2</v>
      </c>
      <c r="F21" s="684">
        <f>'გადაზიდ. კალკულაცია'!G17</f>
        <v>8.94</v>
      </c>
      <c r="G21" s="645">
        <v>12</v>
      </c>
      <c r="H21" s="645"/>
      <c r="I21" s="684">
        <f>E21*F21</f>
        <v>17.88</v>
      </c>
      <c r="J21" s="684">
        <f>G21+I21</f>
        <v>29.88</v>
      </c>
    </row>
    <row r="22" spans="1:10" ht="24" customHeight="1">
      <c r="A22" s="645">
        <v>13</v>
      </c>
      <c r="B22" s="685" t="s">
        <v>273</v>
      </c>
      <c r="C22" s="645" t="s">
        <v>54</v>
      </c>
      <c r="D22" s="645"/>
      <c r="E22" s="645">
        <v>1</v>
      </c>
      <c r="F22" s="684">
        <f>'გადაზიდ. კალკულაცია'!G13</f>
        <v>5.63</v>
      </c>
      <c r="G22" s="645">
        <v>1425</v>
      </c>
      <c r="H22" s="645"/>
      <c r="I22" s="684">
        <f>E22*F22</f>
        <v>5.63</v>
      </c>
      <c r="J22" s="684">
        <f>G22+I22</f>
        <v>1430.63</v>
      </c>
    </row>
    <row r="23" spans="1:10" ht="13.5" customHeight="1">
      <c r="A23" s="448"/>
      <c r="B23" s="449"/>
      <c r="C23" s="448"/>
      <c r="D23" s="448"/>
      <c r="E23" s="448"/>
      <c r="F23" s="450"/>
      <c r="G23" s="448"/>
      <c r="H23" s="448"/>
      <c r="I23" s="450"/>
      <c r="J23" s="450"/>
    </row>
    <row r="24" spans="1:10" ht="18" customHeight="1">
      <c r="A24" s="1063" t="s">
        <v>175</v>
      </c>
      <c r="B24" s="1063"/>
      <c r="C24" s="1063"/>
      <c r="D24" s="1063"/>
      <c r="E24" s="1063"/>
      <c r="F24" s="1063"/>
      <c r="G24" s="1063"/>
      <c r="H24" s="1063"/>
      <c r="I24" s="1063"/>
      <c r="J24" s="1063"/>
    </row>
    <row r="25" spans="1:10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>
      <c r="A29" s="86"/>
      <c r="B29" s="86"/>
      <c r="C29" s="86"/>
      <c r="D29" s="86"/>
      <c r="E29" s="86"/>
      <c r="F29" s="86"/>
      <c r="G29" s="86"/>
      <c r="H29" s="86"/>
      <c r="I29" s="86"/>
      <c r="J29" s="86"/>
    </row>
    <row r="30" spans="1:10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0">
      <c r="A31" s="86"/>
      <c r="B31" s="86"/>
      <c r="C31" s="86"/>
      <c r="D31" s="86"/>
      <c r="E31" s="86"/>
      <c r="F31" s="86"/>
      <c r="G31" s="86"/>
      <c r="H31" s="86"/>
      <c r="I31" s="86"/>
      <c r="J31" s="86"/>
    </row>
    <row r="32" spans="1:10">
      <c r="A32" s="86"/>
      <c r="B32" s="86"/>
      <c r="C32" s="86"/>
      <c r="D32" s="86"/>
      <c r="E32" s="86"/>
      <c r="F32" s="86"/>
      <c r="G32" s="86"/>
      <c r="H32" s="86"/>
      <c r="I32" s="86"/>
      <c r="J32" s="86"/>
    </row>
    <row r="33" spans="1:10">
      <c r="A33" s="86"/>
      <c r="B33" s="86"/>
      <c r="C33" s="86"/>
      <c r="D33" s="86"/>
      <c r="E33" s="86"/>
      <c r="F33" s="86"/>
      <c r="G33" s="86"/>
      <c r="H33" s="86"/>
      <c r="I33" s="86"/>
      <c r="J33" s="86"/>
    </row>
    <row r="34" spans="1:10">
      <c r="A34" s="86"/>
      <c r="B34" s="86"/>
      <c r="C34" s="86"/>
      <c r="D34" s="86"/>
      <c r="E34" s="86"/>
      <c r="F34" s="86"/>
      <c r="G34" s="86"/>
      <c r="H34" s="86"/>
      <c r="I34" s="86"/>
      <c r="J34" s="86"/>
    </row>
    <row r="44" spans="1:10" ht="16.5">
      <c r="A44" s="119" t="s">
        <v>52</v>
      </c>
    </row>
    <row r="74" ht="65.25" customHeight="1"/>
  </sheetData>
  <mergeCells count="3">
    <mergeCell ref="A24:J24"/>
    <mergeCell ref="A2:J2"/>
    <mergeCell ref="A4:J4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5"/>
  <sheetViews>
    <sheetView view="pageBreakPreview" zoomScaleNormal="100" zoomScaleSheetLayoutView="100" workbookViewId="0">
      <selection activeCell="K16" sqref="K16"/>
    </sheetView>
  </sheetViews>
  <sheetFormatPr defaultRowHeight="13.5"/>
  <cols>
    <col min="1" max="1" width="4.5703125" style="87" customWidth="1"/>
    <col min="2" max="2" width="37.42578125" style="87" customWidth="1"/>
    <col min="3" max="3" width="17.42578125" style="87" customWidth="1"/>
    <col min="4" max="4" width="17.85546875" style="87" customWidth="1"/>
    <col min="5" max="5" width="18.28515625" style="87" customWidth="1"/>
    <col min="6" max="6" width="19.140625" style="87" customWidth="1"/>
    <col min="7" max="7" width="21.140625" style="87" customWidth="1"/>
    <col min="8" max="16384" width="9.140625" style="87"/>
  </cols>
  <sheetData>
    <row r="1" spans="1:7">
      <c r="A1" s="782"/>
      <c r="B1" s="782"/>
      <c r="C1" s="782"/>
      <c r="D1" s="782"/>
      <c r="E1" s="782"/>
      <c r="F1" s="782"/>
      <c r="G1" s="782"/>
    </row>
    <row r="2" spans="1:7" ht="16.5">
      <c r="A2" s="891" t="s">
        <v>121</v>
      </c>
      <c r="B2" s="891"/>
      <c r="C2" s="891"/>
      <c r="D2" s="891"/>
      <c r="E2" s="891"/>
      <c r="F2" s="891"/>
      <c r="G2" s="891"/>
    </row>
    <row r="3" spans="1:7" ht="16.5">
      <c r="A3" s="782"/>
      <c r="B3" s="891"/>
      <c r="C3" s="891"/>
      <c r="D3" s="891"/>
      <c r="E3" s="891"/>
      <c r="F3" s="891"/>
      <c r="G3" s="891"/>
    </row>
    <row r="4" spans="1:7" ht="40.5" customHeight="1">
      <c r="A4" s="1033" t="str">
        <f>krepsiTi!A13</f>
        <v>saerTaSoriso mniSvnelobis senaki-foTi (asaqcevi)-sarfis (TurqeTis respublikis sazRvari) s/gzis Caqvi-maxinjauris monakveTze, saavtomobilo gvirabis mimdebared, mosabrunebeli saavtomobilo gzis mowyoba</v>
      </c>
      <c r="B4" s="1033"/>
      <c r="C4" s="1033"/>
      <c r="D4" s="1033"/>
      <c r="E4" s="1033"/>
      <c r="F4" s="1033"/>
      <c r="G4" s="1033"/>
    </row>
    <row r="5" spans="1:7">
      <c r="A5" s="782"/>
      <c r="B5" s="782"/>
      <c r="C5" s="782"/>
      <c r="D5" s="782"/>
      <c r="E5" s="782"/>
      <c r="F5" s="782"/>
      <c r="G5" s="782"/>
    </row>
    <row r="6" spans="1:7" ht="16.5">
      <c r="A6" s="1127" t="s">
        <v>0</v>
      </c>
      <c r="B6" s="708"/>
      <c r="C6" s="708"/>
      <c r="D6" s="708"/>
      <c r="E6" s="708"/>
      <c r="F6" s="708"/>
      <c r="G6" s="723"/>
    </row>
    <row r="7" spans="1:7" ht="16.5">
      <c r="A7" s="1128"/>
      <c r="B7" s="432" t="s">
        <v>122</v>
      </c>
      <c r="C7" s="432" t="s">
        <v>123</v>
      </c>
      <c r="D7" s="432" t="s">
        <v>123</v>
      </c>
      <c r="E7" s="432" t="s">
        <v>123</v>
      </c>
      <c r="F7" s="432" t="s">
        <v>124</v>
      </c>
      <c r="G7" s="713" t="s">
        <v>125</v>
      </c>
    </row>
    <row r="8" spans="1:7" ht="16.5">
      <c r="A8" s="718"/>
      <c r="B8" s="718"/>
      <c r="C8" s="718" t="s">
        <v>126</v>
      </c>
      <c r="D8" s="718" t="s">
        <v>127</v>
      </c>
      <c r="E8" s="718" t="s">
        <v>128</v>
      </c>
      <c r="F8" s="718" t="s">
        <v>2</v>
      </c>
      <c r="G8" s="728" t="s">
        <v>129</v>
      </c>
    </row>
    <row r="9" spans="1:7" ht="16.5">
      <c r="A9" s="783">
        <v>1</v>
      </c>
      <c r="B9" s="783">
        <v>2</v>
      </c>
      <c r="C9" s="783">
        <v>3</v>
      </c>
      <c r="D9" s="783">
        <v>4</v>
      </c>
      <c r="E9" s="783">
        <v>5</v>
      </c>
      <c r="F9" s="783">
        <v>6</v>
      </c>
      <c r="G9" s="783">
        <v>7</v>
      </c>
    </row>
    <row r="10" spans="1:7" s="91" customFormat="1" ht="24" customHeight="1">
      <c r="A10" s="784">
        <v>1</v>
      </c>
      <c r="B10" s="785" t="s">
        <v>116</v>
      </c>
      <c r="C10" s="784"/>
      <c r="D10" s="784">
        <v>18</v>
      </c>
      <c r="E10" s="784">
        <v>8.94</v>
      </c>
      <c r="F10" s="784"/>
      <c r="G10" s="784">
        <f t="shared" ref="G10:G16" si="0">E10+F10</f>
        <v>8.94</v>
      </c>
    </row>
    <row r="11" spans="1:7" s="91" customFormat="1" ht="24" customHeight="1">
      <c r="A11" s="784">
        <v>2</v>
      </c>
      <c r="B11" s="785" t="s">
        <v>680</v>
      </c>
      <c r="C11" s="784"/>
      <c r="D11" s="784">
        <v>18</v>
      </c>
      <c r="E11" s="784">
        <v>8.94</v>
      </c>
      <c r="F11" s="784"/>
      <c r="G11" s="784">
        <f>E11+F11</f>
        <v>8.94</v>
      </c>
    </row>
    <row r="12" spans="1:7" s="91" customFormat="1" ht="24" customHeight="1">
      <c r="A12" s="784">
        <v>3</v>
      </c>
      <c r="B12" s="785" t="s">
        <v>681</v>
      </c>
      <c r="C12" s="784"/>
      <c r="D12" s="784">
        <v>18</v>
      </c>
      <c r="E12" s="784">
        <v>8.94</v>
      </c>
      <c r="F12" s="784"/>
      <c r="G12" s="784">
        <f t="shared" si="0"/>
        <v>8.94</v>
      </c>
    </row>
    <row r="13" spans="1:7" ht="24" customHeight="1">
      <c r="A13" s="784">
        <v>4</v>
      </c>
      <c r="B13" s="786" t="s">
        <v>335</v>
      </c>
      <c r="C13" s="784"/>
      <c r="D13" s="784">
        <v>10</v>
      </c>
      <c r="E13" s="784">
        <v>5.63</v>
      </c>
      <c r="F13" s="784"/>
      <c r="G13" s="784">
        <f>E13+F13</f>
        <v>5.63</v>
      </c>
    </row>
    <row r="14" spans="1:7" ht="24" customHeight="1">
      <c r="A14" s="784">
        <v>5</v>
      </c>
      <c r="B14" s="786" t="s">
        <v>120</v>
      </c>
      <c r="C14" s="784"/>
      <c r="D14" s="784">
        <v>10</v>
      </c>
      <c r="E14" s="784">
        <v>5.63</v>
      </c>
      <c r="F14" s="784"/>
      <c r="G14" s="784">
        <f t="shared" si="0"/>
        <v>5.63</v>
      </c>
    </row>
    <row r="15" spans="1:7" ht="24" customHeight="1">
      <c r="A15" s="784">
        <v>6</v>
      </c>
      <c r="B15" s="786" t="s">
        <v>131</v>
      </c>
      <c r="C15" s="784"/>
      <c r="D15" s="784">
        <v>18</v>
      </c>
      <c r="E15" s="784">
        <v>8.94</v>
      </c>
      <c r="F15" s="784"/>
      <c r="G15" s="784">
        <f t="shared" si="0"/>
        <v>8.94</v>
      </c>
    </row>
    <row r="16" spans="1:7" ht="24" customHeight="1">
      <c r="A16" s="784">
        <v>7</v>
      </c>
      <c r="B16" s="786" t="s">
        <v>362</v>
      </c>
      <c r="C16" s="784"/>
      <c r="D16" s="784">
        <v>18</v>
      </c>
      <c r="E16" s="784">
        <v>8.94</v>
      </c>
      <c r="F16" s="784"/>
      <c r="G16" s="784">
        <f t="shared" si="0"/>
        <v>8.94</v>
      </c>
    </row>
    <row r="17" spans="1:7" ht="24" customHeight="1">
      <c r="A17" s="784">
        <v>8</v>
      </c>
      <c r="B17" s="786" t="s">
        <v>661</v>
      </c>
      <c r="C17" s="784"/>
      <c r="D17" s="784">
        <v>18</v>
      </c>
      <c r="E17" s="784">
        <v>8.94</v>
      </c>
      <c r="F17" s="784"/>
      <c r="G17" s="787">
        <f>E17+F17</f>
        <v>8.94</v>
      </c>
    </row>
    <row r="18" spans="1:7" ht="24" customHeight="1">
      <c r="A18" s="784">
        <v>9</v>
      </c>
      <c r="B18" s="785" t="s">
        <v>662</v>
      </c>
      <c r="C18" s="784"/>
      <c r="D18" s="784">
        <v>18</v>
      </c>
      <c r="E18" s="784">
        <v>8.94</v>
      </c>
      <c r="F18" s="784"/>
      <c r="G18" s="784">
        <f>E18+F18</f>
        <v>8.94</v>
      </c>
    </row>
    <row r="19" spans="1:7" ht="24" customHeight="1">
      <c r="A19" s="117"/>
      <c r="B19" s="451"/>
      <c r="C19" s="117"/>
      <c r="D19" s="117"/>
      <c r="E19" s="117"/>
      <c r="F19" s="117"/>
      <c r="G19" s="117"/>
    </row>
    <row r="20" spans="1:7" ht="16.5">
      <c r="A20" s="117"/>
      <c r="B20" s="118"/>
      <c r="C20" s="117"/>
      <c r="D20" s="117"/>
      <c r="E20" s="117"/>
      <c r="F20" s="117"/>
      <c r="G20" s="117"/>
    </row>
    <row r="21" spans="1:7" s="86" customFormat="1" ht="16.5">
      <c r="A21" s="1063" t="s">
        <v>175</v>
      </c>
      <c r="B21" s="1063"/>
      <c r="C21" s="1063"/>
      <c r="D21" s="1063"/>
      <c r="E21" s="1063"/>
      <c r="F21" s="1063"/>
      <c r="G21" s="1063"/>
    </row>
    <row r="22" spans="1:7">
      <c r="D22" s="92"/>
      <c r="E22" s="92"/>
      <c r="F22" s="92"/>
    </row>
    <row r="23" spans="1:7">
      <c r="D23" s="92"/>
      <c r="E23" s="92"/>
      <c r="F23" s="92"/>
    </row>
    <row r="24" spans="1:7">
      <c r="D24" s="92"/>
      <c r="E24" s="92"/>
      <c r="F24" s="92"/>
    </row>
    <row r="25" spans="1:7">
      <c r="D25" s="92"/>
      <c r="E25" s="92"/>
      <c r="F25" s="92"/>
    </row>
    <row r="26" spans="1:7">
      <c r="D26" s="92"/>
      <c r="E26" s="92"/>
      <c r="F26" s="92"/>
    </row>
    <row r="44" spans="1:1" ht="16.5">
      <c r="A44" s="119"/>
    </row>
    <row r="75" ht="65.25" customHeight="1"/>
  </sheetData>
  <mergeCells count="5">
    <mergeCell ref="A6:A7"/>
    <mergeCell ref="B3:G3"/>
    <mergeCell ref="A21:G21"/>
    <mergeCell ref="A4:G4"/>
    <mergeCell ref="A2:G2"/>
  </mergeCells>
  <phoneticPr fontId="0" type="noConversion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Normal="100" zoomScaleSheetLayoutView="100" workbookViewId="0">
      <selection activeCell="K16" sqref="K16"/>
    </sheetView>
  </sheetViews>
  <sheetFormatPr defaultRowHeight="12.75"/>
  <cols>
    <col min="1" max="1" width="4.5703125" style="321" customWidth="1"/>
    <col min="2" max="2" width="13" style="321" customWidth="1"/>
    <col min="3" max="3" width="14.140625" style="321" customWidth="1"/>
    <col min="4" max="5" width="12.7109375" style="321" customWidth="1"/>
    <col min="6" max="6" width="14.85546875" style="321" customWidth="1"/>
    <col min="7" max="7" width="12.7109375" style="321" customWidth="1"/>
    <col min="8" max="8" width="15.28515625" style="321" customWidth="1"/>
    <col min="9" max="16384" width="9.140625" style="321"/>
  </cols>
  <sheetData>
    <row r="1" spans="1:8" ht="73.5" customHeight="1">
      <c r="A1" s="860" t="s">
        <v>450</v>
      </c>
      <c r="B1" s="860"/>
      <c r="C1" s="860"/>
      <c r="D1" s="860"/>
      <c r="E1" s="860"/>
      <c r="F1" s="860"/>
      <c r="G1" s="860"/>
      <c r="H1" s="860"/>
    </row>
    <row r="2" spans="1:8" ht="26.25" customHeight="1">
      <c r="A2" s="861" t="s">
        <v>0</v>
      </c>
      <c r="B2" s="862" t="s">
        <v>218</v>
      </c>
      <c r="C2" s="863" t="s">
        <v>415</v>
      </c>
      <c r="D2" s="863" t="s">
        <v>416</v>
      </c>
      <c r="E2" s="864" t="s">
        <v>417</v>
      </c>
      <c r="F2" s="865"/>
      <c r="G2" s="864" t="s">
        <v>418</v>
      </c>
      <c r="H2" s="865"/>
    </row>
    <row r="3" spans="1:8" ht="40.5" customHeight="1">
      <c r="A3" s="861"/>
      <c r="B3" s="862"/>
      <c r="C3" s="863"/>
      <c r="D3" s="863"/>
      <c r="E3" s="3" t="s">
        <v>419</v>
      </c>
      <c r="F3" s="3" t="s">
        <v>420</v>
      </c>
      <c r="G3" s="3" t="s">
        <v>419</v>
      </c>
      <c r="H3" s="3" t="s">
        <v>420</v>
      </c>
    </row>
    <row r="4" spans="1:8" ht="16.5">
      <c r="A4" s="622">
        <v>1</v>
      </c>
      <c r="B4" s="623" t="s">
        <v>256</v>
      </c>
      <c r="C4" s="853">
        <v>20</v>
      </c>
      <c r="D4" s="2">
        <f>C4/2</f>
        <v>10</v>
      </c>
      <c r="E4" s="1">
        <v>8.1</v>
      </c>
      <c r="F4" s="1">
        <f>D4*E4</f>
        <v>81</v>
      </c>
      <c r="G4" s="1">
        <v>11</v>
      </c>
      <c r="H4" s="1">
        <f>G4*D4</f>
        <v>110</v>
      </c>
    </row>
    <row r="5" spans="1:8" ht="9.75" customHeight="1">
      <c r="A5" s="849">
        <v>2</v>
      </c>
      <c r="B5" s="845" t="s">
        <v>427</v>
      </c>
      <c r="C5" s="854"/>
      <c r="D5" s="845">
        <v>20</v>
      </c>
      <c r="E5" s="858">
        <v>8</v>
      </c>
      <c r="F5" s="858">
        <f>D5*E5</f>
        <v>160</v>
      </c>
      <c r="G5" s="858">
        <v>14.8</v>
      </c>
      <c r="H5" s="858">
        <f>G5*D5</f>
        <v>296</v>
      </c>
    </row>
    <row r="6" spans="1:8" ht="9.75" customHeight="1">
      <c r="A6" s="849"/>
      <c r="B6" s="846"/>
      <c r="C6" s="853">
        <v>20</v>
      </c>
      <c r="D6" s="846"/>
      <c r="E6" s="859"/>
      <c r="F6" s="859"/>
      <c r="G6" s="859"/>
      <c r="H6" s="859"/>
    </row>
    <row r="7" spans="1:8" ht="9.75" customHeight="1">
      <c r="A7" s="849">
        <v>3</v>
      </c>
      <c r="B7" s="845" t="s">
        <v>371</v>
      </c>
      <c r="C7" s="854"/>
      <c r="D7" s="845">
        <v>20</v>
      </c>
      <c r="E7" s="858">
        <v>8.1999999999999993</v>
      </c>
      <c r="F7" s="858">
        <f>D7*E7</f>
        <v>164</v>
      </c>
      <c r="G7" s="858">
        <v>17.600000000000001</v>
      </c>
      <c r="H7" s="858">
        <f>G7*D7</f>
        <v>352</v>
      </c>
    </row>
    <row r="8" spans="1:8" ht="9.75" customHeight="1">
      <c r="A8" s="849"/>
      <c r="B8" s="846"/>
      <c r="C8" s="853">
        <v>20</v>
      </c>
      <c r="D8" s="846"/>
      <c r="E8" s="859"/>
      <c r="F8" s="859"/>
      <c r="G8" s="859"/>
      <c r="H8" s="859"/>
    </row>
    <row r="9" spans="1:8" ht="9.75" customHeight="1">
      <c r="A9" s="849">
        <v>4</v>
      </c>
      <c r="B9" s="844" t="s">
        <v>428</v>
      </c>
      <c r="C9" s="854"/>
      <c r="D9" s="845">
        <v>20</v>
      </c>
      <c r="E9" s="858">
        <v>10.3</v>
      </c>
      <c r="F9" s="858">
        <f>D9*E9</f>
        <v>206</v>
      </c>
      <c r="G9" s="858">
        <v>29.6</v>
      </c>
      <c r="H9" s="858">
        <f>G9*D9</f>
        <v>592</v>
      </c>
    </row>
    <row r="10" spans="1:8" ht="9.75" customHeight="1">
      <c r="A10" s="849"/>
      <c r="B10" s="844"/>
      <c r="C10" s="853">
        <v>20</v>
      </c>
      <c r="D10" s="846"/>
      <c r="E10" s="859"/>
      <c r="F10" s="859"/>
      <c r="G10" s="859"/>
      <c r="H10" s="859"/>
    </row>
    <row r="11" spans="1:8" ht="9.75" customHeight="1">
      <c r="A11" s="849">
        <v>5</v>
      </c>
      <c r="B11" s="844" t="s">
        <v>429</v>
      </c>
      <c r="C11" s="854"/>
      <c r="D11" s="845">
        <v>20</v>
      </c>
      <c r="E11" s="858">
        <v>7.5</v>
      </c>
      <c r="F11" s="858">
        <f>D11*E11</f>
        <v>150</v>
      </c>
      <c r="G11" s="858">
        <v>14.4</v>
      </c>
      <c r="H11" s="858">
        <f>G11*D11</f>
        <v>288</v>
      </c>
    </row>
    <row r="12" spans="1:8" ht="9.75" customHeight="1">
      <c r="A12" s="849"/>
      <c r="B12" s="844"/>
      <c r="C12" s="853">
        <v>20</v>
      </c>
      <c r="D12" s="846"/>
      <c r="E12" s="859"/>
      <c r="F12" s="859"/>
      <c r="G12" s="859"/>
      <c r="H12" s="859"/>
    </row>
    <row r="13" spans="1:8" ht="9.75" customHeight="1">
      <c r="A13" s="849">
        <v>6</v>
      </c>
      <c r="B13" s="844" t="s">
        <v>421</v>
      </c>
      <c r="C13" s="854"/>
      <c r="D13" s="845">
        <v>20</v>
      </c>
      <c r="E13" s="858">
        <v>117.4</v>
      </c>
      <c r="F13" s="858">
        <f>D13*E13</f>
        <v>2348</v>
      </c>
      <c r="G13" s="858">
        <v>23.5</v>
      </c>
      <c r="H13" s="858">
        <f>G13*D13</f>
        <v>470</v>
      </c>
    </row>
    <row r="14" spans="1:8" ht="9.75" customHeight="1">
      <c r="A14" s="849"/>
      <c r="B14" s="844"/>
      <c r="C14" s="853">
        <v>20</v>
      </c>
      <c r="D14" s="846"/>
      <c r="E14" s="859"/>
      <c r="F14" s="859"/>
      <c r="G14" s="859"/>
      <c r="H14" s="859"/>
    </row>
    <row r="15" spans="1:8" ht="9.75" customHeight="1">
      <c r="A15" s="849">
        <v>7</v>
      </c>
      <c r="B15" s="844" t="s">
        <v>430</v>
      </c>
      <c r="C15" s="854"/>
      <c r="D15" s="845">
        <v>20</v>
      </c>
      <c r="E15" s="858">
        <v>154.30000000000001</v>
      </c>
      <c r="F15" s="858">
        <f>D15*E15</f>
        <v>3086</v>
      </c>
      <c r="G15" s="858">
        <v>16.350000000000001</v>
      </c>
      <c r="H15" s="858">
        <f>G15*D15</f>
        <v>327</v>
      </c>
    </row>
    <row r="16" spans="1:8" ht="9.75" customHeight="1">
      <c r="A16" s="849"/>
      <c r="B16" s="844"/>
      <c r="C16" s="853">
        <v>20</v>
      </c>
      <c r="D16" s="846"/>
      <c r="E16" s="859"/>
      <c r="F16" s="859"/>
      <c r="G16" s="859"/>
      <c r="H16" s="859"/>
    </row>
    <row r="17" spans="1:8" ht="9.75" customHeight="1">
      <c r="A17" s="849">
        <v>8</v>
      </c>
      <c r="B17" s="844" t="s">
        <v>431</v>
      </c>
      <c r="C17" s="854"/>
      <c r="D17" s="845">
        <v>20</v>
      </c>
      <c r="E17" s="858">
        <v>143.9</v>
      </c>
      <c r="F17" s="858">
        <f>D17*E17</f>
        <v>2878</v>
      </c>
      <c r="G17" s="858">
        <v>22.2</v>
      </c>
      <c r="H17" s="858">
        <f>G17*D17</f>
        <v>444</v>
      </c>
    </row>
    <row r="18" spans="1:8" ht="9.75" customHeight="1">
      <c r="A18" s="849"/>
      <c r="B18" s="844"/>
      <c r="C18" s="853">
        <v>20</v>
      </c>
      <c r="D18" s="846"/>
      <c r="E18" s="859"/>
      <c r="F18" s="859"/>
      <c r="G18" s="859"/>
      <c r="H18" s="859"/>
    </row>
    <row r="19" spans="1:8" ht="9.75" customHeight="1">
      <c r="A19" s="849">
        <v>9</v>
      </c>
      <c r="B19" s="844" t="s">
        <v>432</v>
      </c>
      <c r="C19" s="854"/>
      <c r="D19" s="845">
        <v>20</v>
      </c>
      <c r="E19" s="858">
        <v>138.15</v>
      </c>
      <c r="F19" s="858">
        <f>D19*E19</f>
        <v>2763</v>
      </c>
      <c r="G19" s="858">
        <v>23.4</v>
      </c>
      <c r="H19" s="858">
        <f>G19*D19</f>
        <v>468</v>
      </c>
    </row>
    <row r="20" spans="1:8" ht="9.75" customHeight="1">
      <c r="A20" s="849"/>
      <c r="B20" s="844"/>
      <c r="C20" s="853">
        <v>20</v>
      </c>
      <c r="D20" s="846"/>
      <c r="E20" s="859"/>
      <c r="F20" s="859"/>
      <c r="G20" s="859"/>
      <c r="H20" s="859"/>
    </row>
    <row r="21" spans="1:8" ht="9.75" customHeight="1">
      <c r="A21" s="849">
        <v>10</v>
      </c>
      <c r="B21" s="844" t="s">
        <v>433</v>
      </c>
      <c r="C21" s="854"/>
      <c r="D21" s="845">
        <v>20</v>
      </c>
      <c r="E21" s="858">
        <v>134.4</v>
      </c>
      <c r="F21" s="858">
        <f>D21*E21</f>
        <v>2688</v>
      </c>
      <c r="G21" s="858">
        <v>25.4</v>
      </c>
      <c r="H21" s="858">
        <f>G21*D21</f>
        <v>508</v>
      </c>
    </row>
    <row r="22" spans="1:8" ht="9.75" customHeight="1">
      <c r="A22" s="849"/>
      <c r="B22" s="844"/>
      <c r="C22" s="853">
        <v>20</v>
      </c>
      <c r="D22" s="846"/>
      <c r="E22" s="859"/>
      <c r="F22" s="859"/>
      <c r="G22" s="859"/>
      <c r="H22" s="859"/>
    </row>
    <row r="23" spans="1:8" ht="9.75" customHeight="1">
      <c r="A23" s="849">
        <v>11</v>
      </c>
      <c r="B23" s="844" t="s">
        <v>422</v>
      </c>
      <c r="C23" s="854"/>
      <c r="D23" s="845">
        <v>20</v>
      </c>
      <c r="E23" s="858">
        <v>237.7</v>
      </c>
      <c r="F23" s="858">
        <f>D23*E23</f>
        <v>4754</v>
      </c>
      <c r="G23" s="858">
        <v>23.5</v>
      </c>
      <c r="H23" s="858">
        <f>G23*D23</f>
        <v>470</v>
      </c>
    </row>
    <row r="24" spans="1:8" ht="9.75" customHeight="1">
      <c r="A24" s="849"/>
      <c r="B24" s="844"/>
      <c r="C24" s="853">
        <v>20</v>
      </c>
      <c r="D24" s="846"/>
      <c r="E24" s="859"/>
      <c r="F24" s="859"/>
      <c r="G24" s="859"/>
      <c r="H24" s="859"/>
    </row>
    <row r="25" spans="1:8" ht="9.75" customHeight="1">
      <c r="A25" s="849">
        <v>12</v>
      </c>
      <c r="B25" s="844" t="s">
        <v>434</v>
      </c>
      <c r="C25" s="854"/>
      <c r="D25" s="845">
        <v>20</v>
      </c>
      <c r="E25" s="858">
        <v>199.4</v>
      </c>
      <c r="F25" s="858">
        <f>D25*E25</f>
        <v>3988</v>
      </c>
      <c r="G25" s="858">
        <v>25.5</v>
      </c>
      <c r="H25" s="858">
        <f>G25*D25</f>
        <v>510</v>
      </c>
    </row>
    <row r="26" spans="1:8" ht="9.75" customHeight="1">
      <c r="A26" s="849"/>
      <c r="B26" s="844"/>
      <c r="C26" s="853">
        <v>20</v>
      </c>
      <c r="D26" s="846"/>
      <c r="E26" s="859"/>
      <c r="F26" s="859"/>
      <c r="G26" s="859"/>
      <c r="H26" s="859"/>
    </row>
    <row r="27" spans="1:8" ht="9.75" customHeight="1">
      <c r="A27" s="849">
        <v>13</v>
      </c>
      <c r="B27" s="844" t="s">
        <v>435</v>
      </c>
      <c r="C27" s="854"/>
      <c r="D27" s="845">
        <v>20</v>
      </c>
      <c r="E27" s="858">
        <v>323.3</v>
      </c>
      <c r="F27" s="858">
        <f>D27*E27</f>
        <v>6466</v>
      </c>
      <c r="G27" s="858">
        <v>27.6</v>
      </c>
      <c r="H27" s="858">
        <f>G27*D27</f>
        <v>552</v>
      </c>
    </row>
    <row r="28" spans="1:8" ht="9.75" customHeight="1">
      <c r="A28" s="849"/>
      <c r="B28" s="844"/>
      <c r="C28" s="853">
        <v>20</v>
      </c>
      <c r="D28" s="846"/>
      <c r="E28" s="859"/>
      <c r="F28" s="859"/>
      <c r="G28" s="859"/>
      <c r="H28" s="859"/>
    </row>
    <row r="29" spans="1:8" ht="9.75" customHeight="1">
      <c r="A29" s="849">
        <v>14</v>
      </c>
      <c r="B29" s="844" t="s">
        <v>436</v>
      </c>
      <c r="C29" s="854"/>
      <c r="D29" s="845">
        <v>20</v>
      </c>
      <c r="E29" s="858">
        <v>383.5</v>
      </c>
      <c r="F29" s="858">
        <f>D29*E29</f>
        <v>7670</v>
      </c>
      <c r="G29" s="858">
        <v>29.9</v>
      </c>
      <c r="H29" s="858">
        <f t="shared" ref="H29:H55" si="0">G29*D29</f>
        <v>598</v>
      </c>
    </row>
    <row r="30" spans="1:8" ht="9.75" customHeight="1">
      <c r="A30" s="849"/>
      <c r="B30" s="844"/>
      <c r="C30" s="853">
        <v>20</v>
      </c>
      <c r="D30" s="846"/>
      <c r="E30" s="859"/>
      <c r="F30" s="859"/>
      <c r="G30" s="859"/>
      <c r="H30" s="859"/>
    </row>
    <row r="31" spans="1:8" ht="9.75" customHeight="1">
      <c r="A31" s="849">
        <v>15</v>
      </c>
      <c r="B31" s="844" t="s">
        <v>437</v>
      </c>
      <c r="C31" s="854"/>
      <c r="D31" s="845">
        <v>20</v>
      </c>
      <c r="E31" s="843">
        <v>293.5</v>
      </c>
      <c r="F31" s="843">
        <f>D31*E31</f>
        <v>5870</v>
      </c>
      <c r="G31" s="844">
        <v>29.5</v>
      </c>
      <c r="H31" s="843">
        <f t="shared" si="0"/>
        <v>590</v>
      </c>
    </row>
    <row r="32" spans="1:8" ht="9.75" customHeight="1">
      <c r="A32" s="849"/>
      <c r="B32" s="844"/>
      <c r="C32" s="853">
        <v>20</v>
      </c>
      <c r="D32" s="846"/>
      <c r="E32" s="843"/>
      <c r="F32" s="843"/>
      <c r="G32" s="844"/>
      <c r="H32" s="843"/>
    </row>
    <row r="33" spans="1:8" ht="9.75" customHeight="1">
      <c r="A33" s="849">
        <v>16</v>
      </c>
      <c r="B33" s="844" t="s">
        <v>423</v>
      </c>
      <c r="C33" s="854"/>
      <c r="D33" s="845">
        <v>20</v>
      </c>
      <c r="E33" s="843">
        <v>101.9</v>
      </c>
      <c r="F33" s="843">
        <f>D33*E33</f>
        <v>2038</v>
      </c>
      <c r="G33" s="844">
        <v>27.4</v>
      </c>
      <c r="H33" s="843">
        <f t="shared" si="0"/>
        <v>548</v>
      </c>
    </row>
    <row r="34" spans="1:8" ht="9.75" customHeight="1">
      <c r="A34" s="849"/>
      <c r="B34" s="844"/>
      <c r="C34" s="853">
        <v>20</v>
      </c>
      <c r="D34" s="846"/>
      <c r="E34" s="843"/>
      <c r="F34" s="843"/>
      <c r="G34" s="844"/>
      <c r="H34" s="843"/>
    </row>
    <row r="35" spans="1:8" ht="9.75" customHeight="1">
      <c r="A35" s="849">
        <v>17</v>
      </c>
      <c r="B35" s="844" t="s">
        <v>438</v>
      </c>
      <c r="C35" s="854"/>
      <c r="D35" s="845">
        <v>20</v>
      </c>
      <c r="E35" s="843">
        <v>135.80000000000001</v>
      </c>
      <c r="F35" s="843">
        <f>D35*E35</f>
        <v>2716</v>
      </c>
      <c r="G35" s="844">
        <v>26.2</v>
      </c>
      <c r="H35" s="843">
        <f t="shared" si="0"/>
        <v>524</v>
      </c>
    </row>
    <row r="36" spans="1:8" ht="9.75" customHeight="1">
      <c r="A36" s="849"/>
      <c r="B36" s="844"/>
      <c r="C36" s="853">
        <v>20</v>
      </c>
      <c r="D36" s="846"/>
      <c r="E36" s="843"/>
      <c r="F36" s="843"/>
      <c r="G36" s="844"/>
      <c r="H36" s="843"/>
    </row>
    <row r="37" spans="1:8" ht="9.75" customHeight="1">
      <c r="A37" s="849">
        <v>18</v>
      </c>
      <c r="B37" s="844" t="s">
        <v>439</v>
      </c>
      <c r="C37" s="854"/>
      <c r="D37" s="845">
        <v>20</v>
      </c>
      <c r="E37" s="843">
        <v>83.8</v>
      </c>
      <c r="F37" s="843">
        <f>D37*E37</f>
        <v>1676</v>
      </c>
      <c r="G37" s="844">
        <v>51.6</v>
      </c>
      <c r="H37" s="843">
        <f t="shared" si="0"/>
        <v>1032</v>
      </c>
    </row>
    <row r="38" spans="1:8" ht="9.75" customHeight="1">
      <c r="A38" s="849"/>
      <c r="B38" s="844"/>
      <c r="C38" s="853">
        <v>20</v>
      </c>
      <c r="D38" s="846"/>
      <c r="E38" s="843"/>
      <c r="F38" s="843"/>
      <c r="G38" s="844"/>
      <c r="H38" s="843"/>
    </row>
    <row r="39" spans="1:8" ht="9.75" customHeight="1">
      <c r="A39" s="849">
        <v>19</v>
      </c>
      <c r="B39" s="844" t="s">
        <v>440</v>
      </c>
      <c r="C39" s="854"/>
      <c r="D39" s="845">
        <v>20</v>
      </c>
      <c r="E39" s="843">
        <v>71.900000000000006</v>
      </c>
      <c r="F39" s="843">
        <f>D39*E39</f>
        <v>1438</v>
      </c>
      <c r="G39" s="844">
        <v>25.8</v>
      </c>
      <c r="H39" s="843">
        <f t="shared" si="0"/>
        <v>516</v>
      </c>
    </row>
    <row r="40" spans="1:8" ht="9.75" customHeight="1">
      <c r="A40" s="849"/>
      <c r="B40" s="844"/>
      <c r="C40" s="853">
        <v>20</v>
      </c>
      <c r="D40" s="846"/>
      <c r="E40" s="843"/>
      <c r="F40" s="843"/>
      <c r="G40" s="844"/>
      <c r="H40" s="843"/>
    </row>
    <row r="41" spans="1:8" ht="9.75" customHeight="1">
      <c r="A41" s="849">
        <v>20</v>
      </c>
      <c r="B41" s="844" t="s">
        <v>441</v>
      </c>
      <c r="C41" s="854"/>
      <c r="D41" s="845">
        <v>20</v>
      </c>
      <c r="E41" s="843">
        <v>88.5</v>
      </c>
      <c r="F41" s="843">
        <f>D41*E41</f>
        <v>1770</v>
      </c>
      <c r="G41" s="844">
        <v>10.5</v>
      </c>
      <c r="H41" s="843">
        <f t="shared" si="0"/>
        <v>210</v>
      </c>
    </row>
    <row r="42" spans="1:8" ht="9.75" customHeight="1">
      <c r="A42" s="849"/>
      <c r="B42" s="844"/>
      <c r="C42" s="853">
        <v>20</v>
      </c>
      <c r="D42" s="846"/>
      <c r="E42" s="843"/>
      <c r="F42" s="843"/>
      <c r="G42" s="844"/>
      <c r="H42" s="843"/>
    </row>
    <row r="43" spans="1:8" ht="9.75" customHeight="1">
      <c r="A43" s="849">
        <v>21</v>
      </c>
      <c r="B43" s="844" t="s">
        <v>424</v>
      </c>
      <c r="C43" s="854"/>
      <c r="D43" s="845">
        <v>20</v>
      </c>
      <c r="E43" s="843">
        <v>35</v>
      </c>
      <c r="F43" s="843">
        <f>D43*E43</f>
        <v>700</v>
      </c>
      <c r="G43" s="844">
        <v>11.5</v>
      </c>
      <c r="H43" s="843">
        <f t="shared" si="0"/>
        <v>230</v>
      </c>
    </row>
    <row r="44" spans="1:8" ht="9.75" customHeight="1">
      <c r="A44" s="849"/>
      <c r="B44" s="844"/>
      <c r="C44" s="853">
        <v>20</v>
      </c>
      <c r="D44" s="846"/>
      <c r="E44" s="843"/>
      <c r="F44" s="843"/>
      <c r="G44" s="844"/>
      <c r="H44" s="843"/>
    </row>
    <row r="45" spans="1:8" ht="9.75" customHeight="1">
      <c r="A45" s="849">
        <v>22</v>
      </c>
      <c r="B45" s="844" t="s">
        <v>442</v>
      </c>
      <c r="C45" s="854"/>
      <c r="D45" s="845">
        <v>20</v>
      </c>
      <c r="E45" s="843">
        <v>37</v>
      </c>
      <c r="F45" s="843">
        <f>D45*E45</f>
        <v>740</v>
      </c>
      <c r="G45" s="844">
        <v>2.35</v>
      </c>
      <c r="H45" s="843">
        <f t="shared" si="0"/>
        <v>47</v>
      </c>
    </row>
    <row r="46" spans="1:8" ht="9.75" customHeight="1">
      <c r="A46" s="849"/>
      <c r="B46" s="844"/>
      <c r="C46" s="853">
        <v>20</v>
      </c>
      <c r="D46" s="846"/>
      <c r="E46" s="843"/>
      <c r="F46" s="843"/>
      <c r="G46" s="844"/>
      <c r="H46" s="843"/>
    </row>
    <row r="47" spans="1:8" ht="9.75" customHeight="1">
      <c r="A47" s="849">
        <v>23</v>
      </c>
      <c r="B47" s="844" t="s">
        <v>443</v>
      </c>
      <c r="C47" s="854"/>
      <c r="D47" s="845">
        <v>20</v>
      </c>
      <c r="E47" s="843">
        <v>55.2</v>
      </c>
      <c r="F47" s="843">
        <f>D47*E47</f>
        <v>1104</v>
      </c>
      <c r="G47" s="844">
        <v>3.35</v>
      </c>
      <c r="H47" s="843">
        <f t="shared" si="0"/>
        <v>67</v>
      </c>
    </row>
    <row r="48" spans="1:8" ht="9.75" customHeight="1">
      <c r="A48" s="849"/>
      <c r="B48" s="844"/>
      <c r="C48" s="853">
        <v>20</v>
      </c>
      <c r="D48" s="846"/>
      <c r="E48" s="843"/>
      <c r="F48" s="843"/>
      <c r="G48" s="844"/>
      <c r="H48" s="843"/>
    </row>
    <row r="49" spans="1:8" ht="9.75" customHeight="1">
      <c r="A49" s="849">
        <v>24</v>
      </c>
      <c r="B49" s="844" t="s">
        <v>444</v>
      </c>
      <c r="C49" s="854"/>
      <c r="D49" s="845">
        <v>20</v>
      </c>
      <c r="E49" s="843">
        <v>34.549999999999997</v>
      </c>
      <c r="F49" s="843">
        <f>D49*E49</f>
        <v>691</v>
      </c>
      <c r="G49" s="844">
        <v>2.75</v>
      </c>
      <c r="H49" s="843">
        <f t="shared" si="0"/>
        <v>55</v>
      </c>
    </row>
    <row r="50" spans="1:8" ht="9.75" customHeight="1">
      <c r="A50" s="849"/>
      <c r="B50" s="844"/>
      <c r="C50" s="853">
        <v>20</v>
      </c>
      <c r="D50" s="846"/>
      <c r="E50" s="843"/>
      <c r="F50" s="843"/>
      <c r="G50" s="844"/>
      <c r="H50" s="843"/>
    </row>
    <row r="51" spans="1:8" ht="9.75" customHeight="1">
      <c r="A51" s="849">
        <v>25</v>
      </c>
      <c r="B51" s="844" t="s">
        <v>445</v>
      </c>
      <c r="C51" s="854"/>
      <c r="D51" s="845">
        <v>20</v>
      </c>
      <c r="E51" s="843">
        <v>43</v>
      </c>
      <c r="F51" s="843">
        <f>D51*E51</f>
        <v>860</v>
      </c>
      <c r="G51" s="844">
        <v>2.8</v>
      </c>
      <c r="H51" s="843">
        <f t="shared" si="0"/>
        <v>56</v>
      </c>
    </row>
    <row r="52" spans="1:8" ht="9.75" customHeight="1">
      <c r="A52" s="849"/>
      <c r="B52" s="844"/>
      <c r="C52" s="850">
        <v>20</v>
      </c>
      <c r="D52" s="846"/>
      <c r="E52" s="843"/>
      <c r="F52" s="843"/>
      <c r="G52" s="844"/>
      <c r="H52" s="843"/>
    </row>
    <row r="53" spans="1:8" ht="9.75" customHeight="1">
      <c r="A53" s="849">
        <v>26</v>
      </c>
      <c r="B53" s="844" t="s">
        <v>425</v>
      </c>
      <c r="C53" s="850"/>
      <c r="D53" s="844">
        <v>20</v>
      </c>
      <c r="E53" s="843">
        <v>110.45</v>
      </c>
      <c r="F53" s="843">
        <f>D53*E53</f>
        <v>2209</v>
      </c>
      <c r="G53" s="844">
        <v>15.66</v>
      </c>
      <c r="H53" s="843">
        <f t="shared" si="0"/>
        <v>313.2</v>
      </c>
    </row>
    <row r="54" spans="1:8" ht="9.75" customHeight="1">
      <c r="A54" s="849"/>
      <c r="B54" s="844"/>
      <c r="C54" s="851">
        <v>20</v>
      </c>
      <c r="D54" s="844"/>
      <c r="E54" s="843"/>
      <c r="F54" s="843"/>
      <c r="G54" s="844"/>
      <c r="H54" s="843"/>
    </row>
    <row r="55" spans="1:8" ht="9.75" customHeight="1">
      <c r="A55" s="849">
        <v>27</v>
      </c>
      <c r="B55" s="844" t="s">
        <v>446</v>
      </c>
      <c r="C55" s="852"/>
      <c r="D55" s="844">
        <v>20</v>
      </c>
      <c r="E55" s="843">
        <v>238.1</v>
      </c>
      <c r="F55" s="843">
        <f>D55*E55</f>
        <v>4762</v>
      </c>
      <c r="G55" s="844">
        <v>8.1</v>
      </c>
      <c r="H55" s="843">
        <f t="shared" si="0"/>
        <v>162</v>
      </c>
    </row>
    <row r="56" spans="1:8" ht="9.75" customHeight="1">
      <c r="A56" s="849"/>
      <c r="B56" s="844"/>
      <c r="C56" s="850">
        <v>20</v>
      </c>
      <c r="D56" s="844"/>
      <c r="E56" s="843"/>
      <c r="F56" s="843"/>
      <c r="G56" s="844"/>
      <c r="H56" s="843"/>
    </row>
    <row r="57" spans="1:8" ht="9.75" customHeight="1">
      <c r="A57" s="849">
        <v>28</v>
      </c>
      <c r="B57" s="844" t="s">
        <v>447</v>
      </c>
      <c r="C57" s="850"/>
      <c r="D57" s="844">
        <v>20</v>
      </c>
      <c r="E57" s="843">
        <v>142.9</v>
      </c>
      <c r="F57" s="843">
        <f>D57*E57</f>
        <v>2858</v>
      </c>
      <c r="G57" s="845">
        <v>28.1</v>
      </c>
      <c r="H57" s="843">
        <f>G57*D57</f>
        <v>562</v>
      </c>
    </row>
    <row r="58" spans="1:8" ht="9.75" customHeight="1">
      <c r="A58" s="849"/>
      <c r="B58" s="844"/>
      <c r="C58" s="853">
        <v>20</v>
      </c>
      <c r="D58" s="844"/>
      <c r="E58" s="843"/>
      <c r="F58" s="843"/>
      <c r="G58" s="846"/>
      <c r="H58" s="843"/>
    </row>
    <row r="59" spans="1:8" ht="9.75" customHeight="1">
      <c r="A59" s="847">
        <v>29</v>
      </c>
      <c r="B59" s="845" t="s">
        <v>448</v>
      </c>
      <c r="C59" s="854"/>
      <c r="D59" s="845">
        <v>20</v>
      </c>
      <c r="E59" s="858">
        <v>58</v>
      </c>
      <c r="F59" s="858">
        <f>E59*D59</f>
        <v>1160</v>
      </c>
      <c r="G59" s="845">
        <v>28.7</v>
      </c>
      <c r="H59" s="858">
        <f>G59*D59</f>
        <v>574</v>
      </c>
    </row>
    <row r="60" spans="1:8" ht="9.75" customHeight="1">
      <c r="A60" s="848"/>
      <c r="B60" s="846"/>
      <c r="C60" s="853">
        <v>20</v>
      </c>
      <c r="D60" s="846"/>
      <c r="E60" s="859"/>
      <c r="F60" s="859"/>
      <c r="G60" s="846"/>
      <c r="H60" s="859"/>
    </row>
    <row r="61" spans="1:8" ht="9.75" customHeight="1">
      <c r="A61" s="849">
        <v>30</v>
      </c>
      <c r="B61" s="845" t="s">
        <v>689</v>
      </c>
      <c r="C61" s="854"/>
      <c r="D61" s="845">
        <v>15</v>
      </c>
      <c r="E61" s="858">
        <v>25.3</v>
      </c>
      <c r="F61" s="858">
        <f>D61*E61</f>
        <v>379.5</v>
      </c>
      <c r="G61" s="845">
        <v>30.8</v>
      </c>
      <c r="H61" s="858">
        <f>G61*D61</f>
        <v>462</v>
      </c>
    </row>
    <row r="62" spans="1:8" ht="9.75" customHeight="1">
      <c r="A62" s="849"/>
      <c r="B62" s="846"/>
      <c r="C62" s="853">
        <v>10</v>
      </c>
      <c r="D62" s="846"/>
      <c r="E62" s="859"/>
      <c r="F62" s="859"/>
      <c r="G62" s="846"/>
      <c r="H62" s="859"/>
    </row>
    <row r="63" spans="1:8" ht="9.75" customHeight="1">
      <c r="A63" s="849">
        <v>31</v>
      </c>
      <c r="B63" s="845" t="s">
        <v>690</v>
      </c>
      <c r="C63" s="854"/>
      <c r="D63" s="845">
        <v>5</v>
      </c>
      <c r="E63" s="858">
        <v>25.3</v>
      </c>
      <c r="F63" s="858">
        <f>D63*E63</f>
        <v>126.5</v>
      </c>
      <c r="G63" s="845">
        <v>30.8</v>
      </c>
      <c r="H63" s="858">
        <f>G63*D63</f>
        <v>154</v>
      </c>
    </row>
    <row r="64" spans="1:8" ht="9.75" customHeight="1">
      <c r="A64" s="849"/>
      <c r="B64" s="846"/>
      <c r="C64" s="803"/>
      <c r="D64" s="846"/>
      <c r="E64" s="859"/>
      <c r="F64" s="859"/>
      <c r="G64" s="846"/>
      <c r="H64" s="859"/>
    </row>
    <row r="65" spans="1:8" ht="23.25" customHeight="1">
      <c r="A65" s="624"/>
      <c r="B65" s="4" t="s">
        <v>189</v>
      </c>
      <c r="C65" s="625">
        <f>SUM(C4:C64)</f>
        <v>590</v>
      </c>
      <c r="D65" s="625">
        <f>C65</f>
        <v>590</v>
      </c>
      <c r="E65" s="5"/>
      <c r="F65" s="625">
        <f>SUM(F4:F64)</f>
        <v>68500</v>
      </c>
      <c r="G65" s="625"/>
      <c r="H65" s="625">
        <f>SUM(H4:H64)</f>
        <v>12087.2</v>
      </c>
    </row>
    <row r="66" spans="1:8" ht="16.5">
      <c r="A66" s="626"/>
      <c r="B66" s="627"/>
      <c r="C66" s="628"/>
      <c r="D66" s="628"/>
      <c r="E66" s="626"/>
      <c r="F66" s="628"/>
      <c r="G66" s="628"/>
      <c r="H66" s="628"/>
    </row>
    <row r="67" spans="1:8" ht="13.5">
      <c r="A67" s="855"/>
      <c r="B67" s="856"/>
      <c r="C67" s="856"/>
      <c r="D67" s="856"/>
      <c r="E67" s="856"/>
      <c r="F67" s="856"/>
      <c r="G67" s="856"/>
      <c r="H67" s="856"/>
    </row>
    <row r="68" spans="1:8" ht="16.5">
      <c r="A68" s="857" t="s">
        <v>426</v>
      </c>
      <c r="B68" s="857"/>
      <c r="C68" s="857"/>
      <c r="D68" s="857"/>
      <c r="E68" s="857"/>
      <c r="F68" s="857"/>
      <c r="G68" s="857"/>
      <c r="H68" s="857"/>
    </row>
  </sheetData>
  <mergeCells count="249">
    <mergeCell ref="E63:E64"/>
    <mergeCell ref="F63:F64"/>
    <mergeCell ref="D61:D62"/>
    <mergeCell ref="E61:E62"/>
    <mergeCell ref="A1:H1"/>
    <mergeCell ref="A2:A3"/>
    <mergeCell ref="B2:B3"/>
    <mergeCell ref="C2:C3"/>
    <mergeCell ref="D2:D3"/>
    <mergeCell ref="E2:F2"/>
    <mergeCell ref="G2:H2"/>
    <mergeCell ref="C58:C59"/>
    <mergeCell ref="B59:B60"/>
    <mergeCell ref="E57:E58"/>
    <mergeCell ref="H57:H58"/>
    <mergeCell ref="F57:F58"/>
    <mergeCell ref="F59:F60"/>
    <mergeCell ref="C60:C61"/>
    <mergeCell ref="H59:H60"/>
    <mergeCell ref="G59:G60"/>
    <mergeCell ref="E59:E60"/>
    <mergeCell ref="D59:D60"/>
    <mergeCell ref="G5:G6"/>
    <mergeCell ref="H5:H6"/>
    <mergeCell ref="C6:C7"/>
    <mergeCell ref="A7:A8"/>
    <mergeCell ref="B7:B8"/>
    <mergeCell ref="D7:D8"/>
    <mergeCell ref="E7:E8"/>
    <mergeCell ref="F7:F8"/>
    <mergeCell ref="G7:G8"/>
    <mergeCell ref="H7:H8"/>
    <mergeCell ref="C4:C5"/>
    <mergeCell ref="A5:A6"/>
    <mergeCell ref="B5:B6"/>
    <mergeCell ref="D5:D6"/>
    <mergeCell ref="E5:E6"/>
    <mergeCell ref="F5:F6"/>
    <mergeCell ref="G9:G10"/>
    <mergeCell ref="H9:H10"/>
    <mergeCell ref="C10:C11"/>
    <mergeCell ref="A11:A12"/>
    <mergeCell ref="B11:B12"/>
    <mergeCell ref="D11:D12"/>
    <mergeCell ref="E11:E12"/>
    <mergeCell ref="F11:F12"/>
    <mergeCell ref="G11:G12"/>
    <mergeCell ref="H11:H12"/>
    <mergeCell ref="C8:C9"/>
    <mergeCell ref="A9:A10"/>
    <mergeCell ref="B9:B10"/>
    <mergeCell ref="D9:D10"/>
    <mergeCell ref="E9:E10"/>
    <mergeCell ref="F9:F10"/>
    <mergeCell ref="G13:G14"/>
    <mergeCell ref="H13:H14"/>
    <mergeCell ref="C14:C15"/>
    <mergeCell ref="A15:A16"/>
    <mergeCell ref="B15:B16"/>
    <mergeCell ref="D15:D16"/>
    <mergeCell ref="E15:E16"/>
    <mergeCell ref="F15:F16"/>
    <mergeCell ref="G15:G16"/>
    <mergeCell ref="H15:H16"/>
    <mergeCell ref="C12:C13"/>
    <mergeCell ref="A13:A14"/>
    <mergeCell ref="B13:B14"/>
    <mergeCell ref="D13:D14"/>
    <mergeCell ref="E13:E14"/>
    <mergeCell ref="F13:F14"/>
    <mergeCell ref="G17:G18"/>
    <mergeCell ref="H17:H18"/>
    <mergeCell ref="C18:C19"/>
    <mergeCell ref="A19:A20"/>
    <mergeCell ref="B19:B20"/>
    <mergeCell ref="D19:D20"/>
    <mergeCell ref="E19:E20"/>
    <mergeCell ref="F19:F20"/>
    <mergeCell ref="G19:G20"/>
    <mergeCell ref="H19:H20"/>
    <mergeCell ref="C16:C17"/>
    <mergeCell ref="A17:A18"/>
    <mergeCell ref="B17:B18"/>
    <mergeCell ref="D17:D18"/>
    <mergeCell ref="E17:E18"/>
    <mergeCell ref="F17:F18"/>
    <mergeCell ref="G21:G22"/>
    <mergeCell ref="H21:H22"/>
    <mergeCell ref="C22:C23"/>
    <mergeCell ref="A23:A24"/>
    <mergeCell ref="B23:B24"/>
    <mergeCell ref="D23:D24"/>
    <mergeCell ref="E23:E24"/>
    <mergeCell ref="F23:F24"/>
    <mergeCell ref="G23:G24"/>
    <mergeCell ref="H23:H24"/>
    <mergeCell ref="C20:C21"/>
    <mergeCell ref="A21:A22"/>
    <mergeCell ref="B21:B22"/>
    <mergeCell ref="D21:D22"/>
    <mergeCell ref="E21:E22"/>
    <mergeCell ref="F21:F22"/>
    <mergeCell ref="G25:G26"/>
    <mergeCell ref="A25:A26"/>
    <mergeCell ref="B25:B26"/>
    <mergeCell ref="D25:D26"/>
    <mergeCell ref="E25:E26"/>
    <mergeCell ref="H25:H26"/>
    <mergeCell ref="C26:C27"/>
    <mergeCell ref="A27:A28"/>
    <mergeCell ref="B27:B28"/>
    <mergeCell ref="D27:D28"/>
    <mergeCell ref="E27:E28"/>
    <mergeCell ref="F27:F28"/>
    <mergeCell ref="G27:G28"/>
    <mergeCell ref="H27:H28"/>
    <mergeCell ref="C24:C25"/>
    <mergeCell ref="F25:F26"/>
    <mergeCell ref="G29:G30"/>
    <mergeCell ref="H29:H30"/>
    <mergeCell ref="C30:C31"/>
    <mergeCell ref="H31:H32"/>
    <mergeCell ref="C28:C29"/>
    <mergeCell ref="C48:C49"/>
    <mergeCell ref="C50:C51"/>
    <mergeCell ref="A31:A32"/>
    <mergeCell ref="B31:B32"/>
    <mergeCell ref="D31:D32"/>
    <mergeCell ref="E31:E32"/>
    <mergeCell ref="F31:F32"/>
    <mergeCell ref="G31:G32"/>
    <mergeCell ref="A29:A30"/>
    <mergeCell ref="B29:B30"/>
    <mergeCell ref="D29:D30"/>
    <mergeCell ref="E29:E30"/>
    <mergeCell ref="F29:F30"/>
    <mergeCell ref="A67:H67"/>
    <mergeCell ref="A68:H68"/>
    <mergeCell ref="B33:B34"/>
    <mergeCell ref="B35:B36"/>
    <mergeCell ref="B37:B38"/>
    <mergeCell ref="B39:B40"/>
    <mergeCell ref="B41:B42"/>
    <mergeCell ref="B43:B44"/>
    <mergeCell ref="C32:C33"/>
    <mergeCell ref="B45:B46"/>
    <mergeCell ref="B47:B48"/>
    <mergeCell ref="B49:B50"/>
    <mergeCell ref="B51:B52"/>
    <mergeCell ref="F61:F62"/>
    <mergeCell ref="G61:G62"/>
    <mergeCell ref="H61:H62"/>
    <mergeCell ref="A61:A62"/>
    <mergeCell ref="B61:B62"/>
    <mergeCell ref="G63:G64"/>
    <mergeCell ref="H63:H64"/>
    <mergeCell ref="A63:A64"/>
    <mergeCell ref="B63:B64"/>
    <mergeCell ref="C62:C63"/>
    <mergeCell ref="D63:D64"/>
    <mergeCell ref="A43:A44"/>
    <mergeCell ref="A45:A46"/>
    <mergeCell ref="B53:B54"/>
    <mergeCell ref="B55:B56"/>
    <mergeCell ref="B57:B58"/>
    <mergeCell ref="C34:C35"/>
    <mergeCell ref="C36:C37"/>
    <mergeCell ref="C38:C39"/>
    <mergeCell ref="C40:C41"/>
    <mergeCell ref="C42:C43"/>
    <mergeCell ref="C44:C45"/>
    <mergeCell ref="C46:C47"/>
    <mergeCell ref="A59:A60"/>
    <mergeCell ref="D33:D34"/>
    <mergeCell ref="D35:D36"/>
    <mergeCell ref="D37:D38"/>
    <mergeCell ref="D39:D40"/>
    <mergeCell ref="D41:D42"/>
    <mergeCell ref="D43:D44"/>
    <mergeCell ref="D45:D46"/>
    <mergeCell ref="D47:D48"/>
    <mergeCell ref="D49:D50"/>
    <mergeCell ref="A47:A48"/>
    <mergeCell ref="A49:A50"/>
    <mergeCell ref="A51:A52"/>
    <mergeCell ref="A53:A54"/>
    <mergeCell ref="A55:A56"/>
    <mergeCell ref="A57:A58"/>
    <mergeCell ref="C52:C53"/>
    <mergeCell ref="C54:C55"/>
    <mergeCell ref="C56:C57"/>
    <mergeCell ref="A33:A34"/>
    <mergeCell ref="A35:A36"/>
    <mergeCell ref="A37:A38"/>
    <mergeCell ref="A39:A40"/>
    <mergeCell ref="A41:A42"/>
    <mergeCell ref="D51:D52"/>
    <mergeCell ref="D53:D54"/>
    <mergeCell ref="D55:D56"/>
    <mergeCell ref="D57:D58"/>
    <mergeCell ref="E33:E34"/>
    <mergeCell ref="E35:E36"/>
    <mergeCell ref="E37:E38"/>
    <mergeCell ref="E39:E40"/>
    <mergeCell ref="E41:E42"/>
    <mergeCell ref="E43:E44"/>
    <mergeCell ref="E51:E52"/>
    <mergeCell ref="E53:E54"/>
    <mergeCell ref="F49:F50"/>
    <mergeCell ref="F51:F52"/>
    <mergeCell ref="F53:F54"/>
    <mergeCell ref="F55:F56"/>
    <mergeCell ref="E55:E56"/>
    <mergeCell ref="E45:E46"/>
    <mergeCell ref="E47:E48"/>
    <mergeCell ref="E49:E50"/>
    <mergeCell ref="F45:F46"/>
    <mergeCell ref="F47:F48"/>
    <mergeCell ref="G49:G50"/>
    <mergeCell ref="G51:G52"/>
    <mergeCell ref="G53:G54"/>
    <mergeCell ref="G57:G58"/>
    <mergeCell ref="G33:G34"/>
    <mergeCell ref="G35:G36"/>
    <mergeCell ref="G37:G38"/>
    <mergeCell ref="G39:G40"/>
    <mergeCell ref="G41:G42"/>
    <mergeCell ref="F33:F34"/>
    <mergeCell ref="F35:F36"/>
    <mergeCell ref="F37:F38"/>
    <mergeCell ref="F39:F40"/>
    <mergeCell ref="F41:F42"/>
    <mergeCell ref="F43:F44"/>
    <mergeCell ref="H51:H52"/>
    <mergeCell ref="H53:H54"/>
    <mergeCell ref="G55:G56"/>
    <mergeCell ref="H55:H56"/>
    <mergeCell ref="H33:H34"/>
    <mergeCell ref="H35:H36"/>
    <mergeCell ref="H37:H38"/>
    <mergeCell ref="H39:H40"/>
    <mergeCell ref="H41:H42"/>
    <mergeCell ref="H43:H44"/>
    <mergeCell ref="G47:G48"/>
    <mergeCell ref="G43:G44"/>
    <mergeCell ref="G45:G46"/>
    <mergeCell ref="H45:H46"/>
    <mergeCell ref="H47:H48"/>
    <mergeCell ref="H49:H50"/>
  </mergeCells>
  <printOptions horizontalCentered="1"/>
  <pageMargins left="0.19685039370078741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2"/>
  <sheetViews>
    <sheetView view="pageBreakPreview" zoomScale="80" zoomScaleNormal="90" zoomScaleSheetLayoutView="80" workbookViewId="0">
      <selection activeCell="K16" sqref="K16"/>
    </sheetView>
  </sheetViews>
  <sheetFormatPr defaultRowHeight="15.75"/>
  <cols>
    <col min="1" max="1" width="3.7109375" style="239" customWidth="1"/>
    <col min="2" max="2" width="63.85546875" style="239" customWidth="1"/>
    <col min="3" max="3" width="10" style="239" customWidth="1"/>
    <col min="4" max="4" width="12.140625" style="239" customWidth="1"/>
    <col min="5" max="5" width="10.42578125" style="239" customWidth="1"/>
    <col min="6" max="6" width="9.140625" style="239"/>
    <col min="7" max="7" width="14.28515625" style="239" customWidth="1"/>
    <col min="8" max="8" width="9.140625" style="239"/>
    <col min="9" max="9" width="14.42578125" style="239" bestFit="1" customWidth="1"/>
    <col min="10" max="16384" width="9.140625" style="239"/>
  </cols>
  <sheetData>
    <row r="1" spans="1:5" ht="34.5" customHeight="1">
      <c r="A1" s="867" t="s">
        <v>527</v>
      </c>
      <c r="B1" s="868"/>
      <c r="C1" s="868"/>
      <c r="D1" s="868"/>
      <c r="E1" s="868"/>
    </row>
    <row r="2" spans="1:5" ht="62.25" customHeight="1">
      <c r="A2" s="869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870"/>
      <c r="C2" s="870"/>
      <c r="D2" s="870"/>
      <c r="E2" s="870"/>
    </row>
    <row r="3" spans="1:5" ht="7.5" customHeight="1">
      <c r="B3" s="871"/>
      <c r="C3" s="871"/>
      <c r="D3" s="240"/>
      <c r="E3" s="242"/>
    </row>
    <row r="4" spans="1:5" ht="40.5" customHeight="1">
      <c r="A4" s="6" t="s">
        <v>0</v>
      </c>
      <c r="B4" s="6" t="s">
        <v>6</v>
      </c>
      <c r="C4" s="6" t="s">
        <v>353</v>
      </c>
      <c r="D4" s="455" t="s">
        <v>7</v>
      </c>
      <c r="E4" s="6" t="s">
        <v>189</v>
      </c>
    </row>
    <row r="5" spans="1:5" ht="19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42.75" customHeight="1">
      <c r="A6" s="456">
        <v>1</v>
      </c>
      <c r="B6" s="457" t="str">
        <f>'რკ.ბეტონის კიუვეტი'!C8</f>
        <v>III jg gruntebis damuSaveba arxis Txrilis mosawyobad eqskavatoriT V-1.0 m3 datvirTviT avtoTviTmcvlelebze</v>
      </c>
      <c r="C6" s="458" t="s">
        <v>165</v>
      </c>
      <c r="D6" s="462">
        <f>xarjtar!D21</f>
        <v>348</v>
      </c>
      <c r="E6" s="459">
        <f t="shared" ref="E6:E18" si="0">SUM(D6:D6)</f>
        <v>348</v>
      </c>
    </row>
    <row r="7" spans="1:5" ht="27" customHeight="1">
      <c r="A7" s="456">
        <v>2</v>
      </c>
      <c r="B7" s="457" t="s">
        <v>385</v>
      </c>
      <c r="C7" s="458" t="s">
        <v>165</v>
      </c>
      <c r="D7" s="460">
        <f>xarjtar!D22</f>
        <v>24.700000000000003</v>
      </c>
      <c r="E7" s="461">
        <f t="shared" si="0"/>
        <v>24.700000000000003</v>
      </c>
    </row>
    <row r="8" spans="1:5" ht="51.75" customHeight="1">
      <c r="A8" s="456">
        <v>3</v>
      </c>
      <c r="B8" s="171" t="s">
        <v>354</v>
      </c>
      <c r="C8" s="110" t="s">
        <v>53</v>
      </c>
      <c r="D8" s="460">
        <f>xarjtar!D23</f>
        <v>7</v>
      </c>
      <c r="E8" s="461">
        <f t="shared" si="0"/>
        <v>7</v>
      </c>
    </row>
    <row r="9" spans="1:5" ht="25.5" customHeight="1">
      <c r="A9" s="456">
        <v>4</v>
      </c>
      <c r="B9" s="457" t="s">
        <v>397</v>
      </c>
      <c r="C9" s="458" t="s">
        <v>65</v>
      </c>
      <c r="D9" s="462">
        <f>(D6+D7+D8)*1.6</f>
        <v>607.52</v>
      </c>
      <c r="E9" s="459">
        <f t="shared" si="0"/>
        <v>607.52</v>
      </c>
    </row>
    <row r="10" spans="1:5" ht="36" customHeight="1">
      <c r="A10" s="456">
        <v>5</v>
      </c>
      <c r="B10" s="463" t="s">
        <v>355</v>
      </c>
      <c r="C10" s="458" t="s">
        <v>165</v>
      </c>
      <c r="D10" s="460">
        <f>'რკ.ბეტონის კიუვეტი'!F21</f>
        <v>49.01</v>
      </c>
      <c r="E10" s="459">
        <f t="shared" si="0"/>
        <v>49.01</v>
      </c>
    </row>
    <row r="11" spans="1:5" ht="24.75" customHeight="1">
      <c r="A11" s="872">
        <v>6</v>
      </c>
      <c r="B11" s="463" t="s">
        <v>528</v>
      </c>
      <c r="C11" s="458" t="s">
        <v>171</v>
      </c>
      <c r="D11" s="460">
        <f>xarjtar!D25</f>
        <v>290</v>
      </c>
      <c r="E11" s="459">
        <f t="shared" si="0"/>
        <v>290</v>
      </c>
    </row>
    <row r="12" spans="1:5" ht="21.75" customHeight="1">
      <c r="A12" s="873"/>
      <c r="B12" s="463" t="s">
        <v>389</v>
      </c>
      <c r="C12" s="458" t="s">
        <v>165</v>
      </c>
      <c r="D12" s="460">
        <f>0.648*D11</f>
        <v>187.92000000000002</v>
      </c>
      <c r="E12" s="459">
        <f t="shared" si="0"/>
        <v>187.92000000000002</v>
      </c>
    </row>
    <row r="13" spans="1:5" ht="21.75" customHeight="1">
      <c r="A13" s="873"/>
      <c r="B13" s="463" t="s">
        <v>391</v>
      </c>
      <c r="C13" s="458" t="s">
        <v>54</v>
      </c>
      <c r="D13" s="460">
        <f>1.64*D11/1000</f>
        <v>0.47559999999999997</v>
      </c>
      <c r="E13" s="459">
        <f t="shared" si="0"/>
        <v>0.47559999999999997</v>
      </c>
    </row>
    <row r="14" spans="1:5" ht="21.75" customHeight="1">
      <c r="A14" s="873"/>
      <c r="B14" s="463" t="s">
        <v>390</v>
      </c>
      <c r="C14" s="458" t="s">
        <v>54</v>
      </c>
      <c r="D14" s="460">
        <f>58.83*D11/1000</f>
        <v>17.060700000000001</v>
      </c>
      <c r="E14" s="459">
        <f t="shared" si="0"/>
        <v>17.060700000000001</v>
      </c>
    </row>
    <row r="15" spans="1:5" ht="21.75" customHeight="1">
      <c r="A15" s="874"/>
      <c r="B15" s="463" t="s">
        <v>392</v>
      </c>
      <c r="C15" s="458" t="s">
        <v>54</v>
      </c>
      <c r="D15" s="460">
        <f>33.55*D11/1000</f>
        <v>9.7294999999999998</v>
      </c>
      <c r="E15" s="459">
        <f t="shared" si="0"/>
        <v>9.7294999999999998</v>
      </c>
    </row>
    <row r="16" spans="1:5" ht="21.75" customHeight="1">
      <c r="A16" s="804">
        <v>7</v>
      </c>
      <c r="B16" s="592" t="s">
        <v>686</v>
      </c>
      <c r="C16" s="464" t="s">
        <v>165</v>
      </c>
      <c r="D16" s="462">
        <f>უწყისი!D23</f>
        <v>8.960000000000008</v>
      </c>
      <c r="E16" s="461">
        <f>D16</f>
        <v>8.960000000000008</v>
      </c>
    </row>
    <row r="17" spans="1:5" ht="32.25" customHeight="1">
      <c r="A17" s="653">
        <v>8</v>
      </c>
      <c r="B17" s="592" t="str">
        <f>xarjtar!B28</f>
        <v>axali saniaRvre Wis oTxkuTxa cxauris montaJi CarCoTi 600X600</v>
      </c>
      <c r="C17" s="464" t="str">
        <f>xarjtar!C28</f>
        <v>c</v>
      </c>
      <c r="D17" s="460">
        <f>xarjtar!D28</f>
        <v>11</v>
      </c>
      <c r="E17" s="459">
        <f>D17</f>
        <v>11</v>
      </c>
    </row>
    <row r="18" spans="1:5" ht="24.75" customHeight="1">
      <c r="A18" s="456">
        <v>9</v>
      </c>
      <c r="B18" s="497" t="s">
        <v>247</v>
      </c>
      <c r="C18" s="421" t="s">
        <v>235</v>
      </c>
      <c r="D18" s="255">
        <f>3.6*D11</f>
        <v>1044</v>
      </c>
      <c r="E18" s="459">
        <f t="shared" si="0"/>
        <v>1044</v>
      </c>
    </row>
    <row r="19" spans="1:5" ht="39" customHeight="1">
      <c r="A19" s="456">
        <v>10</v>
      </c>
      <c r="B19" s="463" t="s">
        <v>376</v>
      </c>
      <c r="C19" s="464" t="s">
        <v>165</v>
      </c>
      <c r="D19" s="462">
        <f>D11*0.7</f>
        <v>203</v>
      </c>
      <c r="E19" s="461">
        <f>SUM(D19:D19)</f>
        <v>203</v>
      </c>
    </row>
    <row r="20" spans="1:5" ht="23.25" customHeight="1">
      <c r="A20" s="242"/>
      <c r="B20" s="242"/>
    </row>
    <row r="21" spans="1:5" ht="37.5" customHeight="1">
      <c r="A21" s="866" t="s">
        <v>357</v>
      </c>
      <c r="B21" s="866"/>
      <c r="C21" s="866"/>
      <c r="D21" s="866"/>
      <c r="E21" s="866"/>
    </row>
    <row r="22" spans="1:5" ht="37.5" customHeight="1"/>
  </sheetData>
  <mergeCells count="5">
    <mergeCell ref="A21:E21"/>
    <mergeCell ref="A1:E1"/>
    <mergeCell ref="A2:E2"/>
    <mergeCell ref="B3:C3"/>
    <mergeCell ref="A11:A15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E29"/>
  <sheetViews>
    <sheetView view="pageBreakPreview" zoomScale="60" zoomScaleNormal="80" workbookViewId="0">
      <selection activeCell="K16" sqref="K16"/>
    </sheetView>
  </sheetViews>
  <sheetFormatPr defaultRowHeight="15.75"/>
  <cols>
    <col min="1" max="1" width="2.7109375" style="239" customWidth="1"/>
    <col min="2" max="2" width="64.85546875" style="239" customWidth="1"/>
    <col min="3" max="3" width="8.42578125" style="239" customWidth="1"/>
    <col min="4" max="4" width="13.28515625" style="239" customWidth="1"/>
    <col min="5" max="5" width="10.5703125" style="239" customWidth="1"/>
    <col min="6" max="6" width="9.140625" style="239"/>
    <col min="7" max="7" width="14.28515625" style="239" customWidth="1"/>
    <col min="8" max="16384" width="9.140625" style="239"/>
  </cols>
  <sheetData>
    <row r="1" spans="1:5" ht="34.5" customHeight="1">
      <c r="A1" s="867" t="s">
        <v>408</v>
      </c>
      <c r="B1" s="868"/>
      <c r="C1" s="868"/>
      <c r="D1" s="868"/>
      <c r="E1" s="868"/>
    </row>
    <row r="2" spans="1:5" ht="57.75" customHeight="1">
      <c r="A2" s="869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870"/>
      <c r="C2" s="870"/>
      <c r="D2" s="870"/>
      <c r="E2" s="870"/>
    </row>
    <row r="3" spans="1:5" ht="7.5" customHeight="1">
      <c r="B3" s="871"/>
      <c r="C3" s="871"/>
      <c r="D3" s="240"/>
      <c r="E3" s="242"/>
    </row>
    <row r="4" spans="1:5" ht="40.5" customHeight="1">
      <c r="A4" s="6" t="s">
        <v>0</v>
      </c>
      <c r="B4" s="6" t="s">
        <v>6</v>
      </c>
      <c r="C4" s="6" t="s">
        <v>353</v>
      </c>
      <c r="D4" s="455" t="s">
        <v>7</v>
      </c>
      <c r="E4" s="6" t="s">
        <v>189</v>
      </c>
    </row>
    <row r="5" spans="1:5" ht="19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7.5" customHeight="1">
      <c r="A6" s="456">
        <v>1</v>
      </c>
      <c r="B6" s="457" t="str">
        <f>'რკ.ბეტონის კიუვეტი (2)'!C8</f>
        <v>III jg gruntebis damuSaveba kiuvetebSi eqskavatoriT V-1.0 m3 datvirTviT avtoTviTmcvlelebze</v>
      </c>
      <c r="C6" s="458" t="s">
        <v>165</v>
      </c>
      <c r="D6" s="462">
        <f>xarjtar!D32</f>
        <v>328</v>
      </c>
      <c r="E6" s="459">
        <f t="shared" ref="E6:E17" si="0">SUM(D6:D6)</f>
        <v>328</v>
      </c>
    </row>
    <row r="7" spans="1:5" ht="28.5" customHeight="1">
      <c r="A7" s="456">
        <v>2</v>
      </c>
      <c r="B7" s="457" t="s">
        <v>385</v>
      </c>
      <c r="C7" s="458" t="s">
        <v>165</v>
      </c>
      <c r="D7" s="462">
        <f>xarjtar!D33</f>
        <v>33</v>
      </c>
      <c r="E7" s="461">
        <f t="shared" si="0"/>
        <v>33</v>
      </c>
    </row>
    <row r="8" spans="1:5" ht="53.25" customHeight="1">
      <c r="A8" s="456">
        <v>3</v>
      </c>
      <c r="B8" s="171" t="s">
        <v>354</v>
      </c>
      <c r="C8" s="110" t="s">
        <v>53</v>
      </c>
      <c r="D8" s="462">
        <f>xarjtar!D34</f>
        <v>15</v>
      </c>
      <c r="E8" s="461">
        <f t="shared" si="0"/>
        <v>15</v>
      </c>
    </row>
    <row r="9" spans="1:5" ht="27" customHeight="1">
      <c r="A9" s="456">
        <v>4</v>
      </c>
      <c r="B9" s="457" t="s">
        <v>397</v>
      </c>
      <c r="C9" s="458" t="s">
        <v>65</v>
      </c>
      <c r="D9" s="462">
        <f>(D6+D7+D8)*1.6</f>
        <v>601.6</v>
      </c>
      <c r="E9" s="459">
        <f t="shared" si="0"/>
        <v>601.6</v>
      </c>
    </row>
    <row r="10" spans="1:5" ht="34.5" customHeight="1">
      <c r="A10" s="456">
        <v>5</v>
      </c>
      <c r="B10" s="463" t="s">
        <v>355</v>
      </c>
      <c r="C10" s="458" t="s">
        <v>165</v>
      </c>
      <c r="D10" s="460">
        <f>'რკ.ბეტონის კიუვეტი (2)'!F21</f>
        <v>49.247999999999998</v>
      </c>
      <c r="E10" s="459">
        <f t="shared" si="0"/>
        <v>49.247999999999998</v>
      </c>
    </row>
    <row r="11" spans="1:5" ht="31.5" customHeight="1">
      <c r="A11" s="872">
        <v>6</v>
      </c>
      <c r="B11" s="463" t="s">
        <v>356</v>
      </c>
      <c r="C11" s="458" t="s">
        <v>171</v>
      </c>
      <c r="D11" s="255">
        <f>xarjtar!D36</f>
        <v>648</v>
      </c>
      <c r="E11" s="459">
        <f t="shared" si="0"/>
        <v>648</v>
      </c>
    </row>
    <row r="12" spans="1:5" ht="21.75" customHeight="1">
      <c r="A12" s="873"/>
      <c r="B12" s="463" t="s">
        <v>389</v>
      </c>
      <c r="C12" s="458" t="s">
        <v>165</v>
      </c>
      <c r="D12" s="460">
        <f>0.2*D11</f>
        <v>129.6</v>
      </c>
      <c r="E12" s="459">
        <f t="shared" si="0"/>
        <v>129.6</v>
      </c>
    </row>
    <row r="13" spans="1:5" ht="21.75" customHeight="1">
      <c r="A13" s="874"/>
      <c r="B13" s="463" t="s">
        <v>390</v>
      </c>
      <c r="C13" s="458" t="s">
        <v>54</v>
      </c>
      <c r="D13" s="462">
        <f>55.6/2.4*D11/1000</f>
        <v>15.012</v>
      </c>
      <c r="E13" s="459">
        <f t="shared" si="0"/>
        <v>15.012</v>
      </c>
    </row>
    <row r="14" spans="1:5" ht="28.5" customHeight="1">
      <c r="A14" s="456">
        <v>7</v>
      </c>
      <c r="B14" s="497" t="s">
        <v>247</v>
      </c>
      <c r="C14" s="421" t="s">
        <v>235</v>
      </c>
      <c r="D14" s="462">
        <f>xarjtar!D37</f>
        <v>1183.5999999999999</v>
      </c>
      <c r="E14" s="459">
        <f t="shared" si="0"/>
        <v>1183.5999999999999</v>
      </c>
    </row>
    <row r="15" spans="1:5" ht="28.5" customHeight="1">
      <c r="A15" s="875">
        <v>8</v>
      </c>
      <c r="B15" s="497" t="s">
        <v>576</v>
      </c>
      <c r="C15" s="644"/>
      <c r="D15" s="645"/>
      <c r="E15" s="459"/>
    </row>
    <row r="16" spans="1:5" ht="22.5" customHeight="1">
      <c r="A16" s="876"/>
      <c r="B16" s="646" t="s">
        <v>307</v>
      </c>
      <c r="C16" s="644" t="s">
        <v>577</v>
      </c>
      <c r="D16" s="645">
        <f>0.68*3</f>
        <v>2.04</v>
      </c>
      <c r="E16" s="461">
        <f t="shared" si="0"/>
        <v>2.04</v>
      </c>
    </row>
    <row r="17" spans="1:5" ht="22.5" customHeight="1">
      <c r="A17" s="876"/>
      <c r="B17" s="646" t="s">
        <v>308</v>
      </c>
      <c r="C17" s="644" t="s">
        <v>49</v>
      </c>
      <c r="D17" s="645">
        <f>51.4*3</f>
        <v>154.19999999999999</v>
      </c>
      <c r="E17" s="461">
        <f t="shared" si="0"/>
        <v>154.19999999999999</v>
      </c>
    </row>
    <row r="18" spans="1:5" ht="22.5" customHeight="1">
      <c r="A18" s="877"/>
      <c r="B18" s="646" t="s">
        <v>584</v>
      </c>
      <c r="C18" s="644" t="s">
        <v>232</v>
      </c>
      <c r="D18" s="645">
        <v>3</v>
      </c>
      <c r="E18" s="461">
        <v>3</v>
      </c>
    </row>
    <row r="19" spans="1:5" ht="39" customHeight="1">
      <c r="A19" s="456">
        <v>9</v>
      </c>
      <c r="B19" s="463" t="s">
        <v>376</v>
      </c>
      <c r="C19" s="464" t="s">
        <v>165</v>
      </c>
      <c r="D19" s="462">
        <f>xarjtar!D42</f>
        <v>194.4</v>
      </c>
      <c r="E19" s="461">
        <f>SUM(D19:D19)</f>
        <v>194.4</v>
      </c>
    </row>
    <row r="20" spans="1:5" ht="34.5" customHeight="1">
      <c r="A20" s="839">
        <v>10</v>
      </c>
      <c r="B20" s="173" t="s">
        <v>534</v>
      </c>
      <c r="C20" s="129" t="s">
        <v>54</v>
      </c>
      <c r="D20" s="221">
        <f>(D26+D24+D22)/1000</f>
        <v>1.7302599999999999</v>
      </c>
      <c r="E20" s="461">
        <f t="shared" ref="E20:E26" si="1">SUM(D20:D20)</f>
        <v>1.7302599999999999</v>
      </c>
    </row>
    <row r="21" spans="1:5" ht="20.25" customHeight="1">
      <c r="A21" s="840"/>
      <c r="B21" s="879" t="s">
        <v>530</v>
      </c>
      <c r="C21" s="532" t="s">
        <v>176</v>
      </c>
      <c r="D21" s="593">
        <f>40*2</f>
        <v>80</v>
      </c>
      <c r="E21" s="461">
        <f t="shared" si="1"/>
        <v>80</v>
      </c>
    </row>
    <row r="22" spans="1:5" ht="20.25" customHeight="1">
      <c r="A22" s="840"/>
      <c r="B22" s="880"/>
      <c r="C22" s="532" t="s">
        <v>531</v>
      </c>
      <c r="D22" s="594">
        <f>D21*9.65</f>
        <v>772</v>
      </c>
      <c r="E22" s="461">
        <f t="shared" si="1"/>
        <v>772</v>
      </c>
    </row>
    <row r="23" spans="1:5" ht="20.25" customHeight="1">
      <c r="A23" s="840"/>
      <c r="B23" s="879" t="s">
        <v>532</v>
      </c>
      <c r="C23" s="532" t="s">
        <v>176</v>
      </c>
      <c r="D23" s="594">
        <f>40*1.535</f>
        <v>61.4</v>
      </c>
      <c r="E23" s="461">
        <f t="shared" si="1"/>
        <v>61.4</v>
      </c>
    </row>
    <row r="24" spans="1:5" ht="20.25" customHeight="1">
      <c r="A24" s="840"/>
      <c r="B24" s="880"/>
      <c r="C24" s="532" t="s">
        <v>531</v>
      </c>
      <c r="D24" s="595">
        <f>D23*5.9</f>
        <v>362.26</v>
      </c>
      <c r="E24" s="461">
        <f t="shared" si="1"/>
        <v>362.26</v>
      </c>
    </row>
    <row r="25" spans="1:5" ht="20.25" customHeight="1">
      <c r="A25" s="840"/>
      <c r="B25" s="879" t="s">
        <v>533</v>
      </c>
      <c r="C25" s="532" t="s">
        <v>176</v>
      </c>
      <c r="D25" s="594">
        <f>40*5</f>
        <v>200</v>
      </c>
      <c r="E25" s="461">
        <f t="shared" si="1"/>
        <v>200</v>
      </c>
    </row>
    <row r="26" spans="1:5" ht="20.25" customHeight="1">
      <c r="A26" s="878"/>
      <c r="B26" s="880"/>
      <c r="C26" s="532" t="s">
        <v>531</v>
      </c>
      <c r="D26" s="594">
        <f>D25*2.98</f>
        <v>596</v>
      </c>
      <c r="E26" s="461">
        <f t="shared" si="1"/>
        <v>596</v>
      </c>
    </row>
    <row r="27" spans="1:5" ht="12" customHeight="1">
      <c r="A27" s="596"/>
      <c r="B27" s="597"/>
      <c r="C27" s="596"/>
      <c r="D27" s="598"/>
      <c r="E27" s="599"/>
    </row>
    <row r="28" spans="1:5" ht="30.75" customHeight="1">
      <c r="A28" s="866" t="s">
        <v>357</v>
      </c>
      <c r="B28" s="866"/>
      <c r="C28" s="866"/>
      <c r="D28" s="866"/>
      <c r="E28" s="866"/>
    </row>
    <row r="29" spans="1:5" ht="37.5" customHeight="1"/>
  </sheetData>
  <mergeCells count="10">
    <mergeCell ref="A15:A18"/>
    <mergeCell ref="A28:E28"/>
    <mergeCell ref="A11:A13"/>
    <mergeCell ref="A1:E1"/>
    <mergeCell ref="A2:E2"/>
    <mergeCell ref="B3:C3"/>
    <mergeCell ref="A20:A26"/>
    <mergeCell ref="B21:B22"/>
    <mergeCell ref="B23:B24"/>
    <mergeCell ref="B25:B2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J24"/>
  <sheetViews>
    <sheetView view="pageBreakPreview" zoomScale="85" zoomScaleNormal="80" zoomScaleSheetLayoutView="85" workbookViewId="0">
      <selection activeCell="K16" sqref="K16"/>
    </sheetView>
  </sheetViews>
  <sheetFormatPr defaultRowHeight="15.75"/>
  <cols>
    <col min="1" max="1" width="3.140625" style="239" customWidth="1"/>
    <col min="2" max="2" width="45" style="239" customWidth="1"/>
    <col min="3" max="3" width="7.7109375" style="239" customWidth="1"/>
    <col min="4" max="7" width="8.85546875" style="239" customWidth="1"/>
    <col min="8" max="8" width="9.5703125" style="239" customWidth="1"/>
    <col min="9" max="9" width="9.140625" style="239"/>
    <col min="10" max="10" width="13.28515625" style="239" bestFit="1" customWidth="1"/>
    <col min="11" max="11" width="9.140625" style="239"/>
    <col min="12" max="12" width="14.28515625" style="239" customWidth="1"/>
    <col min="13" max="14" width="9.140625" style="239"/>
    <col min="15" max="15" width="13.140625" style="239" bestFit="1" customWidth="1"/>
    <col min="16" max="16384" width="9.140625" style="239"/>
  </cols>
  <sheetData>
    <row r="1" spans="1:10" ht="33.75" customHeight="1">
      <c r="A1" s="869" t="s">
        <v>675</v>
      </c>
      <c r="B1" s="881"/>
      <c r="C1" s="881"/>
      <c r="D1" s="881"/>
      <c r="E1" s="881"/>
      <c r="F1" s="881"/>
      <c r="G1" s="881"/>
      <c r="H1" s="882"/>
    </row>
    <row r="2" spans="1:10" ht="48.75" customHeight="1">
      <c r="A2" s="881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882"/>
      <c r="C2" s="882"/>
      <c r="D2" s="882"/>
      <c r="E2" s="882"/>
      <c r="F2" s="882"/>
      <c r="G2" s="882"/>
      <c r="H2" s="882"/>
    </row>
    <row r="3" spans="1:10" ht="9.75" customHeight="1">
      <c r="B3" s="871"/>
      <c r="C3" s="871"/>
      <c r="D3" s="240"/>
      <c r="E3" s="240"/>
      <c r="F3" s="240"/>
      <c r="G3" s="240"/>
      <c r="H3" s="241"/>
      <c r="J3" s="242"/>
    </row>
    <row r="4" spans="1:10" ht="34.5" customHeight="1">
      <c r="A4" s="883" t="s">
        <v>0</v>
      </c>
      <c r="B4" s="853" t="s">
        <v>6</v>
      </c>
      <c r="C4" s="886" t="s">
        <v>181</v>
      </c>
      <c r="D4" s="893" t="s">
        <v>208</v>
      </c>
      <c r="E4" s="894"/>
      <c r="F4" s="894"/>
      <c r="G4" s="895"/>
      <c r="H4" s="853" t="s">
        <v>189</v>
      </c>
      <c r="J4" s="242"/>
    </row>
    <row r="5" spans="1:10" ht="20.25" customHeight="1">
      <c r="A5" s="884"/>
      <c r="B5" s="884"/>
      <c r="C5" s="887"/>
      <c r="D5" s="886" t="s">
        <v>540</v>
      </c>
      <c r="E5" s="886" t="s">
        <v>541</v>
      </c>
      <c r="F5" s="886" t="s">
        <v>542</v>
      </c>
      <c r="G5" s="886" t="s">
        <v>400</v>
      </c>
      <c r="H5" s="889"/>
      <c r="J5" s="242"/>
    </row>
    <row r="6" spans="1:10" ht="6.75" customHeight="1">
      <c r="A6" s="885"/>
      <c r="B6" s="885"/>
      <c r="C6" s="888"/>
      <c r="D6" s="892"/>
      <c r="E6" s="892"/>
      <c r="F6" s="888"/>
      <c r="G6" s="888"/>
      <c r="H6" s="854"/>
      <c r="J6" s="242"/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/>
      <c r="F7" s="6"/>
      <c r="G7" s="6"/>
      <c r="H7" s="6">
        <v>6</v>
      </c>
      <c r="J7" s="242"/>
    </row>
    <row r="8" spans="1:10" ht="45.75" customHeight="1">
      <c r="A8" s="634">
        <v>1</v>
      </c>
      <c r="B8" s="316" t="s">
        <v>306</v>
      </c>
      <c r="C8" s="315" t="s">
        <v>299</v>
      </c>
      <c r="D8" s="354">
        <f>2.8*D13</f>
        <v>53.199999999999996</v>
      </c>
      <c r="E8" s="354">
        <f>2.8*E13</f>
        <v>64.399999999999991</v>
      </c>
      <c r="F8" s="354"/>
      <c r="G8" s="354">
        <f>95-92.14</f>
        <v>2.8599999999999994</v>
      </c>
      <c r="H8" s="354">
        <f t="shared" ref="H8:H14" si="0">SUM(D8:G8)</f>
        <v>120.46</v>
      </c>
      <c r="J8" s="806"/>
    </row>
    <row r="9" spans="1:10" ht="27" customHeight="1">
      <c r="A9" s="634">
        <v>2</v>
      </c>
      <c r="B9" s="316" t="s">
        <v>386</v>
      </c>
      <c r="C9" s="315" t="s">
        <v>299</v>
      </c>
      <c r="D9" s="354">
        <v>5</v>
      </c>
      <c r="E9" s="354">
        <v>7</v>
      </c>
      <c r="F9" s="354"/>
      <c r="G9" s="354">
        <v>1</v>
      </c>
      <c r="H9" s="354">
        <f t="shared" si="0"/>
        <v>13</v>
      </c>
      <c r="J9" s="806"/>
    </row>
    <row r="10" spans="1:10" ht="35.25" customHeight="1">
      <c r="A10" s="634">
        <v>3</v>
      </c>
      <c r="B10" s="317" t="s">
        <v>538</v>
      </c>
      <c r="C10" s="315" t="s">
        <v>299</v>
      </c>
      <c r="D10" s="354">
        <v>1</v>
      </c>
      <c r="E10" s="354">
        <v>2</v>
      </c>
      <c r="F10" s="354"/>
      <c r="G10" s="354">
        <v>0.5</v>
      </c>
      <c r="H10" s="354">
        <f t="shared" si="0"/>
        <v>3.5</v>
      </c>
      <c r="J10" s="806"/>
    </row>
    <row r="11" spans="1:10" ht="27" customHeight="1">
      <c r="A11" s="634">
        <v>4</v>
      </c>
      <c r="B11" s="318" t="s">
        <v>398</v>
      </c>
      <c r="C11" s="315" t="s">
        <v>65</v>
      </c>
      <c r="D11" s="354">
        <f>(D8+D9+D10)*1.6</f>
        <v>94.72</v>
      </c>
      <c r="E11" s="354">
        <f>(E8+E9+E10)*1.6</f>
        <v>117.44</v>
      </c>
      <c r="F11" s="354"/>
      <c r="G11" s="354">
        <f>(G8+G9+G10)*1.6</f>
        <v>6.9759999999999991</v>
      </c>
      <c r="H11" s="354">
        <f t="shared" si="0"/>
        <v>219.136</v>
      </c>
      <c r="J11" s="806"/>
    </row>
    <row r="12" spans="1:10" ht="27" customHeight="1">
      <c r="A12" s="634">
        <v>5</v>
      </c>
      <c r="B12" s="318" t="s">
        <v>209</v>
      </c>
      <c r="C12" s="315" t="s">
        <v>299</v>
      </c>
      <c r="D12" s="355">
        <f>1.4*0.15*D13</f>
        <v>3.9899999999999998</v>
      </c>
      <c r="E12" s="355">
        <f>1.4*0.15*E13</f>
        <v>4.83</v>
      </c>
      <c r="F12" s="355"/>
      <c r="G12" s="355">
        <f>1.4*0.15*G13</f>
        <v>0.21</v>
      </c>
      <c r="H12" s="354">
        <f t="shared" si="0"/>
        <v>9.0300000000000011</v>
      </c>
      <c r="J12" s="806"/>
    </row>
    <row r="13" spans="1:10" ht="33.75" customHeight="1">
      <c r="A13" s="536">
        <v>6</v>
      </c>
      <c r="B13" s="542" t="s">
        <v>457</v>
      </c>
      <c r="C13" s="315" t="s">
        <v>176</v>
      </c>
      <c r="D13" s="355">
        <v>19</v>
      </c>
      <c r="E13" s="355">
        <v>23</v>
      </c>
      <c r="F13" s="355"/>
      <c r="G13" s="355">
        <v>1</v>
      </c>
      <c r="H13" s="354">
        <f t="shared" si="0"/>
        <v>43</v>
      </c>
      <c r="J13" s="806"/>
    </row>
    <row r="14" spans="1:10" ht="36" customHeight="1">
      <c r="A14" s="536">
        <v>7</v>
      </c>
      <c r="B14" s="543" t="s">
        <v>454</v>
      </c>
      <c r="C14" s="315" t="s">
        <v>300</v>
      </c>
      <c r="D14" s="355">
        <f>D13*3.14</f>
        <v>59.660000000000004</v>
      </c>
      <c r="E14" s="355">
        <f>E13*3.14</f>
        <v>72.22</v>
      </c>
      <c r="F14" s="355"/>
      <c r="G14" s="355">
        <f>G13*3.14</f>
        <v>3.14</v>
      </c>
      <c r="H14" s="354">
        <f t="shared" si="0"/>
        <v>135.01999999999998</v>
      </c>
      <c r="J14" s="806"/>
    </row>
    <row r="15" spans="1:10" ht="29.25" customHeight="1">
      <c r="A15" s="890">
        <v>8</v>
      </c>
      <c r="B15" s="371" t="s">
        <v>455</v>
      </c>
      <c r="C15" s="387"/>
      <c r="D15" s="373"/>
      <c r="E15" s="355"/>
      <c r="F15" s="355"/>
      <c r="G15" s="355"/>
      <c r="H15" s="354"/>
    </row>
    <row r="16" spans="1:10" ht="20.25" customHeight="1">
      <c r="A16" s="890"/>
      <c r="B16" s="385" t="s">
        <v>307</v>
      </c>
      <c r="C16" s="387" t="s">
        <v>309</v>
      </c>
      <c r="D16" s="373">
        <v>2.9</v>
      </c>
      <c r="E16" s="373">
        <v>2.9</v>
      </c>
      <c r="F16" s="373">
        <v>2.9</v>
      </c>
      <c r="G16" s="373">
        <v>2.9</v>
      </c>
      <c r="H16" s="354">
        <f>SUM(D16:G16)</f>
        <v>11.6</v>
      </c>
    </row>
    <row r="17" spans="1:10" ht="20.25" customHeight="1">
      <c r="A17" s="890"/>
      <c r="B17" s="385" t="s">
        <v>308</v>
      </c>
      <c r="C17" s="387" t="s">
        <v>49</v>
      </c>
      <c r="D17" s="373">
        <v>206</v>
      </c>
      <c r="E17" s="373">
        <v>206</v>
      </c>
      <c r="F17" s="373">
        <v>206</v>
      </c>
      <c r="G17" s="373">
        <v>206</v>
      </c>
      <c r="H17" s="354">
        <f>SUM(D17:G17)</f>
        <v>824</v>
      </c>
    </row>
    <row r="18" spans="1:10" ht="20.25" customHeight="1">
      <c r="A18" s="890">
        <v>9</v>
      </c>
      <c r="B18" s="371" t="s">
        <v>456</v>
      </c>
      <c r="C18" s="387"/>
      <c r="D18" s="373"/>
      <c r="E18" s="373"/>
      <c r="F18" s="373"/>
      <c r="G18" s="373"/>
      <c r="H18" s="354"/>
    </row>
    <row r="19" spans="1:10" ht="20.25" customHeight="1">
      <c r="A19" s="890"/>
      <c r="B19" s="385" t="s">
        <v>307</v>
      </c>
      <c r="C19" s="387" t="s">
        <v>309</v>
      </c>
      <c r="D19" s="373">
        <v>4.41</v>
      </c>
      <c r="E19" s="373">
        <v>4.41</v>
      </c>
      <c r="F19" s="373"/>
      <c r="G19" s="373">
        <f>5.44-4.03</f>
        <v>1.4100000000000001</v>
      </c>
      <c r="H19" s="354">
        <f>SUM(D19:G19)</f>
        <v>10.23</v>
      </c>
      <c r="J19" s="807"/>
    </row>
    <row r="20" spans="1:10" ht="20.25" customHeight="1">
      <c r="A20" s="890"/>
      <c r="B20" s="385" t="s">
        <v>308</v>
      </c>
      <c r="C20" s="387" t="s">
        <v>49</v>
      </c>
      <c r="D20" s="373">
        <v>143.56</v>
      </c>
      <c r="E20" s="373">
        <v>143.56</v>
      </c>
      <c r="F20" s="373"/>
      <c r="G20" s="373">
        <f>380.8-190</f>
        <v>190.8</v>
      </c>
      <c r="H20" s="354">
        <f>SUM(D20:G20)</f>
        <v>477.92</v>
      </c>
      <c r="J20" s="807"/>
    </row>
    <row r="21" spans="1:10" ht="20.25" customHeight="1">
      <c r="A21" s="356">
        <v>10</v>
      </c>
      <c r="B21" s="353" t="s">
        <v>302</v>
      </c>
      <c r="C21" s="315" t="s">
        <v>299</v>
      </c>
      <c r="D21" s="355">
        <v>7</v>
      </c>
      <c r="E21" s="355">
        <v>7</v>
      </c>
      <c r="F21" s="355">
        <v>7</v>
      </c>
      <c r="G21" s="355">
        <v>18</v>
      </c>
      <c r="H21" s="354">
        <f>SUM(D21:G21)</f>
        <v>39</v>
      </c>
    </row>
    <row r="22" spans="1:10" ht="35.25" customHeight="1">
      <c r="A22" s="634">
        <v>11</v>
      </c>
      <c r="B22" s="319" t="s">
        <v>376</v>
      </c>
      <c r="C22" s="314" t="s">
        <v>299</v>
      </c>
      <c r="D22" s="357">
        <v>28</v>
      </c>
      <c r="E22" s="357">
        <f>1.2*E13</f>
        <v>27.599999999999998</v>
      </c>
      <c r="F22" s="357"/>
      <c r="G22" s="357">
        <v>1</v>
      </c>
      <c r="H22" s="354">
        <f>SUM(D22:G22)</f>
        <v>56.599999999999994</v>
      </c>
      <c r="J22" s="807"/>
    </row>
    <row r="23" spans="1:10" ht="44.25" customHeight="1">
      <c r="A23" s="242"/>
      <c r="B23" s="242"/>
      <c r="H23" s="244"/>
    </row>
    <row r="24" spans="1:10" ht="18.75" customHeight="1">
      <c r="A24" s="891" t="s">
        <v>301</v>
      </c>
      <c r="B24" s="891"/>
      <c r="C24" s="891"/>
      <c r="D24" s="891"/>
      <c r="E24" s="891"/>
      <c r="F24" s="891"/>
      <c r="G24" s="891"/>
      <c r="H24" s="891"/>
      <c r="I24" s="320"/>
    </row>
  </sheetData>
  <mergeCells count="15">
    <mergeCell ref="A18:A20"/>
    <mergeCell ref="A15:A17"/>
    <mergeCell ref="A24:H24"/>
    <mergeCell ref="D5:D6"/>
    <mergeCell ref="D4:G4"/>
    <mergeCell ref="E5:E6"/>
    <mergeCell ref="F5:F6"/>
    <mergeCell ref="G5:G6"/>
    <mergeCell ref="A1:H1"/>
    <mergeCell ref="A2:H2"/>
    <mergeCell ref="B3:C3"/>
    <mergeCell ref="A4:A6"/>
    <mergeCell ref="B4:B6"/>
    <mergeCell ref="C4:C6"/>
    <mergeCell ref="H4:H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="60" zoomScaleNormal="80" workbookViewId="0">
      <selection activeCell="K16" sqref="K16"/>
    </sheetView>
  </sheetViews>
  <sheetFormatPr defaultRowHeight="15"/>
  <cols>
    <col min="1" max="1" width="3.140625" style="358" customWidth="1"/>
    <col min="2" max="2" width="48.42578125" style="358" customWidth="1"/>
    <col min="3" max="3" width="8.140625" style="358" customWidth="1"/>
    <col min="4" max="4" width="17.85546875" style="358" customWidth="1"/>
    <col min="5" max="5" width="18.42578125" style="358" customWidth="1"/>
    <col min="6" max="16384" width="9.140625" style="358"/>
  </cols>
  <sheetData>
    <row r="1" spans="1:5" ht="45.75" customHeight="1">
      <c r="A1" s="898" t="s">
        <v>409</v>
      </c>
      <c r="B1" s="899"/>
      <c r="C1" s="899"/>
      <c r="D1" s="899"/>
      <c r="E1" s="899"/>
    </row>
    <row r="2" spans="1:5" ht="66.75" customHeight="1">
      <c r="A2" s="881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882"/>
      <c r="C2" s="882"/>
      <c r="D2" s="882"/>
      <c r="E2" s="882"/>
    </row>
    <row r="3" spans="1:5">
      <c r="E3" s="359"/>
    </row>
    <row r="4" spans="1:5" ht="27.75" customHeight="1">
      <c r="A4" s="900" t="s">
        <v>0</v>
      </c>
      <c r="B4" s="896" t="s">
        <v>286</v>
      </c>
      <c r="C4" s="886" t="s">
        <v>181</v>
      </c>
      <c r="D4" s="446" t="s">
        <v>7</v>
      </c>
      <c r="E4" s="896" t="s">
        <v>139</v>
      </c>
    </row>
    <row r="5" spans="1:5" ht="17.25" customHeight="1">
      <c r="A5" s="901"/>
      <c r="B5" s="903"/>
      <c r="C5" s="887"/>
      <c r="D5" s="439" t="s">
        <v>452</v>
      </c>
      <c r="E5" s="903"/>
    </row>
    <row r="6" spans="1:5" ht="23.25" customHeight="1">
      <c r="A6" s="902"/>
      <c r="B6" s="897"/>
      <c r="C6" s="888"/>
      <c r="D6" s="440" t="s">
        <v>401</v>
      </c>
      <c r="E6" s="897"/>
    </row>
    <row r="7" spans="1:5" ht="18" customHeight="1">
      <c r="A7" s="373">
        <v>1</v>
      </c>
      <c r="B7" s="386">
        <v>2</v>
      </c>
      <c r="C7" s="373">
        <v>3</v>
      </c>
      <c r="D7" s="386">
        <v>4</v>
      </c>
      <c r="E7" s="373">
        <v>5</v>
      </c>
    </row>
    <row r="8" spans="1:5" s="360" customFormat="1" ht="50.25" customHeight="1">
      <c r="A8" s="639">
        <v>1</v>
      </c>
      <c r="B8" s="370" t="s">
        <v>306</v>
      </c>
      <c r="C8" s="263" t="s">
        <v>299</v>
      </c>
      <c r="D8" s="263">
        <v>80</v>
      </c>
      <c r="E8" s="896" t="s">
        <v>399</v>
      </c>
    </row>
    <row r="9" spans="1:5" s="360" customFormat="1" ht="27" customHeight="1">
      <c r="A9" s="639">
        <v>2</v>
      </c>
      <c r="B9" s="370" t="s">
        <v>386</v>
      </c>
      <c r="C9" s="263" t="s">
        <v>299</v>
      </c>
      <c r="D9" s="263">
        <v>15</v>
      </c>
      <c r="E9" s="897"/>
    </row>
    <row r="10" spans="1:5" s="361" customFormat="1" ht="27" customHeight="1">
      <c r="A10" s="640">
        <v>3</v>
      </c>
      <c r="B10" s="371" t="s">
        <v>258</v>
      </c>
      <c r="C10" s="372" t="s">
        <v>299</v>
      </c>
      <c r="D10" s="441">
        <v>53</v>
      </c>
      <c r="E10" s="365" t="s">
        <v>332</v>
      </c>
    </row>
    <row r="11" spans="1:5" s="360" customFormat="1" ht="17.25" customHeight="1">
      <c r="A11" s="904">
        <v>4</v>
      </c>
      <c r="B11" s="907" t="s">
        <v>303</v>
      </c>
      <c r="C11" s="909" t="s">
        <v>299</v>
      </c>
      <c r="D11" s="900">
        <v>20.399999999999999</v>
      </c>
      <c r="E11" s="362" t="s">
        <v>333</v>
      </c>
    </row>
    <row r="12" spans="1:5" s="359" customFormat="1" ht="18" customHeight="1">
      <c r="A12" s="906"/>
      <c r="B12" s="908"/>
      <c r="C12" s="910"/>
      <c r="D12" s="902"/>
      <c r="E12" s="442" t="s">
        <v>298</v>
      </c>
    </row>
    <row r="13" spans="1:5" s="361" customFormat="1" ht="20.25" customHeight="1">
      <c r="A13" s="904">
        <v>5</v>
      </c>
      <c r="B13" s="374" t="s">
        <v>288</v>
      </c>
      <c r="C13" s="376"/>
      <c r="D13" s="571"/>
      <c r="E13" s="363"/>
    </row>
    <row r="14" spans="1:5" s="361" customFormat="1" ht="18" customHeight="1">
      <c r="A14" s="905"/>
      <c r="B14" s="377" t="s">
        <v>307</v>
      </c>
      <c r="C14" s="378" t="s">
        <v>309</v>
      </c>
      <c r="D14" s="379">
        <f>2.8*34</f>
        <v>95.199999999999989</v>
      </c>
      <c r="E14" s="443" t="s">
        <v>331</v>
      </c>
    </row>
    <row r="15" spans="1:5" s="361" customFormat="1" ht="18" customHeight="1">
      <c r="A15" s="906"/>
      <c r="B15" s="380" t="s">
        <v>308</v>
      </c>
      <c r="C15" s="381" t="s">
        <v>49</v>
      </c>
      <c r="D15" s="375">
        <f>363.3*34</f>
        <v>12352.2</v>
      </c>
      <c r="E15" s="366" t="s">
        <v>289</v>
      </c>
    </row>
    <row r="16" spans="1:5" s="361" customFormat="1" ht="18" customHeight="1">
      <c r="A16" s="904">
        <v>6</v>
      </c>
      <c r="B16" s="374" t="s">
        <v>290</v>
      </c>
      <c r="C16" s="376"/>
      <c r="D16" s="444"/>
      <c r="E16" s="362"/>
    </row>
    <row r="17" spans="1:5" s="361" customFormat="1" ht="18" customHeight="1">
      <c r="A17" s="905"/>
      <c r="B17" s="377" t="s">
        <v>307</v>
      </c>
      <c r="C17" s="378" t="s">
        <v>309</v>
      </c>
      <c r="D17" s="379">
        <v>0.47</v>
      </c>
      <c r="E17" s="443" t="s">
        <v>331</v>
      </c>
    </row>
    <row r="18" spans="1:5" s="361" customFormat="1" ht="18" customHeight="1">
      <c r="A18" s="906"/>
      <c r="B18" s="380" t="s">
        <v>308</v>
      </c>
      <c r="C18" s="381" t="s">
        <v>49</v>
      </c>
      <c r="D18" s="375">
        <v>28.8</v>
      </c>
      <c r="E18" s="366" t="s">
        <v>289</v>
      </c>
    </row>
    <row r="19" spans="1:5" s="361" customFormat="1" ht="19.5" customHeight="1">
      <c r="A19" s="904">
        <v>7</v>
      </c>
      <c r="B19" s="382" t="s">
        <v>291</v>
      </c>
      <c r="C19" s="376"/>
      <c r="D19" s="364"/>
      <c r="E19" s="362"/>
    </row>
    <row r="20" spans="1:5" s="361" customFormat="1" ht="18" customHeight="1">
      <c r="A20" s="905"/>
      <c r="B20" s="383" t="s">
        <v>307</v>
      </c>
      <c r="C20" s="378" t="s">
        <v>309</v>
      </c>
      <c r="D20" s="379">
        <v>9</v>
      </c>
      <c r="E20" s="443" t="s">
        <v>331</v>
      </c>
    </row>
    <row r="21" spans="1:5" s="361" customFormat="1" ht="18" customHeight="1">
      <c r="A21" s="906"/>
      <c r="B21" s="384" t="s">
        <v>308</v>
      </c>
      <c r="C21" s="381" t="s">
        <v>49</v>
      </c>
      <c r="D21" s="375">
        <f>1743.4/2</f>
        <v>871.7</v>
      </c>
      <c r="E21" s="366" t="s">
        <v>289</v>
      </c>
    </row>
    <row r="22" spans="1:5" s="361" customFormat="1" ht="26.25" customHeight="1">
      <c r="A22" s="640">
        <v>8</v>
      </c>
      <c r="B22" s="371" t="s">
        <v>292</v>
      </c>
      <c r="C22" s="372" t="s">
        <v>299</v>
      </c>
      <c r="D22" s="441">
        <v>1.1000000000000001</v>
      </c>
      <c r="E22" s="445" t="s">
        <v>298</v>
      </c>
    </row>
    <row r="23" spans="1:5" s="359" customFormat="1" ht="24" customHeight="1">
      <c r="A23" s="641">
        <v>9</v>
      </c>
      <c r="B23" s="385" t="s">
        <v>293</v>
      </c>
      <c r="C23" s="381" t="s">
        <v>294</v>
      </c>
      <c r="D23" s="373">
        <v>5.52</v>
      </c>
      <c r="E23" s="447" t="s">
        <v>311</v>
      </c>
    </row>
    <row r="24" spans="1:5" s="361" customFormat="1" ht="26.25" customHeight="1">
      <c r="A24" s="639">
        <v>10</v>
      </c>
      <c r="B24" s="385" t="s">
        <v>295</v>
      </c>
      <c r="C24" s="376" t="s">
        <v>310</v>
      </c>
      <c r="D24" s="375">
        <f>354</f>
        <v>354</v>
      </c>
      <c r="E24" s="365" t="s">
        <v>334</v>
      </c>
    </row>
    <row r="25" spans="1:5" s="361" customFormat="1" ht="26.25" customHeight="1">
      <c r="A25" s="639">
        <v>11</v>
      </c>
      <c r="B25" s="385" t="s">
        <v>296</v>
      </c>
      <c r="C25" s="376" t="s">
        <v>309</v>
      </c>
      <c r="D25" s="375">
        <v>16</v>
      </c>
      <c r="E25" s="366"/>
    </row>
    <row r="26" spans="1:5" s="361" customFormat="1" ht="25.5" customHeight="1">
      <c r="A26" s="640">
        <v>12</v>
      </c>
      <c r="B26" s="385" t="s">
        <v>297</v>
      </c>
      <c r="C26" s="387" t="s">
        <v>309</v>
      </c>
      <c r="D26" s="375">
        <v>70</v>
      </c>
      <c r="E26" s="367"/>
    </row>
    <row r="27" spans="1:5">
      <c r="D27" s="368"/>
      <c r="E27" s="368"/>
    </row>
    <row r="29" spans="1:5" ht="16.5">
      <c r="A29" s="891" t="s">
        <v>301</v>
      </c>
      <c r="B29" s="891"/>
      <c r="C29" s="891"/>
      <c r="D29" s="891"/>
      <c r="E29" s="891"/>
    </row>
    <row r="30" spans="1:5" s="361" customFormat="1" ht="12.75">
      <c r="A30" s="369"/>
      <c r="B30" s="369"/>
    </row>
  </sheetData>
  <mergeCells count="15">
    <mergeCell ref="A19:A21"/>
    <mergeCell ref="A13:A15"/>
    <mergeCell ref="A29:E29"/>
    <mergeCell ref="A16:A18"/>
    <mergeCell ref="A11:A12"/>
    <mergeCell ref="B11:B12"/>
    <mergeCell ref="C11:C12"/>
    <mergeCell ref="D11:D12"/>
    <mergeCell ref="E8:E9"/>
    <mergeCell ref="A1:E1"/>
    <mergeCell ref="A2:E2"/>
    <mergeCell ref="A4:A6"/>
    <mergeCell ref="B4:B6"/>
    <mergeCell ref="C4:C6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0"/>
  <sheetViews>
    <sheetView view="pageBreakPreview" zoomScaleNormal="130" zoomScaleSheetLayoutView="100" workbookViewId="0">
      <selection activeCell="K16" sqref="K16"/>
    </sheetView>
  </sheetViews>
  <sheetFormatPr defaultRowHeight="12.75"/>
  <cols>
    <col min="1" max="1" width="3.42578125" style="326" customWidth="1"/>
    <col min="2" max="2" width="17.85546875" style="321" customWidth="1"/>
    <col min="3" max="3" width="13.140625" style="321" customWidth="1"/>
    <col min="4" max="4" width="8.85546875" style="321" customWidth="1"/>
    <col min="5" max="5" width="9" style="321" customWidth="1"/>
    <col min="6" max="6" width="9.7109375" style="321" customWidth="1"/>
    <col min="7" max="7" width="9.5703125" style="321" customWidth="1"/>
    <col min="8" max="8" width="19.7109375" style="321" customWidth="1"/>
    <col min="9" max="9" width="9.28515625" style="321" customWidth="1"/>
    <col min="10" max="16384" width="9.140625" style="321"/>
  </cols>
  <sheetData>
    <row r="1" spans="1:9" ht="17.25" customHeight="1">
      <c r="A1" s="911" t="s">
        <v>587</v>
      </c>
      <c r="B1" s="911"/>
      <c r="C1" s="911"/>
      <c r="D1" s="911"/>
      <c r="E1" s="911"/>
      <c r="F1" s="911"/>
      <c r="G1" s="911"/>
      <c r="H1" s="911"/>
      <c r="I1" s="911"/>
    </row>
    <row r="2" spans="1:9" ht="48" customHeight="1">
      <c r="A2" s="912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12"/>
      <c r="C2" s="912"/>
      <c r="D2" s="912"/>
      <c r="E2" s="912"/>
      <c r="F2" s="912"/>
      <c r="G2" s="912"/>
      <c r="H2" s="912"/>
      <c r="I2" s="912"/>
    </row>
    <row r="3" spans="1:9" ht="66.75" customHeight="1">
      <c r="A3" s="245" t="s">
        <v>0</v>
      </c>
      <c r="B3" s="245" t="s">
        <v>194</v>
      </c>
      <c r="C3" s="322" t="s">
        <v>217</v>
      </c>
      <c r="D3" s="322" t="s">
        <v>226</v>
      </c>
      <c r="E3" s="322" t="s">
        <v>227</v>
      </c>
      <c r="F3" s="323" t="s">
        <v>228</v>
      </c>
      <c r="G3" s="322" t="s">
        <v>369</v>
      </c>
      <c r="H3" s="322" t="s">
        <v>536</v>
      </c>
      <c r="I3" s="322" t="s">
        <v>139</v>
      </c>
    </row>
    <row r="4" spans="1:9" ht="15.75" customHeight="1">
      <c r="A4" s="245"/>
      <c r="B4" s="245" t="s">
        <v>218</v>
      </c>
      <c r="C4" s="265" t="s">
        <v>171</v>
      </c>
      <c r="D4" s="265" t="s">
        <v>223</v>
      </c>
      <c r="E4" s="265" t="s">
        <v>223</v>
      </c>
      <c r="F4" s="265" t="s">
        <v>49</v>
      </c>
      <c r="G4" s="265" t="s">
        <v>196</v>
      </c>
      <c r="H4" s="265" t="s">
        <v>196</v>
      </c>
      <c r="I4" s="265"/>
    </row>
    <row r="5" spans="1:9" ht="13.5">
      <c r="A5" s="273">
        <v>1</v>
      </c>
      <c r="B5" s="265">
        <v>2</v>
      </c>
      <c r="C5" s="265">
        <v>3</v>
      </c>
      <c r="D5" s="265">
        <v>4</v>
      </c>
      <c r="E5" s="265">
        <v>5</v>
      </c>
      <c r="F5" s="265">
        <v>6</v>
      </c>
      <c r="G5" s="265">
        <v>7</v>
      </c>
      <c r="H5" s="265">
        <v>8</v>
      </c>
      <c r="I5" s="265">
        <v>9</v>
      </c>
    </row>
    <row r="6" spans="1:9" ht="18" customHeight="1">
      <c r="A6" s="642">
        <v>1</v>
      </c>
      <c r="B6" s="265" t="s">
        <v>543</v>
      </c>
      <c r="C6" s="265" t="s">
        <v>544</v>
      </c>
      <c r="D6" s="274">
        <v>42</v>
      </c>
      <c r="E6" s="274">
        <v>42</v>
      </c>
      <c r="F6" s="325">
        <f>D6*17.5*0.05+E6*12.8*0.05</f>
        <v>63.63</v>
      </c>
      <c r="G6" s="325">
        <f t="shared" ref="G6:G15" si="0">E6*1.5+D6*2</f>
        <v>147</v>
      </c>
      <c r="H6" s="324">
        <f>42*1.5</f>
        <v>63</v>
      </c>
      <c r="I6" s="325" t="s">
        <v>366</v>
      </c>
    </row>
    <row r="7" spans="1:9" ht="18" customHeight="1">
      <c r="A7" s="642">
        <v>2</v>
      </c>
      <c r="B7" s="265" t="s">
        <v>545</v>
      </c>
      <c r="C7" s="265" t="s">
        <v>546</v>
      </c>
      <c r="D7" s="274">
        <v>150</v>
      </c>
      <c r="E7" s="274"/>
      <c r="F7" s="325">
        <f t="shared" ref="F7:F15" si="1">D7*17.5*0.05+E7*12.8*0.05</f>
        <v>131.25</v>
      </c>
      <c r="G7" s="325">
        <f t="shared" si="0"/>
        <v>300</v>
      </c>
      <c r="H7" s="324">
        <f>60*2.5</f>
        <v>150</v>
      </c>
      <c r="I7" s="325" t="s">
        <v>366</v>
      </c>
    </row>
    <row r="8" spans="1:9" ht="18" customHeight="1">
      <c r="A8" s="642">
        <v>3</v>
      </c>
      <c r="B8" s="265" t="s">
        <v>547</v>
      </c>
      <c r="C8" s="265" t="s">
        <v>548</v>
      </c>
      <c r="D8" s="274">
        <v>80</v>
      </c>
      <c r="E8" s="274">
        <v>80</v>
      </c>
      <c r="F8" s="325">
        <f t="shared" si="1"/>
        <v>121.2</v>
      </c>
      <c r="G8" s="325">
        <f t="shared" si="0"/>
        <v>280</v>
      </c>
      <c r="H8" s="324">
        <f>40*9</f>
        <v>360</v>
      </c>
      <c r="I8" s="325" t="s">
        <v>366</v>
      </c>
    </row>
    <row r="9" spans="1:9" ht="18" customHeight="1">
      <c r="A9" s="642">
        <v>4</v>
      </c>
      <c r="B9" s="265" t="s">
        <v>549</v>
      </c>
      <c r="C9" s="265" t="s">
        <v>451</v>
      </c>
      <c r="D9" s="274">
        <f>21+42+21+42+21</f>
        <v>147</v>
      </c>
      <c r="E9" s="274">
        <v>84</v>
      </c>
      <c r="F9" s="325">
        <f t="shared" si="1"/>
        <v>182.38499999999999</v>
      </c>
      <c r="G9" s="325">
        <f t="shared" si="0"/>
        <v>420</v>
      </c>
      <c r="H9" s="324">
        <f>42*12</f>
        <v>504</v>
      </c>
      <c r="I9" s="325" t="s">
        <v>366</v>
      </c>
    </row>
    <row r="10" spans="1:9" ht="18" customHeight="1">
      <c r="A10" s="642">
        <v>5</v>
      </c>
      <c r="B10" s="265" t="s">
        <v>550</v>
      </c>
      <c r="C10" s="265" t="s">
        <v>551</v>
      </c>
      <c r="D10" s="274">
        <f>56+28+56+28</f>
        <v>168</v>
      </c>
      <c r="E10" s="274">
        <f>56+56+56+56+56</f>
        <v>280</v>
      </c>
      <c r="F10" s="325">
        <f t="shared" si="1"/>
        <v>326.20000000000005</v>
      </c>
      <c r="G10" s="325">
        <f t="shared" si="0"/>
        <v>756</v>
      </c>
      <c r="H10" s="324">
        <f>56*15</f>
        <v>840</v>
      </c>
      <c r="I10" s="325" t="s">
        <v>366</v>
      </c>
    </row>
    <row r="11" spans="1:9" ht="18" customHeight="1">
      <c r="A11" s="642">
        <v>12</v>
      </c>
      <c r="B11" s="265" t="s">
        <v>552</v>
      </c>
      <c r="C11" s="265" t="s">
        <v>553</v>
      </c>
      <c r="D11" s="274">
        <f>106+53+106+53</f>
        <v>318</v>
      </c>
      <c r="E11" s="274">
        <f>106+106+106+106+106</f>
        <v>530</v>
      </c>
      <c r="F11" s="325">
        <f t="shared" si="1"/>
        <v>617.45000000000005</v>
      </c>
      <c r="G11" s="325">
        <f t="shared" si="0"/>
        <v>1431</v>
      </c>
      <c r="H11" s="324">
        <f>106*9</f>
        <v>954</v>
      </c>
      <c r="I11" s="325" t="s">
        <v>367</v>
      </c>
    </row>
    <row r="12" spans="1:9" ht="18" customHeight="1">
      <c r="A12" s="642">
        <v>13</v>
      </c>
      <c r="B12" s="265" t="s">
        <v>554</v>
      </c>
      <c r="C12" s="265" t="s">
        <v>555</v>
      </c>
      <c r="D12" s="274">
        <f>4+4+4+2+4+2</f>
        <v>20</v>
      </c>
      <c r="E12" s="274">
        <f>4+4+4+4+4</f>
        <v>20</v>
      </c>
      <c r="F12" s="325">
        <f t="shared" si="1"/>
        <v>30.3</v>
      </c>
      <c r="G12" s="325">
        <f t="shared" si="0"/>
        <v>70</v>
      </c>
      <c r="H12" s="324">
        <f>9.2*4</f>
        <v>36.799999999999997</v>
      </c>
      <c r="I12" s="325" t="s">
        <v>367</v>
      </c>
    </row>
    <row r="13" spans="1:9" ht="18" customHeight="1">
      <c r="A13" s="642">
        <v>14</v>
      </c>
      <c r="B13" s="265" t="s">
        <v>556</v>
      </c>
      <c r="C13" s="265" t="s">
        <v>557</v>
      </c>
      <c r="D13" s="274">
        <f>82+82+82+82+82+41+82+41</f>
        <v>574</v>
      </c>
      <c r="E13" s="274">
        <f>82+82+82+82+82</f>
        <v>410</v>
      </c>
      <c r="F13" s="325">
        <f t="shared" si="1"/>
        <v>764.65000000000009</v>
      </c>
      <c r="G13" s="325">
        <f t="shared" si="0"/>
        <v>1763</v>
      </c>
      <c r="H13" s="324">
        <f>82*12</f>
        <v>984</v>
      </c>
      <c r="I13" s="325" t="s">
        <v>367</v>
      </c>
    </row>
    <row r="14" spans="1:9" ht="18" customHeight="1">
      <c r="A14" s="642">
        <v>15</v>
      </c>
      <c r="B14" s="265" t="s">
        <v>559</v>
      </c>
      <c r="C14" s="265" t="s">
        <v>558</v>
      </c>
      <c r="D14" s="274">
        <v>10</v>
      </c>
      <c r="E14" s="274">
        <v>10</v>
      </c>
      <c r="F14" s="325">
        <f>D14*17.5*0.05+E14*12.8*0.05</f>
        <v>15.15</v>
      </c>
      <c r="G14" s="325">
        <f>E14*1.5+D14*2</f>
        <v>35</v>
      </c>
      <c r="H14" s="324">
        <f>9.2*2</f>
        <v>18.399999999999999</v>
      </c>
      <c r="I14" s="325" t="s">
        <v>367</v>
      </c>
    </row>
    <row r="15" spans="1:9" ht="18" customHeight="1">
      <c r="A15" s="642">
        <v>16</v>
      </c>
      <c r="B15" s="265" t="s">
        <v>563</v>
      </c>
      <c r="C15" s="265" t="s">
        <v>560</v>
      </c>
      <c r="D15" s="274">
        <f>2+1+2+1</f>
        <v>6</v>
      </c>
      <c r="E15" s="274">
        <f>2+2+2+2+2</f>
        <v>10</v>
      </c>
      <c r="F15" s="325">
        <f t="shared" si="1"/>
        <v>11.65</v>
      </c>
      <c r="G15" s="325">
        <f t="shared" si="0"/>
        <v>27</v>
      </c>
      <c r="H15" s="324">
        <v>18</v>
      </c>
      <c r="I15" s="325" t="s">
        <v>367</v>
      </c>
    </row>
    <row r="16" spans="1:9" ht="18" customHeight="1">
      <c r="A16" s="642">
        <v>17</v>
      </c>
      <c r="B16" s="265" t="s">
        <v>562</v>
      </c>
      <c r="C16" s="265" t="s">
        <v>561</v>
      </c>
      <c r="D16" s="274">
        <f>8+4+4+8+4</f>
        <v>28</v>
      </c>
      <c r="E16" s="274">
        <f>8+8</f>
        <v>16</v>
      </c>
      <c r="F16" s="325">
        <f>D16*17.5*0.05+E16*12.8*0.05</f>
        <v>34.74</v>
      </c>
      <c r="G16" s="325">
        <f>E16*1.5+D16*2</f>
        <v>80</v>
      </c>
      <c r="H16" s="324">
        <v>40</v>
      </c>
      <c r="I16" s="325" t="s">
        <v>367</v>
      </c>
    </row>
    <row r="17" spans="1:16" ht="18" customHeight="1">
      <c r="A17" s="642">
        <v>18</v>
      </c>
      <c r="B17" s="265" t="s">
        <v>687</v>
      </c>
      <c r="C17" s="265" t="s">
        <v>688</v>
      </c>
      <c r="D17" s="274">
        <f>100+50+50+100+50-105</f>
        <v>245</v>
      </c>
      <c r="E17" s="274">
        <f>100+100-60</f>
        <v>140</v>
      </c>
      <c r="F17" s="325">
        <f>D17*17.5*0.05+E17*12.8*0.05</f>
        <v>303.97500000000002</v>
      </c>
      <c r="G17" s="325">
        <f>E17*1.5+D17*2</f>
        <v>700</v>
      </c>
      <c r="H17" s="324">
        <f>500-70</f>
        <v>430</v>
      </c>
      <c r="I17" s="325" t="s">
        <v>367</v>
      </c>
    </row>
    <row r="18" spans="1:16" ht="21" customHeight="1">
      <c r="A18" s="245"/>
      <c r="B18" s="265" t="s">
        <v>50</v>
      </c>
      <c r="C18" s="265"/>
      <c r="D18" s="324">
        <f>SUM(D6:D17)</f>
        <v>1788</v>
      </c>
      <c r="E18" s="324">
        <f>SUM(E6:E17)</f>
        <v>1622</v>
      </c>
      <c r="F18" s="324">
        <f>SUM(F6:F17)</f>
        <v>2602.58</v>
      </c>
      <c r="G18" s="324">
        <f>SUM(G6:G17)</f>
        <v>6009</v>
      </c>
      <c r="H18" s="324">
        <f>SUM(H6:H17)</f>
        <v>4398.2000000000007</v>
      </c>
      <c r="I18" s="324"/>
      <c r="K18" s="808"/>
      <c r="L18" s="808"/>
      <c r="M18" s="808"/>
      <c r="N18" s="808"/>
      <c r="O18" s="808"/>
      <c r="P18" s="808"/>
    </row>
    <row r="19" spans="1:16" ht="6" customHeight="1"/>
    <row r="20" spans="1:16" ht="15.75">
      <c r="A20" s="913" t="s">
        <v>539</v>
      </c>
      <c r="B20" s="913"/>
      <c r="C20" s="913"/>
      <c r="D20" s="913"/>
      <c r="E20" s="913"/>
      <c r="F20" s="913"/>
      <c r="G20" s="913"/>
      <c r="H20" s="913"/>
      <c r="I20" s="913"/>
    </row>
  </sheetData>
  <mergeCells count="3">
    <mergeCell ref="A1:I1"/>
    <mergeCell ref="A2:I2"/>
    <mergeCell ref="A20:I20"/>
  </mergeCells>
  <printOptions horizontalCentered="1"/>
  <pageMargins left="0.19685039370078741" right="0.19685039370078741" top="0.39370078740157483" bottom="0.19685039370078741" header="0.31496062992125984" footer="0.2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view="pageBreakPreview" zoomScaleNormal="100" zoomScaleSheetLayoutView="100" workbookViewId="0">
      <selection activeCell="K16" sqref="K16"/>
    </sheetView>
  </sheetViews>
  <sheetFormatPr defaultRowHeight="16.5"/>
  <cols>
    <col min="1" max="1" width="3.42578125" style="228" customWidth="1"/>
    <col min="2" max="3" width="8.5703125" style="228" customWidth="1"/>
    <col min="4" max="4" width="6.7109375" style="228" customWidth="1"/>
    <col min="5" max="5" width="7.7109375" style="228" customWidth="1"/>
    <col min="6" max="9" width="9.28515625" style="228" customWidth="1"/>
    <col min="10" max="10" width="8.7109375" style="228" customWidth="1"/>
    <col min="11" max="11" width="9.85546875" style="228" customWidth="1"/>
    <col min="12" max="12" width="9.42578125" style="228" customWidth="1"/>
    <col min="13" max="13" width="9.140625" style="228" customWidth="1"/>
    <col min="14" max="14" width="9.7109375" style="228" customWidth="1"/>
    <col min="15" max="16" width="9.140625" style="228" customWidth="1"/>
    <col min="17" max="17" width="7.7109375" style="228" customWidth="1"/>
    <col min="18" max="16384" width="9.140625" style="228"/>
  </cols>
  <sheetData>
    <row r="1" spans="1:17" ht="18" customHeight="1">
      <c r="A1" s="914" t="s">
        <v>588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</row>
    <row r="2" spans="1:17" ht="51" customHeight="1">
      <c r="A2" s="918" t="str">
        <f>krepsiTi!A13</f>
        <v>saerTaSoriso mniSvnelobis senaki-foTi (asaqcevi)-sarfis (TurqeTis respublikis sazRvari) s/gzis Caqvi-maxinjauris monakveTze, saavtomobilo gvirabis mimdebared, mosabrunebeli saavtomobilo gzis mowyoba</v>
      </c>
      <c r="B2" s="919"/>
      <c r="C2" s="919"/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</row>
    <row r="3" spans="1:17" ht="9" customHeight="1"/>
    <row r="4" spans="1:17" ht="22.5" customHeight="1">
      <c r="A4" s="923" t="s">
        <v>0</v>
      </c>
      <c r="B4" s="930" t="s">
        <v>194</v>
      </c>
      <c r="C4" s="926"/>
      <c r="D4" s="928" t="s">
        <v>191</v>
      </c>
      <c r="E4" s="928" t="s">
        <v>202</v>
      </c>
      <c r="F4" s="933" t="s">
        <v>203</v>
      </c>
      <c r="G4" s="933"/>
      <c r="H4" s="933"/>
      <c r="I4" s="934"/>
      <c r="J4" s="916" t="s">
        <v>204</v>
      </c>
      <c r="K4" s="916" t="s">
        <v>252</v>
      </c>
      <c r="L4" s="917"/>
      <c r="M4" s="916" t="s">
        <v>242</v>
      </c>
      <c r="N4" s="916" t="s">
        <v>253</v>
      </c>
      <c r="O4" s="917"/>
      <c r="P4" s="916" t="s">
        <v>205</v>
      </c>
      <c r="Q4" s="917"/>
    </row>
    <row r="5" spans="1:17" ht="30.75" customHeight="1">
      <c r="A5" s="927"/>
      <c r="B5" s="921" t="s">
        <v>192</v>
      </c>
      <c r="C5" s="923" t="s">
        <v>193</v>
      </c>
      <c r="D5" s="927"/>
      <c r="E5" s="931"/>
      <c r="F5" s="925" t="s">
        <v>254</v>
      </c>
      <c r="G5" s="926"/>
      <c r="H5" s="925" t="s">
        <v>255</v>
      </c>
      <c r="I5" s="926"/>
      <c r="J5" s="917"/>
      <c r="K5" s="917"/>
      <c r="L5" s="917"/>
      <c r="M5" s="917"/>
      <c r="N5" s="917"/>
      <c r="O5" s="917"/>
      <c r="P5" s="917"/>
      <c r="Q5" s="917"/>
    </row>
    <row r="6" spans="1:17" ht="28.5" customHeight="1">
      <c r="A6" s="924"/>
      <c r="B6" s="922"/>
      <c r="C6" s="924"/>
      <c r="D6" s="924"/>
      <c r="E6" s="932"/>
      <c r="F6" s="233" t="s">
        <v>206</v>
      </c>
      <c r="G6" s="249" t="s">
        <v>210</v>
      </c>
      <c r="H6" s="233" t="s">
        <v>206</v>
      </c>
      <c r="I6" s="249" t="s">
        <v>211</v>
      </c>
      <c r="J6" s="917"/>
      <c r="K6" s="306" t="s">
        <v>206</v>
      </c>
      <c r="L6" s="305" t="s">
        <v>211</v>
      </c>
      <c r="M6" s="917"/>
      <c r="N6" s="248" t="s">
        <v>206</v>
      </c>
      <c r="O6" s="249" t="s">
        <v>211</v>
      </c>
      <c r="P6" s="249" t="s">
        <v>211</v>
      </c>
      <c r="Q6" s="249" t="s">
        <v>210</v>
      </c>
    </row>
    <row r="7" spans="1:17" ht="24.75" customHeight="1">
      <c r="A7" s="805">
        <v>1</v>
      </c>
      <c r="B7" s="245" t="s">
        <v>256</v>
      </c>
      <c r="C7" s="245" t="s">
        <v>449</v>
      </c>
      <c r="D7" s="245">
        <v>860</v>
      </c>
      <c r="E7" s="805" t="s">
        <v>282</v>
      </c>
      <c r="F7" s="234">
        <f>N7+1.8</f>
        <v>6.8</v>
      </c>
      <c r="G7" s="234">
        <f>F7*D7*0.25</f>
        <v>1462</v>
      </c>
      <c r="H7" s="234">
        <f>N7+0.95</f>
        <v>5.95</v>
      </c>
      <c r="I7" s="234">
        <f>H7*D7</f>
        <v>5117</v>
      </c>
      <c r="J7" s="235">
        <f>O7*0.6/1000</f>
        <v>2.58</v>
      </c>
      <c r="K7" s="234">
        <v>5</v>
      </c>
      <c r="L7" s="234">
        <f>K7*D7</f>
        <v>4300</v>
      </c>
      <c r="M7" s="235">
        <f>O7*0.3/1000</f>
        <v>1.29</v>
      </c>
      <c r="N7" s="234">
        <v>5</v>
      </c>
      <c r="O7" s="234">
        <f>N7*D7</f>
        <v>4300</v>
      </c>
      <c r="P7" s="805">
        <f>D7*2</f>
        <v>1720</v>
      </c>
      <c r="Q7" s="234">
        <f>P7*0.12-0.4</f>
        <v>206</v>
      </c>
    </row>
    <row r="8" spans="1:17" ht="22.5" customHeight="1">
      <c r="A8" s="917" t="s">
        <v>207</v>
      </c>
      <c r="B8" s="917"/>
      <c r="C8" s="917"/>
      <c r="D8" s="236">
        <f>SUM(D7:D7)</f>
        <v>860</v>
      </c>
      <c r="E8" s="233"/>
      <c r="F8" s="233"/>
      <c r="G8" s="236">
        <f>SUM(G7:G7)</f>
        <v>1462</v>
      </c>
      <c r="H8" s="233"/>
      <c r="I8" s="236">
        <f>SUM(I7:I7)</f>
        <v>5117</v>
      </c>
      <c r="J8" s="234">
        <f>SUM(J7:J7)</f>
        <v>2.58</v>
      </c>
      <c r="K8" s="234"/>
      <c r="L8" s="236">
        <f>SUM(L7:L7)</f>
        <v>4300</v>
      </c>
      <c r="M8" s="234">
        <f>SUM(M7:M7)</f>
        <v>1.29</v>
      </c>
      <c r="N8" s="234"/>
      <c r="O8" s="236">
        <f>SUM(O7:O7)</f>
        <v>4300</v>
      </c>
      <c r="P8" s="236"/>
      <c r="Q8" s="236">
        <f>SUM(Q7:Q7)</f>
        <v>206</v>
      </c>
    </row>
    <row r="9" spans="1:17" ht="3.75" customHeight="1"/>
    <row r="10" spans="1:17" ht="31.5" customHeight="1">
      <c r="A10" s="929"/>
      <c r="B10" s="929"/>
      <c r="C10" s="929"/>
      <c r="D10" s="929"/>
      <c r="E10" s="929"/>
      <c r="F10" s="929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</row>
    <row r="11" spans="1:17">
      <c r="A11" s="920" t="s">
        <v>570</v>
      </c>
      <c r="B11" s="920"/>
      <c r="C11" s="920"/>
      <c r="D11" s="920"/>
      <c r="E11" s="920"/>
      <c r="F11" s="920"/>
      <c r="G11" s="920"/>
      <c r="H11" s="920"/>
      <c r="I11" s="920"/>
      <c r="J11" s="920"/>
      <c r="K11" s="920"/>
      <c r="L11" s="920"/>
      <c r="M11" s="920"/>
      <c r="N11" s="920"/>
      <c r="O11" s="920"/>
      <c r="P11" s="920"/>
      <c r="Q11" s="920"/>
    </row>
    <row r="13" spans="1:17">
      <c r="I13" s="237"/>
    </row>
    <row r="14" spans="1:17">
      <c r="J14" s="238"/>
      <c r="K14" s="238"/>
      <c r="L14" s="238"/>
      <c r="M14" s="238"/>
      <c r="N14" s="238"/>
      <c r="O14" s="238"/>
    </row>
  </sheetData>
  <mergeCells count="19">
    <mergeCell ref="N4:O5"/>
    <mergeCell ref="K4:L5"/>
    <mergeCell ref="F4:I4"/>
    <mergeCell ref="A1:Q1"/>
    <mergeCell ref="J4:J6"/>
    <mergeCell ref="A8:C8"/>
    <mergeCell ref="A2:Q2"/>
    <mergeCell ref="A11:Q11"/>
    <mergeCell ref="B5:B6"/>
    <mergeCell ref="C5:C6"/>
    <mergeCell ref="F5:G5"/>
    <mergeCell ref="H5:I5"/>
    <mergeCell ref="A4:A6"/>
    <mergeCell ref="P4:Q5"/>
    <mergeCell ref="M4:M6"/>
    <mergeCell ref="D4:D6"/>
    <mergeCell ref="A10:Q10"/>
    <mergeCell ref="B4:C4"/>
    <mergeCell ref="E4:E6"/>
  </mergeCells>
  <printOptions horizontalCentered="1"/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xarjtar</vt:lpstr>
      <vt:lpstr>უწყისი</vt:lpstr>
      <vt:lpstr>Лист1</vt:lpstr>
      <vt:lpstr>rk.kiu (2)</vt:lpstr>
      <vt:lpstr>rk.kiu (3)</vt:lpstr>
      <vt:lpstr>mili</vt:lpstr>
      <vt:lpstr>2x2</vt:lpstr>
      <vt:lpstr>gabio</vt:lpstr>
      <vt:lpstr>savali</vt:lpstr>
      <vt:lpstr>Sesasv</vt:lpstr>
      <vt:lpstr>ლითონის თვალამრ</vt:lpstr>
      <vt:lpstr>krepsiTi</vt:lpstr>
      <vt:lpstr>დემონტაჯი</vt:lpstr>
      <vt:lpstr>მიწის ვაკისი</vt:lpstr>
      <vt:lpstr>რკ.ბეტონის კიუვეტი</vt:lpstr>
      <vt:lpstr>რკ.ბეტონის კიუვეტი (2)</vt:lpstr>
      <vt:lpstr>მილი 1.0</vt:lpstr>
      <vt:lpstr>მილი (2X2)</vt:lpstr>
      <vt:lpstr>გაბიონი</vt:lpstr>
      <vt:lpstr>ა.ბეტონი</vt:lpstr>
      <vt:lpstr>ა.ბეტონი მიერთ</vt:lpstr>
      <vt:lpstr>MONISHVNA</vt:lpstr>
      <vt:lpstr>თვალამრიდი</vt:lpstr>
      <vt:lpstr>განათება</vt:lpstr>
      <vt:lpstr>კალკულაცია</vt:lpstr>
      <vt:lpstr>გადაზიდ. კალკულაცია</vt:lpstr>
      <vt:lpstr>gabio!Print_Area</vt:lpstr>
      <vt:lpstr>krepsiTi!Print_Area</vt:lpstr>
      <vt:lpstr>mili!Print_Area</vt:lpstr>
      <vt:lpstr>MONISHVNA!Print_Area</vt:lpstr>
      <vt:lpstr>xarjtar!Print_Area</vt:lpstr>
      <vt:lpstr>ა.ბეტონი!Print_Area</vt:lpstr>
      <vt:lpstr>'ა.ბეტონი მიერთ'!Print_Area</vt:lpstr>
      <vt:lpstr>გაბიონი!Print_Area</vt:lpstr>
      <vt:lpstr>'გადაზიდ. კალკულაცია'!Print_Area</vt:lpstr>
      <vt:lpstr>განათება!Print_Area</vt:lpstr>
      <vt:lpstr>დემონტაჯი!Print_Area</vt:lpstr>
      <vt:lpstr>თვალამრიდი!Print_Area</vt:lpstr>
      <vt:lpstr>კალკულაცია!Print_Area</vt:lpstr>
      <vt:lpstr>'მილი (2X2)'!Print_Area</vt:lpstr>
      <vt:lpstr>'მილი 1.0'!Print_Area</vt:lpstr>
      <vt:lpstr>'მიწის ვაკისი'!Print_Area</vt:lpstr>
      <vt:lpstr>'რკ.ბეტონის კიუვეტი'!Print_Area</vt:lpstr>
      <vt:lpstr>'რკ.ბეტონის კიუვეტი (2)'!Print_Area</vt:lpstr>
      <vt:lpstr>krepsiTi!Print_Titles</vt:lpstr>
      <vt:lpstr>MONISHVNA!Print_Titles</vt:lpstr>
      <vt:lpstr>ა.ბეტონი!Print_Titles</vt:lpstr>
      <vt:lpstr>'ა.ბეტონი მიერთ'!Print_Titles</vt:lpstr>
      <vt:lpstr>განათება!Print_Titles</vt:lpstr>
      <vt:lpstr>დემონტაჯი!Print_Titles</vt:lpstr>
      <vt:lpstr>'მიწის ვაკისი'!Print_Titles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 Malania</cp:lastModifiedBy>
  <cp:lastPrinted>2018-10-10T13:45:13Z</cp:lastPrinted>
  <dcterms:created xsi:type="dcterms:W3CDTF">2008-10-11T15:37:04Z</dcterms:created>
  <dcterms:modified xsi:type="dcterms:W3CDTF">2018-10-11T12:11:48Z</dcterms:modified>
</cp:coreProperties>
</file>