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skhadaia\Desktop\08.21.2018 ოდიშის N1 სასაფლაომდე გზის რეაბილიტაცია\სატენდერო\"/>
    </mc:Choice>
  </mc:AlternateContent>
  <bookViews>
    <workbookView xWindow="0" yWindow="0" windowWidth="28800" windowHeight="12135"/>
  </bookViews>
  <sheets>
    <sheet name="krebs" sheetId="8" r:id="rId1"/>
    <sheet name="1-3 (2)" sheetId="25" r:id="rId2"/>
    <sheet name="2-1 (2)" sheetId="24" r:id="rId3"/>
    <sheet name="3-1" sheetId="12" r:id="rId4"/>
    <sheet name="4-1 (2)" sheetId="23" r:id="rId5"/>
    <sheet name="5-1 (2)" sheetId="22" r:id="rId6"/>
    <sheet name="5-2 (2)" sheetId="21" r:id="rId7"/>
    <sheet name="5-3 (2)" sheetId="20" r:id="rId8"/>
    <sheet name="5-4 (2)" sheetId="19" r:id="rId9"/>
  </sheets>
  <definedNames>
    <definedName name="_xlnm.Print_Area" localSheetId="3">'3-1'!$A$1:$M$121</definedName>
    <definedName name="_xlnm.Print_Area" localSheetId="6">'5-2 (2)'!$A$1:$M$98</definedName>
    <definedName name="_xlnm.Print_Area" localSheetId="0">krebs!$A$2:$H$30</definedName>
  </definedNames>
  <calcPr calcId="152511" iterateDelta="1E-4"/>
</workbook>
</file>

<file path=xl/calcChain.xml><?xml version="1.0" encoding="utf-8"?>
<calcChain xmlns="http://schemas.openxmlformats.org/spreadsheetml/2006/main">
  <c r="F24" i="25" l="1"/>
  <c r="F22" i="25"/>
  <c r="F23" i="25" s="1"/>
  <c r="E21" i="25"/>
  <c r="F21" i="25" s="1"/>
  <c r="E20" i="25"/>
  <c r="F20" i="25" s="1"/>
  <c r="E17" i="25"/>
  <c r="F17" i="25" s="1"/>
  <c r="E16" i="25"/>
  <c r="F16" i="25" s="1"/>
  <c r="E15" i="25"/>
  <c r="F15" i="25" s="1"/>
  <c r="E12" i="25"/>
  <c r="F12" i="25" s="1"/>
  <c r="E11" i="25"/>
  <c r="F11" i="25" s="1"/>
  <c r="E10" i="25"/>
  <c r="F10" i="25" s="1"/>
  <c r="E9" i="25"/>
  <c r="F9" i="25" s="1"/>
  <c r="E92" i="24"/>
  <c r="F92" i="24" s="1"/>
  <c r="E91" i="24"/>
  <c r="F91" i="24" s="1"/>
  <c r="E89" i="24"/>
  <c r="F89" i="24" s="1"/>
  <c r="E88" i="24"/>
  <c r="F88" i="24" s="1"/>
  <c r="E87" i="24"/>
  <c r="F87" i="24" s="1"/>
  <c r="E86" i="24"/>
  <c r="F86" i="24" s="1"/>
  <c r="F84" i="24"/>
  <c r="F83" i="24"/>
  <c r="F82" i="24"/>
  <c r="F81" i="24"/>
  <c r="F78" i="24"/>
  <c r="F77" i="24"/>
  <c r="F76" i="24"/>
  <c r="E75" i="24"/>
  <c r="F75" i="24" s="1"/>
  <c r="F74" i="24"/>
  <c r="F73" i="24"/>
  <c r="F72" i="24"/>
  <c r="F70" i="24"/>
  <c r="F69" i="24"/>
  <c r="E66" i="24"/>
  <c r="F65" i="24"/>
  <c r="F64" i="24"/>
  <c r="E62" i="24"/>
  <c r="F62" i="24" s="1"/>
  <c r="E61" i="24"/>
  <c r="F61" i="24" s="1"/>
  <c r="E60" i="24"/>
  <c r="F60" i="24" s="1"/>
  <c r="E59" i="24"/>
  <c r="F59" i="24" s="1"/>
  <c r="E56" i="24"/>
  <c r="F56" i="24" s="1"/>
  <c r="E55" i="24"/>
  <c r="F55" i="24" s="1"/>
  <c r="E54" i="24"/>
  <c r="F54" i="24" s="1"/>
  <c r="E53" i="24"/>
  <c r="F53" i="24" s="1"/>
  <c r="F50" i="24"/>
  <c r="E49" i="24"/>
  <c r="F49" i="24" s="1"/>
  <c r="E46" i="24"/>
  <c r="F45" i="24"/>
  <c r="F44" i="24"/>
  <c r="E42" i="24"/>
  <c r="F42" i="24" s="1"/>
  <c r="E41" i="24"/>
  <c r="F41" i="24" s="1"/>
  <c r="E40" i="24"/>
  <c r="F40" i="24" s="1"/>
  <c r="E39" i="24"/>
  <c r="F39" i="24" s="1"/>
  <c r="F37" i="24"/>
  <c r="E36" i="24"/>
  <c r="F36" i="24" s="1"/>
  <c r="E35" i="24"/>
  <c r="F35" i="24" s="1"/>
  <c r="E34" i="24"/>
  <c r="F34" i="24" s="1"/>
  <c r="E33" i="24"/>
  <c r="F33" i="24" s="1"/>
  <c r="E31" i="24"/>
  <c r="F31" i="24" s="1"/>
  <c r="E30" i="24"/>
  <c r="F30" i="24" s="1"/>
  <c r="E29" i="24"/>
  <c r="F29" i="24" s="1"/>
  <c r="E28" i="24"/>
  <c r="F28" i="24" s="1"/>
  <c r="E25" i="24"/>
  <c r="F25" i="24" s="1"/>
  <c r="E24" i="24"/>
  <c r="F24" i="24" s="1"/>
  <c r="E23" i="24"/>
  <c r="F23" i="24" s="1"/>
  <c r="E22" i="24"/>
  <c r="F22" i="24" s="1"/>
  <c r="E20" i="24"/>
  <c r="F20" i="24" s="1"/>
  <c r="E19" i="24"/>
  <c r="F19" i="24" s="1"/>
  <c r="E18" i="24"/>
  <c r="F18" i="24" s="1"/>
  <c r="E17" i="24"/>
  <c r="F17" i="24" s="1"/>
  <c r="E14" i="24"/>
  <c r="F14" i="24" s="1"/>
  <c r="E13" i="24"/>
  <c r="F13" i="24" s="1"/>
  <c r="E12" i="24"/>
  <c r="F12" i="24" s="1"/>
  <c r="E11" i="24"/>
  <c r="F11" i="24" s="1"/>
  <c r="E9" i="24"/>
  <c r="F9" i="24" s="1"/>
  <c r="F70" i="23"/>
  <c r="F68" i="23"/>
  <c r="F67" i="23"/>
  <c r="F66" i="23"/>
  <c r="F64" i="23"/>
  <c r="F69" i="23"/>
  <c r="E62" i="23"/>
  <c r="F62" i="23" s="1"/>
  <c r="E61" i="23"/>
  <c r="F61" i="23" s="1"/>
  <c r="E60" i="23"/>
  <c r="F60" i="23" s="1"/>
  <c r="E59" i="23"/>
  <c r="F59" i="23" s="1"/>
  <c r="E58" i="23"/>
  <c r="F58" i="23" s="1"/>
  <c r="E57" i="23"/>
  <c r="F57" i="23" s="1"/>
  <c r="E56" i="23"/>
  <c r="F56" i="23" s="1"/>
  <c r="E55" i="23"/>
  <c r="F55" i="23" s="1"/>
  <c r="E54" i="23"/>
  <c r="F54" i="23" s="1"/>
  <c r="E53" i="23"/>
  <c r="F53" i="23" s="1"/>
  <c r="E52" i="23"/>
  <c r="F52" i="23" s="1"/>
  <c r="E50" i="23"/>
  <c r="F50" i="23" s="1"/>
  <c r="E49" i="23"/>
  <c r="F49" i="23" s="1"/>
  <c r="E48" i="23"/>
  <c r="F48" i="23" s="1"/>
  <c r="E47" i="23"/>
  <c r="F47" i="23" s="1"/>
  <c r="E46" i="23"/>
  <c r="F46" i="23" s="1"/>
  <c r="E45" i="23"/>
  <c r="F45" i="23" s="1"/>
  <c r="E44" i="23"/>
  <c r="F44" i="23" s="1"/>
  <c r="E43" i="23"/>
  <c r="F43" i="23" s="1"/>
  <c r="E42" i="23"/>
  <c r="F42" i="23" s="1"/>
  <c r="E41" i="23"/>
  <c r="F41" i="23" s="1"/>
  <c r="E40" i="23"/>
  <c r="F40" i="23" s="1"/>
  <c r="E36" i="23"/>
  <c r="F36" i="23" s="1"/>
  <c r="E34" i="23"/>
  <c r="F34" i="23" s="1"/>
  <c r="F33" i="23"/>
  <c r="E32" i="23"/>
  <c r="F32" i="23" s="1"/>
  <c r="E31" i="23"/>
  <c r="F31" i="23" s="1"/>
  <c r="E30" i="23"/>
  <c r="F30" i="23" s="1"/>
  <c r="E29" i="23"/>
  <c r="F29" i="23" s="1"/>
  <c r="E28" i="23"/>
  <c r="F28" i="23" s="1"/>
  <c r="E27" i="23"/>
  <c r="F27" i="23" s="1"/>
  <c r="E26" i="23"/>
  <c r="F26" i="23" s="1"/>
  <c r="E24" i="23"/>
  <c r="F24" i="23" s="1"/>
  <c r="E23" i="23"/>
  <c r="F23" i="23" s="1"/>
  <c r="E22" i="23"/>
  <c r="F22" i="23" s="1"/>
  <c r="E21" i="23"/>
  <c r="F21" i="23" s="1"/>
  <c r="E20" i="23"/>
  <c r="F20" i="23" s="1"/>
  <c r="E19" i="23"/>
  <c r="F19" i="23" s="1"/>
  <c r="E18" i="23"/>
  <c r="F18" i="23" s="1"/>
  <c r="E17" i="23"/>
  <c r="F17" i="23" s="1"/>
  <c r="F15" i="23"/>
  <c r="F14" i="23"/>
  <c r="F13" i="23"/>
  <c r="F12" i="23"/>
  <c r="F11" i="23"/>
  <c r="F10" i="23"/>
  <c r="F94" i="22"/>
  <c r="E90" i="22"/>
  <c r="F90" i="22" s="1"/>
  <c r="E89" i="22"/>
  <c r="F89" i="22" s="1"/>
  <c r="F88" i="22"/>
  <c r="E88" i="22"/>
  <c r="E87" i="22"/>
  <c r="F87" i="22" s="1"/>
  <c r="E86" i="22"/>
  <c r="F86" i="22" s="1"/>
  <c r="E85" i="22"/>
  <c r="F85" i="22" s="1"/>
  <c r="E84" i="22"/>
  <c r="F84" i="22" s="1"/>
  <c r="E83" i="22"/>
  <c r="F83" i="22" s="1"/>
  <c r="E79" i="22"/>
  <c r="F79" i="22" s="1"/>
  <c r="E77" i="22"/>
  <c r="F77" i="22" s="1"/>
  <c r="F76" i="22"/>
  <c r="E75" i="22"/>
  <c r="F75" i="22" s="1"/>
  <c r="E74" i="22"/>
  <c r="F74" i="22" s="1"/>
  <c r="E73" i="22"/>
  <c r="F73" i="22" s="1"/>
  <c r="E72" i="22"/>
  <c r="F72" i="22" s="1"/>
  <c r="E71" i="22"/>
  <c r="F71" i="22" s="1"/>
  <c r="E70" i="22"/>
  <c r="F70" i="22" s="1"/>
  <c r="E69" i="22"/>
  <c r="F69" i="22" s="1"/>
  <c r="E66" i="22"/>
  <c r="F66" i="22" s="1"/>
  <c r="E65" i="22"/>
  <c r="F65" i="22" s="1"/>
  <c r="E64" i="22"/>
  <c r="F64" i="22" s="1"/>
  <c r="E63" i="22"/>
  <c r="F63" i="22" s="1"/>
  <c r="E62" i="22"/>
  <c r="F62" i="22" s="1"/>
  <c r="E61" i="22"/>
  <c r="F61" i="22" s="1"/>
  <c r="E60" i="22"/>
  <c r="F60" i="22" s="1"/>
  <c r="E59" i="22"/>
  <c r="F59" i="22" s="1"/>
  <c r="F57" i="22"/>
  <c r="F56" i="22"/>
  <c r="F55" i="22"/>
  <c r="F54" i="22"/>
  <c r="F53" i="22"/>
  <c r="F52" i="22"/>
  <c r="E49" i="22"/>
  <c r="F49" i="22" s="1"/>
  <c r="E48" i="22"/>
  <c r="F48" i="22" s="1"/>
  <c r="E46" i="22"/>
  <c r="F46" i="22" s="1"/>
  <c r="E45" i="22"/>
  <c r="F45" i="22" s="1"/>
  <c r="E44" i="22"/>
  <c r="F44" i="22" s="1"/>
  <c r="E43" i="22"/>
  <c r="F43" i="22" s="1"/>
  <c r="F41" i="22"/>
  <c r="E40" i="22"/>
  <c r="F40" i="22" s="1"/>
  <c r="E39" i="22"/>
  <c r="F39" i="22" s="1"/>
  <c r="E38" i="22"/>
  <c r="F38" i="22" s="1"/>
  <c r="F37" i="22"/>
  <c r="F36" i="22"/>
  <c r="F34" i="22"/>
  <c r="F32" i="22"/>
  <c r="E31" i="22"/>
  <c r="F31" i="22" s="1"/>
  <c r="E30" i="22"/>
  <c r="F30" i="22" s="1"/>
  <c r="E29" i="22"/>
  <c r="F29" i="22" s="1"/>
  <c r="F27" i="22"/>
  <c r="F26" i="22"/>
  <c r="E22" i="22"/>
  <c r="F21" i="22"/>
  <c r="F23" i="22" s="1"/>
  <c r="F20" i="22"/>
  <c r="E18" i="22"/>
  <c r="F18" i="22" s="1"/>
  <c r="E17" i="22"/>
  <c r="F17" i="22" s="1"/>
  <c r="E16" i="22"/>
  <c r="F16" i="22" s="1"/>
  <c r="E15" i="22"/>
  <c r="F15" i="22" s="1"/>
  <c r="E12" i="22"/>
  <c r="F12" i="22" s="1"/>
  <c r="E11" i="22"/>
  <c r="F11" i="22" s="1"/>
  <c r="E10" i="22"/>
  <c r="F10" i="22" s="1"/>
  <c r="E9" i="22"/>
  <c r="F9" i="22" s="1"/>
  <c r="E92" i="21"/>
  <c r="F92" i="21" s="1"/>
  <c r="E90" i="21"/>
  <c r="F90" i="21" s="1"/>
  <c r="F89" i="21"/>
  <c r="E88" i="21"/>
  <c r="F88" i="21" s="1"/>
  <c r="F87" i="21"/>
  <c r="E87" i="21"/>
  <c r="E86" i="21"/>
  <c r="F86" i="21" s="1"/>
  <c r="E85" i="21"/>
  <c r="F85" i="21" s="1"/>
  <c r="E84" i="21"/>
  <c r="F84" i="21" s="1"/>
  <c r="E83" i="21"/>
  <c r="F83" i="21" s="1"/>
  <c r="E82" i="21"/>
  <c r="F82" i="21" s="1"/>
  <c r="E79" i="21"/>
  <c r="F79" i="21" s="1"/>
  <c r="E78" i="21"/>
  <c r="F78" i="21" s="1"/>
  <c r="E77" i="21"/>
  <c r="F77" i="21" s="1"/>
  <c r="E76" i="21"/>
  <c r="F76" i="21" s="1"/>
  <c r="E75" i="21"/>
  <c r="F75" i="21" s="1"/>
  <c r="E74" i="21"/>
  <c r="F74" i="21" s="1"/>
  <c r="E73" i="21"/>
  <c r="F73" i="21" s="1"/>
  <c r="E72" i="21"/>
  <c r="F72" i="21" s="1"/>
  <c r="F70" i="21"/>
  <c r="F69" i="21"/>
  <c r="F68" i="21"/>
  <c r="F67" i="21"/>
  <c r="F66" i="21"/>
  <c r="F65" i="21"/>
  <c r="F62" i="21"/>
  <c r="F61" i="21"/>
  <c r="F59" i="21"/>
  <c r="E58" i="21"/>
  <c r="F58" i="21" s="1"/>
  <c r="E57" i="21"/>
  <c r="F57" i="21" s="1"/>
  <c r="E56" i="21"/>
  <c r="F56" i="21" s="1"/>
  <c r="F55" i="21"/>
  <c r="F54" i="21"/>
  <c r="F52" i="21"/>
  <c r="F51" i="21"/>
  <c r="F50" i="21"/>
  <c r="E49" i="21"/>
  <c r="F49" i="21" s="1"/>
  <c r="E48" i="21"/>
  <c r="F48" i="21" s="1"/>
  <c r="E47" i="21"/>
  <c r="F47" i="21" s="1"/>
  <c r="F45" i="21"/>
  <c r="F44" i="21"/>
  <c r="F43" i="21"/>
  <c r="F42" i="21"/>
  <c r="E38" i="21"/>
  <c r="F36" i="21"/>
  <c r="F34" i="21"/>
  <c r="E33" i="21"/>
  <c r="F33" i="21" s="1"/>
  <c r="E32" i="21"/>
  <c r="F32" i="21" s="1"/>
  <c r="E31" i="21"/>
  <c r="F31" i="21" s="1"/>
  <c r="E30" i="21"/>
  <c r="F30" i="21" s="1"/>
  <c r="E27" i="21"/>
  <c r="F27" i="21" s="1"/>
  <c r="F26" i="21"/>
  <c r="E26" i="21"/>
  <c r="E25" i="21"/>
  <c r="F25" i="21" s="1"/>
  <c r="F23" i="21"/>
  <c r="F22" i="21"/>
  <c r="F21" i="21"/>
  <c r="E18" i="21"/>
  <c r="F18" i="21" s="1"/>
  <c r="E17" i="21"/>
  <c r="F17" i="21" s="1"/>
  <c r="E16" i="21"/>
  <c r="F16" i="21" s="1"/>
  <c r="E15" i="21"/>
  <c r="F15" i="21" s="1"/>
  <c r="F13" i="21"/>
  <c r="F12" i="21"/>
  <c r="F11" i="21"/>
  <c r="E20" i="20"/>
  <c r="F20" i="20" s="1"/>
  <c r="F19" i="20"/>
  <c r="F18" i="20"/>
  <c r="E17" i="20"/>
  <c r="F17" i="20" s="1"/>
  <c r="F11" i="20"/>
  <c r="E10" i="20"/>
  <c r="F10" i="20" s="1"/>
  <c r="F13" i="19"/>
  <c r="F12" i="19"/>
  <c r="F11" i="19"/>
  <c r="F10" i="19"/>
  <c r="F46" i="24" l="1"/>
  <c r="F66" i="24"/>
  <c r="F65" i="23"/>
  <c r="F92" i="22"/>
  <c r="F33" i="22"/>
  <c r="F22" i="22"/>
  <c r="F95" i="22"/>
  <c r="F96" i="22"/>
  <c r="F98" i="22"/>
  <c r="F93" i="22"/>
  <c r="F97" i="22"/>
  <c r="F38" i="21"/>
  <c r="E89" i="12"/>
  <c r="F89" i="12" s="1"/>
  <c r="F88" i="12"/>
  <c r="E86" i="12"/>
  <c r="F86" i="12" s="1"/>
  <c r="E85" i="12"/>
  <c r="F85" i="12" s="1"/>
  <c r="E84" i="12"/>
  <c r="F84" i="12" s="1"/>
  <c r="E83" i="12"/>
  <c r="F83" i="12" s="1"/>
  <c r="F17" i="12"/>
  <c r="F11" i="12" l="1"/>
  <c r="F12" i="12"/>
  <c r="F14" i="12"/>
  <c r="F15" i="12"/>
  <c r="F19" i="12"/>
  <c r="F20" i="12"/>
  <c r="E21" i="12"/>
  <c r="F21" i="12" s="1"/>
  <c r="E22" i="12"/>
  <c r="F22" i="12" s="1"/>
  <c r="E23" i="12"/>
  <c r="F23" i="12" s="1"/>
  <c r="F24" i="12"/>
  <c r="F26" i="12"/>
  <c r="F27" i="12"/>
  <c r="F28" i="12"/>
  <c r="E29" i="12"/>
  <c r="F29" i="12" s="1"/>
  <c r="E30" i="12"/>
  <c r="F30" i="12" s="1"/>
  <c r="F31" i="12"/>
  <c r="F34" i="12"/>
  <c r="F35" i="12"/>
  <c r="F36" i="12"/>
  <c r="F39" i="12"/>
  <c r="F40" i="12"/>
  <c r="F41" i="12"/>
  <c r="F42" i="12"/>
  <c r="E43" i="12"/>
  <c r="F43" i="12" s="1"/>
  <c r="E44" i="12"/>
  <c r="F44" i="12" s="1"/>
  <c r="E45" i="12"/>
  <c r="F45" i="12" s="1"/>
  <c r="F46" i="12"/>
  <c r="F47" i="12"/>
  <c r="F48" i="12"/>
  <c r="F50" i="12"/>
  <c r="E51" i="12"/>
  <c r="F51" i="12" s="1"/>
  <c r="F52" i="12"/>
  <c r="F53" i="12"/>
  <c r="E54" i="12"/>
  <c r="F54" i="12" s="1"/>
  <c r="F55" i="12"/>
  <c r="E56" i="12"/>
  <c r="F56" i="12" s="1"/>
  <c r="E57" i="12"/>
  <c r="F57" i="12" s="1"/>
  <c r="E58" i="12"/>
  <c r="F58" i="12" s="1"/>
  <c r="F59" i="12"/>
  <c r="F60" i="12"/>
  <c r="F61" i="12"/>
  <c r="F63" i="12"/>
  <c r="E64" i="12"/>
  <c r="F64" i="12" s="1"/>
  <c r="F65" i="12"/>
  <c r="F66" i="12"/>
  <c r="E67" i="12"/>
  <c r="F67" i="12" s="1"/>
  <c r="F68" i="12"/>
  <c r="E69" i="12"/>
  <c r="F69" i="12" s="1"/>
  <c r="E70" i="12"/>
  <c r="F70" i="12" s="1"/>
  <c r="E71" i="12"/>
  <c r="F71" i="12" s="1"/>
  <c r="F72" i="12"/>
  <c r="F73" i="12"/>
  <c r="F74" i="12"/>
  <c r="F76" i="12"/>
  <c r="F77" i="12"/>
  <c r="E78" i="12"/>
  <c r="F78" i="12" s="1"/>
  <c r="E79" i="12"/>
  <c r="F79" i="12" s="1"/>
  <c r="E80" i="12"/>
  <c r="F80" i="12" s="1"/>
  <c r="F81" i="12"/>
  <c r="E91" i="12"/>
  <c r="F91" i="12" s="1"/>
  <c r="E92" i="12"/>
  <c r="F92" i="12" s="1"/>
  <c r="E93" i="12"/>
  <c r="F93" i="12" s="1"/>
  <c r="E94" i="12"/>
  <c r="F94" i="12" s="1"/>
  <c r="E97" i="12"/>
  <c r="F97" i="12" s="1"/>
  <c r="E98" i="12"/>
  <c r="F98" i="12" s="1"/>
  <c r="E99" i="12"/>
  <c r="F99" i="12" s="1"/>
  <c r="E100" i="12"/>
  <c r="F100" i="12" s="1"/>
  <c r="E102" i="12"/>
  <c r="F102" i="12" s="1"/>
  <c r="E103" i="12"/>
  <c r="F103" i="12" s="1"/>
  <c r="E104" i="12"/>
  <c r="F104" i="12" s="1"/>
  <c r="E105" i="12"/>
  <c r="F105" i="12"/>
  <c r="E107" i="12"/>
  <c r="F107" i="12" s="1"/>
  <c r="E108" i="12"/>
  <c r="F108" i="12" s="1"/>
  <c r="E111" i="12"/>
  <c r="F111" i="12" s="1"/>
  <c r="E112" i="12"/>
  <c r="F112" i="12" s="1"/>
  <c r="E113" i="12"/>
  <c r="F113" i="12" s="1"/>
  <c r="E114" i="12"/>
  <c r="F114" i="12" s="1"/>
  <c r="E115" i="12"/>
  <c r="F115" i="12" s="1"/>
  <c r="E116" i="12"/>
  <c r="F116" i="12" s="1"/>
</calcChain>
</file>

<file path=xl/sharedStrings.xml><?xml version="1.0" encoding="utf-8"?>
<sst xmlns="http://schemas.openxmlformats.org/spreadsheetml/2006/main" count="1199" uniqueCount="261">
  <si>
    <t xml:space="preserve">zugdidis municipalitetSi odiSis administraciul erTeulSi centridan #1 sasaflaomde </t>
  </si>
  <si>
    <t xml:space="preserve">              saavtmobilo gzis sareabilitacio samuSaoebi</t>
  </si>
  <si>
    <t>#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</si>
  <si>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</si>
  <si>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</si>
  <si>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</si>
  <si>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</si>
  <si>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</si>
  <si>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</si>
  <si>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</si>
  <si>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</si>
  <si>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t xml:space="preserve">     Tavi 1,     mosamzadebeli samuSaoebi</t>
  </si>
  <si>
    <t>trasis aRdgena da damagreba</t>
  </si>
  <si>
    <t>arsebuli dazianebuli milebis demontaJi</t>
  </si>
  <si>
    <t>sul Tavi 1-is mixedviT</t>
  </si>
  <si>
    <t>2. miwis vakisi</t>
  </si>
  <si>
    <t>miwis vakisi</t>
  </si>
  <si>
    <t>sul Tavi 2-is mixedviT</t>
  </si>
  <si>
    <t>3. xelovnuri nagebobebi</t>
  </si>
  <si>
    <t>r/betonis milebis mowyoba</t>
  </si>
  <si>
    <t>sul Tavi 3-is mixedviT</t>
  </si>
  <si>
    <t>4.sagzao samosi</t>
  </si>
  <si>
    <t>sagzao samosis mowyoba</t>
  </si>
  <si>
    <t>sul Tavi 4-is mixedviT</t>
  </si>
  <si>
    <t>Tavi 5. gzis kuTvnileba da mowyobiloba</t>
  </si>
  <si>
    <t>mierTebebis da adgilobrivi Sesasvlelebis mowyoba</t>
  </si>
  <si>
    <t>ezoSi Sesasvlelebis mowyoba</t>
  </si>
  <si>
    <t>sagzao niSnebis mowyoba</t>
  </si>
  <si>
    <t xml:space="preserve">savali nawilis horizontaluri moniSvna </t>
  </si>
  <si>
    <t>sul Tavi 5-is mixedviT</t>
  </si>
  <si>
    <t xml:space="preserve">sul 1_5 Tavebis mixedviT </t>
  </si>
  <si>
    <t>gauTvaliswinebeli samuSaoebi da danaxarjebi _ 3%</t>
  </si>
  <si>
    <t>sul</t>
  </si>
  <si>
    <t>d,R,g, _ 18%</t>
  </si>
  <si>
    <t>sul nakrebi xarjTaRricxvis angariSiT</t>
  </si>
  <si>
    <t>ss daw</t>
  </si>
  <si>
    <t>samuSaos dasaxeleba</t>
  </si>
  <si>
    <t>ganz,</t>
  </si>
  <si>
    <t>raod</t>
  </si>
  <si>
    <t>masala</t>
  </si>
  <si>
    <t>xelfasi</t>
  </si>
  <si>
    <t>meqanizmi</t>
  </si>
  <si>
    <t>jami</t>
  </si>
  <si>
    <t>norm, erT,</t>
  </si>
  <si>
    <t>erT, Ffasi</t>
  </si>
  <si>
    <t>13</t>
  </si>
  <si>
    <t>100m2</t>
  </si>
  <si>
    <t>Sromis danaxarji</t>
  </si>
  <si>
    <t>kac/sT</t>
  </si>
  <si>
    <t>1000m2</t>
  </si>
  <si>
    <t>t</t>
  </si>
  <si>
    <t>sul:</t>
  </si>
  <si>
    <t>jami:</t>
  </si>
  <si>
    <t xml:space="preserve">              arsebuli dazianebuli milebis demontaJi</t>
  </si>
  <si>
    <r>
      <t xml:space="preserve">                 lokaluri xarjTaRricxva #</t>
    </r>
    <r>
      <rPr>
        <b/>
        <sz val="11"/>
        <rFont val="Arial"/>
        <family val="2"/>
      </rPr>
      <t>1-3</t>
    </r>
  </si>
  <si>
    <t>III კატეგორიის გრუნტიs   eqskakvatoriT avtoTviTmclelze datvirTva</t>
  </si>
  <si>
    <t>m3</t>
  </si>
  <si>
    <t>eqskavatori 0.5m3</t>
  </si>
  <si>
    <t>manq/sT</t>
  </si>
  <si>
    <t>sxva manqanebi</t>
  </si>
  <si>
    <t>l</t>
  </si>
  <si>
    <t>RorRi</t>
  </si>
  <si>
    <t>zedmeti gruntis  gatana   nagavsayrelze (saSualod  3km-ze)</t>
  </si>
  <si>
    <t>buldozeri 108c.Z</t>
  </si>
  <si>
    <t xml:space="preserve">III კატეგორიის გრუნტიs damuSaveba xeliT </t>
  </si>
  <si>
    <t>gruntis datvirTva a/TviTmcvlelze xeliT</t>
  </si>
  <si>
    <t>muSaoba nayarzi</t>
  </si>
  <si>
    <t>m</t>
  </si>
  <si>
    <t>muxluxa amwe 10t</t>
  </si>
  <si>
    <t>milebis gatana bazaze</t>
  </si>
  <si>
    <t xml:space="preserve">arsebuli dazianebuli rkinabetonis milis daSla </t>
  </si>
  <si>
    <t>narCenebis datvirTva da gadazidva nayarSi</t>
  </si>
  <si>
    <t>narCenebis gadazidva nayarSi</t>
  </si>
  <si>
    <t xml:space="preserve">               miwis vakisi</t>
  </si>
  <si>
    <r>
      <t xml:space="preserve">                            lokaluri xarjTaRricxva #2</t>
    </r>
    <r>
      <rPr>
        <b/>
        <sz val="11"/>
        <rFont val="Arial"/>
        <family val="2"/>
      </rPr>
      <t>-1</t>
    </r>
  </si>
  <si>
    <t xml:space="preserve">gruntis damuSaveba mZlavri buldozeriT 20m mogrovebiT, </t>
  </si>
  <si>
    <t>buldozeri 310c,Z</t>
  </si>
  <si>
    <t>zedmeti gruntis  gatana   nayarSi 3km-ze</t>
  </si>
  <si>
    <t>zedmeti gruntis  gatana   nayarSi 3km-ze)</t>
  </si>
  <si>
    <t>III კატეგორიის გრუნტიs kiuvetSi   eqskakvatoriT avtoTviTmclelze datvirTva</t>
  </si>
  <si>
    <t>III კატეგორიის გრუნტიs damuSaveba xeliT kiuvetSi</t>
  </si>
  <si>
    <t xml:space="preserve">miwis vakisis zedapiris moSandakeba meqanizebuli wesiT                                     </t>
  </si>
  <si>
    <t>buldozeri 108c,Z</t>
  </si>
  <si>
    <t>avtogreideri</t>
  </si>
  <si>
    <t>kiuvetis mowyoba</t>
  </si>
  <si>
    <t>qviSa-xreSi</t>
  </si>
  <si>
    <t>Zelaki</t>
  </si>
  <si>
    <t>ficari 25-32mm IIIx</t>
  </si>
  <si>
    <t>ficari 40mm IIIx</t>
  </si>
  <si>
    <t>სხვა მასალა</t>
  </si>
  <si>
    <t>ლ</t>
  </si>
  <si>
    <t>armatura a-I</t>
  </si>
  <si>
    <t>kg</t>
  </si>
  <si>
    <t>hidroizolaciis mowyoba Txevadi bitumiT</t>
  </si>
  <si>
    <t>manqanebi</t>
  </si>
  <si>
    <t>bitumis mastika</t>
  </si>
  <si>
    <t>sxva masalebi</t>
  </si>
  <si>
    <t>Txrilisa da kedlisukana sivrcis Sevseba xreSovani gruntiT</t>
  </si>
  <si>
    <t>avtogreideri saSvalo simZlavris 79 kvt (108 cx.Z.)</t>
  </si>
  <si>
    <t>satkepni TviTmavali pnevmoTvlian svlaze 18 t</t>
  </si>
  <si>
    <t>mosarwyavi manqana 6000 l</t>
  </si>
  <si>
    <t>masalebi</t>
  </si>
  <si>
    <t>xreSovani grunti</t>
  </si>
  <si>
    <t>wyali</t>
  </si>
  <si>
    <r>
      <t xml:space="preserve">                            lokaluri xarjTaRricxva #3</t>
    </r>
    <r>
      <rPr>
        <b/>
        <sz val="11"/>
        <rFont val="Arial"/>
        <family val="2"/>
      </rPr>
      <t>-1</t>
    </r>
  </si>
  <si>
    <t>rk.b. d-1,0 m milebis mowyoba</t>
  </si>
  <si>
    <t>mrgvali rk.betonis milis mowyoba :</t>
  </si>
  <si>
    <t>amwe muxluxa 10t</t>
  </si>
  <si>
    <r>
      <t>betonis rgolebi d-1,0m 24</t>
    </r>
    <r>
      <rPr>
        <b/>
        <sz val="10"/>
        <rFont val="AcadNusx"/>
      </rPr>
      <t>m</t>
    </r>
  </si>
  <si>
    <t>wasacxebi hidroizolacia</t>
  </si>
  <si>
    <t>m2</t>
  </si>
  <si>
    <t>asbesti</t>
  </si>
  <si>
    <t>bitumi</t>
  </si>
  <si>
    <t>cementis xsnari m150</t>
  </si>
  <si>
    <t>asakravi hidroizolacia (gadabmis farglebSi)</t>
  </si>
  <si>
    <t>jutis qsovili</t>
  </si>
  <si>
    <t>saTavisebis mowyoba:</t>
  </si>
  <si>
    <t>xreSi</t>
  </si>
  <si>
    <t>mrgvali xemasala</t>
  </si>
  <si>
    <t>ficari 40mm IIx</t>
  </si>
  <si>
    <t>WanWiki</t>
  </si>
  <si>
    <t>naWedi</t>
  </si>
  <si>
    <t>amwe  muxluxa 10t</t>
  </si>
  <si>
    <t>cementis xsnari</t>
  </si>
  <si>
    <t>yalibis fari</t>
  </si>
  <si>
    <t>morebi samSeneblo IIIx, 14-24</t>
  </si>
  <si>
    <t>Zelebi samSeneblo IIIx, 70mm</t>
  </si>
  <si>
    <t>ficari 25-32 IVx</t>
  </si>
  <si>
    <t>ficari 40-60 IIIx</t>
  </si>
  <si>
    <r>
      <t>m</t>
    </r>
    <r>
      <rPr>
        <vertAlign val="superscript"/>
        <sz val="10"/>
        <rFont val="AcadNusx"/>
      </rPr>
      <t>3</t>
    </r>
  </si>
  <si>
    <t xml:space="preserve">Sromis danaxarjebi </t>
  </si>
  <si>
    <t>kac,sT</t>
  </si>
  <si>
    <t>qva</t>
  </si>
  <si>
    <t xml:space="preserve">gruntis gaWra kalapotisaTvis V-0,5 m3 eqskavatoriT, datvirTva a/TviTmclelebze </t>
  </si>
  <si>
    <t>xreSovani gruntis  gatana    3km-ze nayarSi</t>
  </si>
  <si>
    <t>specprofilis parapetebi</t>
  </si>
  <si>
    <t>specprofilis parapetis SeRebva perqlorviniliani saRebaviT or ferSi</t>
  </si>
  <si>
    <t>koleri</t>
  </si>
  <si>
    <t>pigmenti</t>
  </si>
  <si>
    <t>kir-cementis xsnari</t>
  </si>
  <si>
    <r>
      <t xml:space="preserve">                            lokaluri xarjTaRricxva #4</t>
    </r>
    <r>
      <rPr>
        <b/>
        <sz val="11"/>
        <rFont val="Arial"/>
        <family val="2"/>
      </rPr>
      <t>-1</t>
    </r>
  </si>
  <si>
    <t xml:space="preserve"> sagzao samosi</t>
  </si>
  <si>
    <t>Semasworebeli fenis mowyoba qviSa-xreSovani nareviT saSualo sisqiT 7 sm</t>
  </si>
  <si>
    <t>100m3</t>
  </si>
  <si>
    <t>sagzao satkepni 18t</t>
  </si>
  <si>
    <t>mosarwyavi manqana</t>
  </si>
  <si>
    <t>qviSa-xreSovani narevi</t>
  </si>
  <si>
    <t>safuZvlis mowyoba qviSa-RorRis (fr. 0-40mm) nareviT sisqiT 10sm</t>
  </si>
  <si>
    <t>sagzao satkepni 5t</t>
  </si>
  <si>
    <t>sagzao satkepni 10t</t>
  </si>
  <si>
    <t>qviSa-RorRi 0-40mm</t>
  </si>
  <si>
    <t>cementobetonis gamanawilebeli</t>
  </si>
  <si>
    <t>cementobetonis gadasafareblis mosapirkeTebeli manqana</t>
  </si>
  <si>
    <t>Ziris profirebeli</t>
  </si>
  <si>
    <t>gamanawilebeli agregatebi afkismowyobis masalebis cementobetonis safarisTvis</t>
  </si>
  <si>
    <t>saavtomobilo amwe 5t</t>
  </si>
  <si>
    <t>armaturis bade 8mm</t>
  </si>
  <si>
    <t xml:space="preserve">ganivi nakerebis mowyoba                                               </t>
  </si>
  <si>
    <t xml:space="preserve">nakerebis mosawyobi </t>
  </si>
  <si>
    <t>raqtori muxluxa svlaze 59 kvt (80 cx.Z.)</t>
  </si>
  <si>
    <t>nakerebis Camxsneli</t>
  </si>
  <si>
    <t>lari</t>
  </si>
  <si>
    <t>bitumis emulsia</t>
  </si>
  <si>
    <t>qviSa</t>
  </si>
  <si>
    <t>bitumis masika</t>
  </si>
  <si>
    <t>misayreli gverdulis mowyoba qviSa-xreSovani nareviT  (fraqciiT-0-70mm) saS.  sisqiT  10sm</t>
  </si>
  <si>
    <t>SromiTi resursebi</t>
  </si>
  <si>
    <t>RorRi 0-70 mm</t>
  </si>
  <si>
    <t>satkepni 5t TviTmavali gluvi</t>
  </si>
  <si>
    <t>m/sT</t>
  </si>
  <si>
    <r>
      <t xml:space="preserve">                            lokaluri xarjTaRricxva #5</t>
    </r>
    <r>
      <rPr>
        <b/>
        <sz val="11"/>
        <rFont val="Arial"/>
        <family val="2"/>
      </rPr>
      <t>-1</t>
    </r>
  </si>
  <si>
    <t>milis mowyoba</t>
  </si>
  <si>
    <t xml:space="preserve">liTonis mili d-426 mm                           kedlis sisqiT 8 mm  mowyoba </t>
  </si>
  <si>
    <t xml:space="preserve">liTonis mili d-426/8mm </t>
  </si>
  <si>
    <t>asfaltobetonis narevi</t>
  </si>
  <si>
    <t>samosis mowyoba</t>
  </si>
  <si>
    <t>Semasworebeli fenis mowyoba qviSa-xreSovani nareviT</t>
  </si>
  <si>
    <t>safuZvlis mowyoba qviSa-RorRis nareviT (fraqciiT 0-40mm) sisqiT 15 sm</t>
  </si>
  <si>
    <t xml:space="preserve">qviSa-RorRis narevi </t>
  </si>
  <si>
    <t>safaris mowyoba armirebuli cementbetoniT</t>
  </si>
  <si>
    <t>namgliseburi profilis safaris mowyoba qviSa-xreSovani nareviT sisqiT 25 sm</t>
  </si>
  <si>
    <r>
      <t xml:space="preserve">                            lokaluri xarjTaRricxva #5</t>
    </r>
    <r>
      <rPr>
        <b/>
        <sz val="11"/>
        <rFont val="Arial"/>
        <family val="2"/>
      </rPr>
      <t>-2</t>
    </r>
  </si>
  <si>
    <t>mosamzadebeli samuSaoebi</t>
  </si>
  <si>
    <t xml:space="preserve">arsebuli dazianebuli betonis daSla sangrevi CaquCebiT </t>
  </si>
  <si>
    <t>sangrevi CaquCi</t>
  </si>
  <si>
    <t>asfaltobetonis narCenebis  eqskakvatoriT avtoTviTmclelze datvirTva</t>
  </si>
  <si>
    <t>samSeneblo  nagvis  gatana   nagavsayrelze (saSualod  3km-ze)</t>
  </si>
  <si>
    <t>dazianebuli azbestis milebis daSla sangrevi CaquCebiT,</t>
  </si>
  <si>
    <t>saavtomobilo amwe 10t</t>
  </si>
  <si>
    <t>Txrilis Sevseba qviSa-xreSovani nareviT</t>
  </si>
  <si>
    <r>
      <t xml:space="preserve">                            lokaluri xarjTaRricxva #5</t>
    </r>
    <r>
      <rPr>
        <b/>
        <sz val="11"/>
        <rFont val="Arial"/>
        <family val="2"/>
      </rPr>
      <t>-3</t>
    </r>
  </si>
  <si>
    <t>100c</t>
  </si>
  <si>
    <t>g) marTkuTxa 350X700 mm</t>
  </si>
  <si>
    <t>c</t>
  </si>
  <si>
    <t>sagzao niSnebis dayeneba liTonis dgarebze, dgaris sigrZiT 3,5m dabetonebiT</t>
  </si>
  <si>
    <t>amwe saburRi mowyobilobiT 3,5m-mde</t>
  </si>
  <si>
    <t>betoni m200</t>
  </si>
  <si>
    <t>sagzao niSnebis liTonis dgarebis Rirebuleba:</t>
  </si>
  <si>
    <t>b) sigrZiT 3,5m</t>
  </si>
  <si>
    <r>
      <t xml:space="preserve">                            lokaluri xarjTaRricxva #5</t>
    </r>
    <r>
      <rPr>
        <b/>
        <sz val="11"/>
        <rFont val="Arial"/>
        <family val="2"/>
      </rPr>
      <t>-4</t>
    </r>
  </si>
  <si>
    <t>savali nawilis moniSvna</t>
  </si>
  <si>
    <t>1</t>
  </si>
  <si>
    <t>savali nawilis horizontaluri moniSvna ГОСТ 13508-74-is mixedviT; erTkomponentiani(TeTri) sagzao niSansadebi saRebaviT damzadebuli meTilmeTakrilatis safuZvelze, gaumjobesebuli Ramis xilvadobis Suqdambrunebeli minis burTulakebiT zomiT 100-600 mkm (uwyveti xazi siganiT 100 mm (1,1)</t>
  </si>
  <si>
    <t>km</t>
  </si>
  <si>
    <t>manqanebi markirebisaTvis</t>
  </si>
  <si>
    <t>emali</t>
  </si>
  <si>
    <r>
      <t>1000m</t>
    </r>
    <r>
      <rPr>
        <vertAlign val="superscript"/>
        <sz val="10"/>
        <rFont val="AcadNusx"/>
      </rPr>
      <t>2</t>
    </r>
  </si>
  <si>
    <t>qviSa-xreSovani sagebi h-30 sm</t>
  </si>
  <si>
    <t>qviSa-xreSovani sagebi h-10 sm</t>
  </si>
  <si>
    <t xml:space="preserve">betoni B22,5, F200, W6      </t>
  </si>
  <si>
    <t>kbilis da Raris betoni B22,5 F200 W6</t>
  </si>
  <si>
    <t>frTebis betoni B22,5 F200 W6</t>
  </si>
  <si>
    <t>arsebuli liTonis milis demontaJi d=0,3 m da transportireba bazaze</t>
  </si>
  <si>
    <t xml:space="preserve">betoni B22.5, F200, W6      </t>
  </si>
  <si>
    <t xml:space="preserve">armirebuli cementobetonis safaris mowyoba sisqiT 18sm marka B30,F200,W6                                                  </t>
  </si>
  <si>
    <t xml:space="preserve">armaturis Rero  (grZivi sadeformacio nakerisTvis)     f18 mm.   L-80 sm  A-III      </t>
  </si>
  <si>
    <r>
      <t>armaturis bade cementobetonis safarisaTvis Ф8mmM</t>
    </r>
    <r>
      <rPr>
        <sz val="12.6"/>
        <rFont val="AcadNusx"/>
      </rPr>
      <t xml:space="preserve">M                          </t>
    </r>
  </si>
  <si>
    <t>standartuli farebi brtyeli  II tipiuri zomis   ГОСТ 10807-78-is mixedviT TuTiiT galvanizirebuli liTonis furcelze, dafaruli Suqdambrunebeli ASTM D4956-09 Type III firiT</t>
  </si>
  <si>
    <t>kvadratuli    B-700  (sainformacio)</t>
  </si>
  <si>
    <t>samkuTxa    A 900 mm  (gamafrTxilebeli)</t>
  </si>
  <si>
    <t>mrgvali    D 700 mm  (amkrZalavi)</t>
  </si>
  <si>
    <r>
      <t xml:space="preserve">saTavisebis mowyoba (portaluri kedeli, frTebi, kbili, mimRebi Wa) monoliTuri betonisagan                  </t>
    </r>
    <r>
      <rPr>
        <b/>
        <sz val="10"/>
        <rFont val="Calibri"/>
        <family val="2"/>
        <charset val="204"/>
        <scheme val="minor"/>
      </rPr>
      <t>B-22,5  F-200  W-6</t>
    </r>
  </si>
  <si>
    <r>
      <t xml:space="preserve">betoni sagzao marka </t>
    </r>
    <r>
      <rPr>
        <sz val="10"/>
        <rFont val="Calibri"/>
        <family val="2"/>
        <charset val="204"/>
        <scheme val="minor"/>
      </rPr>
      <t xml:space="preserve">B35,F200,W6     </t>
    </r>
    <r>
      <rPr>
        <sz val="10"/>
        <rFont val="AcadNusx"/>
      </rPr>
      <t xml:space="preserve">     </t>
    </r>
  </si>
  <si>
    <r>
      <t xml:space="preserve">betoni sagzao marka </t>
    </r>
    <r>
      <rPr>
        <sz val="10"/>
        <rFont val="Calibri"/>
        <family val="2"/>
        <charset val="204"/>
        <scheme val="minor"/>
      </rPr>
      <t xml:space="preserve">B35,F200,W6        </t>
    </r>
    <r>
      <rPr>
        <sz val="10"/>
        <rFont val="AcadNusx"/>
      </rPr>
      <t xml:space="preserve">  </t>
    </r>
  </si>
  <si>
    <r>
      <t xml:space="preserve">armirebuli cementobetonis safaris mowyoba sisqiT 18sm marka </t>
    </r>
    <r>
      <rPr>
        <sz val="10"/>
        <rFont val="Calibri"/>
        <family val="2"/>
        <charset val="204"/>
        <scheme val="minor"/>
      </rPr>
      <t xml:space="preserve">B30,F200,W6    </t>
    </r>
    <r>
      <rPr>
        <sz val="10"/>
        <rFont val="AcadNusx"/>
      </rPr>
      <t xml:space="preserve">                                              </t>
    </r>
  </si>
  <si>
    <t>satkepni 18t TviTmavali pnevmosvlaze</t>
  </si>
  <si>
    <t>avtogreideri 79kvt (108c.Z)</t>
  </si>
  <si>
    <r>
      <t xml:space="preserve">monoliTuri betonis kiuvetis mowyoba betoni </t>
    </r>
    <r>
      <rPr>
        <sz val="10"/>
        <rFont val="Calibri"/>
        <family val="2"/>
        <charset val="204"/>
        <scheme val="minor"/>
      </rPr>
      <t>B-22.5 F200 W-6</t>
    </r>
  </si>
  <si>
    <r>
      <t xml:space="preserve">saZirkvlis da tanis  monoliTuri betoni                                 </t>
    </r>
    <r>
      <rPr>
        <sz val="10"/>
        <rFont val="Calibri"/>
        <family val="2"/>
        <charset val="204"/>
        <scheme val="minor"/>
      </rPr>
      <t xml:space="preserve">  B22,5, F200, W6</t>
    </r>
  </si>
  <si>
    <r>
      <t xml:space="preserve">betoni </t>
    </r>
    <r>
      <rPr>
        <sz val="10"/>
        <rFont val="Calibri"/>
        <family val="2"/>
        <charset val="204"/>
        <scheme val="minor"/>
      </rPr>
      <t xml:space="preserve">B22,5, F200, W6      </t>
    </r>
  </si>
  <si>
    <t>mosarwyav-mosaxexi manqana 6000 l</t>
  </si>
  <si>
    <t>traqtori muxuxa svlaze 40kvt (54c,Z)</t>
  </si>
  <si>
    <r>
      <t xml:space="preserve">betoni sagzao marka </t>
    </r>
    <r>
      <rPr>
        <sz val="10"/>
        <rFont val="Calibri"/>
        <family val="2"/>
        <charset val="204"/>
        <scheme val="minor"/>
      </rPr>
      <t xml:space="preserve">B35,F200,W6          </t>
    </r>
  </si>
  <si>
    <t>sagzao satkepni 18t pnevmosvlaze</t>
  </si>
  <si>
    <t>sagzao satkepni 5t gluvi TviTmavali</t>
  </si>
  <si>
    <t>sagzao satkepni 10t gluvi TviTmavali</t>
  </si>
  <si>
    <t>avtogreideri saSvalo simZlavris 79 kvt (108cx.Z.)</t>
  </si>
  <si>
    <r>
      <t>rkina-betonis d-1,0 m</t>
    </r>
    <r>
      <rPr>
        <sz val="10"/>
        <rFont val="Calibri"/>
        <family val="2"/>
        <charset val="204"/>
        <scheme val="minor"/>
      </rPr>
      <t xml:space="preserve"> L</t>
    </r>
    <r>
      <rPr>
        <sz val="10"/>
        <rFont val="AcadNusx"/>
      </rPr>
      <t>-1,0 m milis rgoli</t>
    </r>
  </si>
  <si>
    <r>
      <t xml:space="preserve">armaturis Rero  (grZivi sadeformacio nakerisTvis)     </t>
    </r>
    <r>
      <rPr>
        <sz val="10"/>
        <rFont val="Calibri"/>
        <family val="2"/>
        <charset val="204"/>
        <scheme val="minor"/>
      </rPr>
      <t xml:space="preserve">f18 mm.   L-80 sm  A-III   </t>
    </r>
    <r>
      <rPr>
        <sz val="10"/>
        <rFont val="AcadNusx"/>
      </rPr>
      <t xml:space="preserve">   </t>
    </r>
  </si>
  <si>
    <t>misayreli gverdulis mowyoba qviSa-xreSovani nareviT  (fraqciiT-0-70mm) saS. sisqiT 10sm</t>
  </si>
  <si>
    <t>avtogreideri saSvalo simZlavris 79kvt (108cx.Z.)</t>
  </si>
  <si>
    <r>
      <t xml:space="preserve">armirebuli cementobetonis safaris mowyoba sisqiT 18sm marka </t>
    </r>
    <r>
      <rPr>
        <sz val="10"/>
        <rFont val="Calibri"/>
        <family val="2"/>
        <charset val="204"/>
        <scheme val="minor"/>
      </rPr>
      <t xml:space="preserve">B30,F200,W6       </t>
    </r>
    <r>
      <rPr>
        <sz val="10"/>
        <rFont val="AcadNusx"/>
      </rPr>
      <t xml:space="preserve">                                           </t>
    </r>
  </si>
  <si>
    <t>milis mowyოba</t>
  </si>
  <si>
    <t xml:space="preserve">გრძივი nakerebis mowyoba                                               </t>
  </si>
  <si>
    <t xml:space="preserve">              saavtmobilo gzis sareabilitacio samuSaoebi pk.0+00-dan pk.6+20-mde</t>
  </si>
  <si>
    <t xml:space="preserve">zednadebi xarjebi </t>
  </si>
  <si>
    <t xml:space="preserve">gegmiuri dagroveba </t>
  </si>
  <si>
    <t>gegmiuri dagroveba</t>
  </si>
  <si>
    <t>danarTi #1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</si>
  <si>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</si>
  <si>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</si>
  <si>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r>
      <t>შენიშვნა</t>
    </r>
    <r>
      <rPr>
        <b/>
        <i/>
        <sz val="10"/>
        <rFont val="Sylfaen"/>
        <family val="1"/>
      </rPr>
      <t>:</t>
    </r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</si>
  <si>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</si>
  <si>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</si>
  <si>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</si>
  <si>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</si>
  <si>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</si>
  <si>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ხარჯთაღრიცხვის წარმოუდგენლობა ან განუფასებლად წარმოდგენა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</si>
  <si>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6)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</si>
  <si>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r>
      <t>7)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</si>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</sst>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_(* #,##0.00_);_(* \(#,##0.00\);_(* &quot;-&quot;???_);_(@_)"/>
    <numFmt numFmtId="169" formatCode="_(* #,##0_);_(* \(#,##0\);_(* &quot;-&quot;???_);_(@_)"/>
    <numFmt numFmtId="170" formatCode="_(* #,##0.000_);_(* \(#,##0.000\);_(* &quot;-&quot;???_);_(@_)"/>
    <numFmt numFmtId="171" formatCode="_-* #,##0.0_р_._-;\-* #,##0.0_р_._-;_-* &quot;-&quot;??_р_._-;_-@_-"/>
    <numFmt numFmtId="172" formatCode="_-* #,##0_р_._-;\-* #,##0_р_._-;_-* &quot;-&quot;??_р_._-;_-@_-"/>
    <numFmt numFmtId="173" formatCode="0.00000"/>
    <numFmt numFmtId="174" formatCode="0;[Red]0"/>
    <numFmt numFmtId="175" formatCode="0.00;[Red]0.00"/>
    <numFmt numFmtId="176" formatCode="0.0000;[Red]0.0000"/>
    <numFmt numFmtId="177" formatCode="_(* #,##0.0000_);_(* \(#,##0.0000\);_(* &quot;-&quot;???_);_(@_)"/>
    <numFmt numFmtId="178" formatCode="0.00000;[Red]0.0000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_-;\-* #,##0.00_-;_-* &quot;-&quot;??_-;_-@_-"/>
  </numFmts>
  <fonts count="3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Grigolia"/>
    </font>
    <font>
      <sz val="10"/>
      <name val="Arial"/>
      <family val="2"/>
      <charset val="204"/>
    </font>
    <font>
      <sz val="10"/>
      <name val="AcadNusx"/>
    </font>
    <font>
      <b/>
      <sz val="11"/>
      <name val="AcadNusx"/>
    </font>
    <font>
      <b/>
      <sz val="12"/>
      <name val="AcadNusx"/>
    </font>
    <font>
      <b/>
      <sz val="10"/>
      <name val="AcadNusx"/>
    </font>
    <font>
      <i/>
      <sz val="10"/>
      <name val="AcadNusx"/>
    </font>
    <font>
      <b/>
      <sz val="12"/>
      <name val="AcadMtavr"/>
    </font>
    <font>
      <b/>
      <sz val="11"/>
      <name val="Arial"/>
      <family val="2"/>
    </font>
    <font>
      <b/>
      <sz val="11"/>
      <name val="AcadMtavr"/>
    </font>
    <font>
      <sz val="9"/>
      <name val="AcadNusx"/>
    </font>
    <font>
      <sz val="10"/>
      <name val="Arial Cyr"/>
      <charset val="204"/>
    </font>
    <font>
      <vertAlign val="superscript"/>
      <sz val="10"/>
      <name val="AcadNusx"/>
    </font>
    <font>
      <sz val="12.6"/>
      <name val="AcadNusx"/>
    </font>
    <font>
      <sz val="11"/>
      <name val="AcadNusx"/>
    </font>
    <font>
      <sz val="10"/>
      <name val="Arial"/>
      <family val="2"/>
    </font>
    <font>
      <sz val="10"/>
      <color theme="1"/>
      <name val="AcadNusx"/>
    </font>
    <font>
      <sz val="10"/>
      <color rgb="FF000000"/>
      <name val="AcadNusx"/>
    </font>
    <font>
      <b/>
      <sz val="12"/>
      <color rgb="FF000000"/>
      <name val="AcadMtavr"/>
    </font>
    <font>
      <b/>
      <sz val="12"/>
      <color theme="1"/>
      <name val="AcadMtav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AcadNusx"/>
    </font>
    <font>
      <sz val="11"/>
      <color rgb="FF000000"/>
      <name val="Calibri"/>
      <family val="2"/>
      <charset val="204"/>
      <scheme val="minor"/>
    </font>
    <font>
      <i/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rgb="FF000000"/>
      <name val="Sylfaen"/>
      <family val="1"/>
      <charset val="204"/>
    </font>
    <font>
      <b/>
      <i/>
      <sz val="10"/>
      <name val="Sylfaen"/>
      <family val="1"/>
    </font>
    <font>
      <i/>
      <sz val="10"/>
      <color rgb="FFFF0000"/>
      <name val="Sylfaen"/>
      <family val="1"/>
    </font>
    <font>
      <b/>
      <i/>
      <u/>
      <sz val="10"/>
      <name val="Sylfaen"/>
      <family val="1"/>
    </font>
    <font>
      <i/>
      <sz val="9"/>
      <color rgb="FFFF0000"/>
      <name val="Sylfaen"/>
      <family val="1"/>
    </font>
    <font>
      <i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3" fillId="0" borderId="0"/>
    <xf numFmtId="0" fontId="25" fillId="0" borderId="0"/>
  </cellStyleXfs>
  <cellXfs count="253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166" fontId="4" fillId="0" borderId="2" xfId="3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2" xfId="0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vertical="center" wrapText="1"/>
    </xf>
    <xf numFmtId="2" fontId="4" fillId="0" borderId="2" xfId="0" applyNumberFormat="1" applyFont="1" applyFill="1" applyBorder="1"/>
    <xf numFmtId="0" fontId="4" fillId="0" borderId="2" xfId="0" applyFont="1" applyFill="1" applyBorder="1"/>
    <xf numFmtId="165" fontId="4" fillId="0" borderId="2" xfId="3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" fontId="4" fillId="0" borderId="2" xfId="3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 vertical="top" wrapText="1"/>
    </xf>
    <xf numFmtId="168" fontId="12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8" fontId="12" fillId="0" borderId="2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164" fontId="4" fillId="0" borderId="2" xfId="1" applyFont="1" applyFill="1" applyBorder="1" applyAlignment="1">
      <alignment vertical="center" wrapText="1"/>
    </xf>
    <xf numFmtId="164" fontId="4" fillId="0" borderId="0" xfId="1" applyFont="1" applyFill="1" applyAlignment="1">
      <alignment vertical="center"/>
    </xf>
    <xf numFmtId="164" fontId="0" fillId="0" borderId="0" xfId="1" applyFont="1"/>
    <xf numFmtId="164" fontId="3" fillId="0" borderId="0" xfId="1" applyFont="1" applyFill="1" applyAlignment="1">
      <alignment vertical="center"/>
    </xf>
    <xf numFmtId="171" fontId="4" fillId="0" borderId="2" xfId="1" applyNumberFormat="1" applyFont="1" applyFill="1" applyBorder="1" applyAlignment="1">
      <alignment horizontal="center" vertical="center"/>
    </xf>
    <xf numFmtId="172" fontId="4" fillId="0" borderId="2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18" fillId="0" borderId="0" xfId="0" applyNumberFormat="1" applyFont="1" applyFill="1" applyAlignment="1">
      <alignment horizontal="center"/>
    </xf>
    <xf numFmtId="173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left" vertical="center" wrapText="1"/>
    </xf>
    <xf numFmtId="174" fontId="4" fillId="0" borderId="2" xfId="0" applyNumberFormat="1" applyFont="1" applyFill="1" applyBorder="1" applyAlignment="1">
      <alignment horizontal="center" vertical="center" wrapText="1"/>
    </xf>
    <xf numFmtId="175" fontId="4" fillId="0" borderId="2" xfId="0" applyNumberFormat="1" applyFont="1" applyFill="1" applyBorder="1" applyAlignment="1">
      <alignment horizontal="center" vertical="center" wrapText="1"/>
    </xf>
    <xf numFmtId="174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Alignment="1">
      <alignment vertical="center"/>
    </xf>
    <xf numFmtId="2" fontId="4" fillId="0" borderId="2" xfId="0" applyNumberFormat="1" applyFont="1" applyFill="1" applyBorder="1" applyAlignment="1">
      <alignment horizontal="left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77" fontId="12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174" fontId="4" fillId="0" borderId="2" xfId="0" applyNumberFormat="1" applyFont="1" applyFill="1" applyBorder="1" applyAlignment="1">
      <alignment horizontal="center" vertical="center"/>
    </xf>
    <xf numFmtId="175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wrapText="1"/>
    </xf>
    <xf numFmtId="0" fontId="0" fillId="0" borderId="2" xfId="0" applyFill="1" applyBorder="1"/>
    <xf numFmtId="1" fontId="0" fillId="0" borderId="0" xfId="0" applyNumberFormat="1" applyFill="1"/>
    <xf numFmtId="0" fontId="0" fillId="0" borderId="2" xfId="0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/>
    </xf>
    <xf numFmtId="167" fontId="4" fillId="0" borderId="2" xfId="0" applyNumberFormat="1" applyFont="1" applyBorder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174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9" xfId="0" applyFont="1" applyFill="1" applyBorder="1"/>
    <xf numFmtId="16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181" fontId="7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3" fillId="0" borderId="0" xfId="0" applyFont="1" applyFill="1"/>
    <xf numFmtId="165" fontId="4" fillId="0" borderId="2" xfId="1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0" fillId="0" borderId="0" xfId="0" applyAlignment="1"/>
    <xf numFmtId="2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textRotation="90"/>
    </xf>
    <xf numFmtId="49" fontId="7" fillId="0" borderId="9" xfId="0" applyNumberFormat="1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vertical="center"/>
    </xf>
    <xf numFmtId="2" fontId="0" fillId="0" borderId="2" xfId="0" applyNumberFormat="1" applyFill="1" applyBorder="1"/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Border="1"/>
    <xf numFmtId="2" fontId="0" fillId="0" borderId="0" xfId="0" applyNumberFormat="1" applyFill="1"/>
    <xf numFmtId="2" fontId="18" fillId="0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/>
    </xf>
    <xf numFmtId="2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2" fontId="0" fillId="0" borderId="0" xfId="0" applyNumberFormat="1" applyFill="1" applyAlignment="1">
      <alignment horizontal="center"/>
    </xf>
    <xf numFmtId="2" fontId="18" fillId="0" borderId="2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8" fillId="0" borderId="0" xfId="0" applyFont="1" applyFill="1" applyBorder="1"/>
    <xf numFmtId="0" fontId="27" fillId="0" borderId="0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0" fillId="0" borderId="0" xfId="4" applyFont="1" applyFill="1" applyBorder="1" applyAlignment="1">
      <alignment horizontal="left" vertical="center"/>
    </xf>
    <xf numFmtId="0" fontId="31" fillId="0" borderId="0" xfId="4" applyFont="1" applyFill="1" applyBorder="1" applyAlignment="1">
      <alignment horizontal="left" vertical="top" wrapText="1"/>
    </xf>
    <xf numFmtId="0" fontId="3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 wrapText="1"/>
    </xf>
    <xf numFmtId="0" fontId="31" fillId="0" borderId="0" xfId="4" applyFont="1" applyFill="1" applyBorder="1" applyAlignment="1">
      <alignment horizontal="left" vertical="top"/>
    </xf>
    <xf numFmtId="0" fontId="26" fillId="0" borderId="0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0" fontId="31" fillId="0" borderId="0" xfId="4" applyFont="1" applyFill="1" applyBorder="1" applyAlignment="1">
      <alignment vertical="top" wrapText="1"/>
    </xf>
    <xf numFmtId="0" fontId="31" fillId="0" borderId="0" xfId="4" applyFont="1" applyFill="1" applyBorder="1" applyAlignment="1">
      <alignment vertical="top"/>
    </xf>
  </cellXfs>
  <cellStyles count="5">
    <cellStyle name="Comma" xfId="1" builtinId="3"/>
    <cellStyle name="Normal" xfId="0" builtinId="0"/>
    <cellStyle name="Normal 10" xfId="2"/>
    <cellStyle name="Normal 2" xfId="4"/>
    <cellStyle name="Обычный_Лист1" xfId="3"/>
  </cellStyles>
  <dxfs count="5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49"/>
  <sheetViews>
    <sheetView tabSelected="1" zoomScaleNormal="100" zoomScaleSheetLayoutView="100" workbookViewId="0">
      <selection activeCell="I1" sqref="I1"/>
    </sheetView>
  </sheetViews>
  <sheetFormatPr defaultRowHeight="34.5" customHeight="1" x14ac:dyDescent="0.25"/>
  <cols>
    <col min="1" max="1" width="3.42578125" style="2" customWidth="1"/>
    <col min="2" max="2" width="16.5703125" style="2" customWidth="1"/>
    <col min="3" max="3" width="39.5703125" style="3" customWidth="1"/>
    <col min="4" max="4" width="12" style="3" customWidth="1"/>
    <col min="5" max="5" width="11.5703125" style="2" customWidth="1"/>
    <col min="6" max="6" width="15.42578125" style="2" customWidth="1"/>
    <col min="7" max="7" width="12.28515625" style="2" customWidth="1"/>
    <col min="8" max="8" width="18.85546875" style="2" customWidth="1"/>
    <col min="9" max="245" width="9.140625" style="2"/>
    <col min="246" max="246" width="4.5703125" style="2" customWidth="1"/>
    <col min="247" max="247" width="16.5703125" style="2" customWidth="1"/>
    <col min="248" max="248" width="39.5703125" style="2" customWidth="1"/>
    <col min="249" max="249" width="12" style="2" customWidth="1"/>
    <col min="250" max="250" width="11.5703125" style="2" customWidth="1"/>
    <col min="251" max="251" width="15.42578125" style="2" customWidth="1"/>
    <col min="252" max="252" width="12.28515625" style="2" customWidth="1"/>
    <col min="253" max="253" width="17.7109375" style="2" customWidth="1"/>
    <col min="254" max="16384" width="9.140625" style="2"/>
  </cols>
  <sheetData>
    <row r="1" spans="1:253" ht="20.25" customHeight="1" x14ac:dyDescent="0.25">
      <c r="H1" s="234" t="s">
        <v>248</v>
      </c>
    </row>
    <row r="2" spans="1:253" s="3" customFormat="1" ht="21.75" customHeight="1" x14ac:dyDescent="0.25">
      <c r="A2" s="205" t="s">
        <v>0</v>
      </c>
      <c r="B2" s="205"/>
      <c r="C2" s="205"/>
      <c r="D2" s="205"/>
      <c r="E2" s="205"/>
      <c r="F2" s="205"/>
      <c r="G2" s="205"/>
      <c r="H2" s="20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customFormat="1" ht="15" x14ac:dyDescent="0.2">
      <c r="A3" s="75" t="s">
        <v>244</v>
      </c>
      <c r="B3" s="198"/>
      <c r="C3" s="198"/>
      <c r="D3" s="198"/>
      <c r="E3" s="198"/>
      <c r="F3" s="198"/>
      <c r="G3" s="198"/>
      <c r="H3" s="198"/>
    </row>
    <row r="4" spans="1:253" ht="13.5" x14ac:dyDescent="0.25">
      <c r="A4" s="206" t="s">
        <v>2</v>
      </c>
      <c r="B4" s="206" t="s">
        <v>3</v>
      </c>
      <c r="C4" s="207" t="s">
        <v>4</v>
      </c>
      <c r="D4" s="206" t="s">
        <v>5</v>
      </c>
      <c r="E4" s="206"/>
      <c r="F4" s="206"/>
      <c r="G4" s="206"/>
      <c r="H4" s="206" t="s">
        <v>6</v>
      </c>
    </row>
    <row r="5" spans="1:253" ht="67.5" x14ac:dyDescent="0.25">
      <c r="A5" s="206"/>
      <c r="B5" s="206"/>
      <c r="C5" s="207"/>
      <c r="D5" s="148" t="s">
        <v>7</v>
      </c>
      <c r="E5" s="147" t="s">
        <v>8</v>
      </c>
      <c r="F5" s="147" t="s">
        <v>9</v>
      </c>
      <c r="G5" s="147" t="s">
        <v>10</v>
      </c>
      <c r="H5" s="206"/>
    </row>
    <row r="6" spans="1:253" ht="13.5" x14ac:dyDescent="0.25">
      <c r="A6" s="5">
        <v>1</v>
      </c>
      <c r="B6" s="6">
        <v>2</v>
      </c>
      <c r="C6" s="6">
        <v>4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253" ht="36" customHeight="1" x14ac:dyDescent="0.25">
      <c r="A7" s="7"/>
      <c r="B7" s="200" t="s">
        <v>11</v>
      </c>
      <c r="C7" s="201"/>
      <c r="D7" s="202"/>
      <c r="E7" s="203"/>
      <c r="F7" s="203"/>
      <c r="G7" s="203"/>
      <c r="H7" s="204"/>
    </row>
    <row r="8" spans="1:253" ht="13.5" x14ac:dyDescent="0.25">
      <c r="A8" s="8">
        <v>1</v>
      </c>
      <c r="B8" s="147"/>
      <c r="C8" s="9" t="s">
        <v>12</v>
      </c>
      <c r="D8" s="10"/>
      <c r="E8" s="11"/>
      <c r="F8" s="11"/>
      <c r="G8" s="11"/>
      <c r="H8" s="11"/>
    </row>
    <row r="9" spans="1:253" ht="46.5" customHeight="1" x14ac:dyDescent="0.25">
      <c r="A9" s="147">
        <v>3</v>
      </c>
      <c r="B9" s="147"/>
      <c r="C9" s="12" t="s">
        <v>13</v>
      </c>
      <c r="D9" s="13"/>
      <c r="E9" s="11"/>
      <c r="F9" s="11"/>
      <c r="G9" s="11"/>
      <c r="H9" s="14"/>
    </row>
    <row r="10" spans="1:253" ht="13.5" x14ac:dyDescent="0.25">
      <c r="A10" s="147"/>
      <c r="B10" s="15"/>
      <c r="C10" s="16" t="s">
        <v>14</v>
      </c>
      <c r="D10" s="199"/>
      <c r="E10" s="17"/>
      <c r="F10" s="17"/>
      <c r="G10" s="199"/>
      <c r="H10" s="199"/>
    </row>
    <row r="11" spans="1:253" s="3" customFormat="1" ht="19.5" customHeight="1" x14ac:dyDescent="0.25">
      <c r="A11" s="148"/>
      <c r="B11" s="18"/>
      <c r="C11" s="19" t="s">
        <v>15</v>
      </c>
      <c r="D11" s="13"/>
      <c r="E11" s="10"/>
      <c r="F11" s="10"/>
      <c r="G11" s="10"/>
      <c r="H11" s="13"/>
    </row>
    <row r="12" spans="1:253" ht="13.5" x14ac:dyDescent="0.25">
      <c r="A12" s="147">
        <v>4</v>
      </c>
      <c r="B12" s="18"/>
      <c r="C12" s="9" t="s">
        <v>16</v>
      </c>
      <c r="D12" s="13"/>
      <c r="E12" s="11"/>
      <c r="F12" s="11"/>
      <c r="G12" s="11"/>
      <c r="H12" s="14"/>
      <c r="I12" s="22"/>
    </row>
    <row r="13" spans="1:253" ht="13.5" x14ac:dyDescent="0.25">
      <c r="A13" s="147"/>
      <c r="B13" s="15"/>
      <c r="C13" s="16" t="s">
        <v>17</v>
      </c>
      <c r="D13" s="199"/>
      <c r="E13" s="17"/>
      <c r="F13" s="17"/>
      <c r="G13" s="17"/>
      <c r="H13" s="199"/>
    </row>
    <row r="14" spans="1:253" s="3" customFormat="1" ht="13.5" x14ac:dyDescent="0.25">
      <c r="A14" s="148"/>
      <c r="B14" s="18"/>
      <c r="C14" s="16" t="s">
        <v>18</v>
      </c>
      <c r="D14" s="13"/>
      <c r="E14" s="10"/>
      <c r="F14" s="10"/>
      <c r="G14" s="10"/>
      <c r="H14" s="13"/>
    </row>
    <row r="15" spans="1:253" ht="13.5" x14ac:dyDescent="0.25">
      <c r="A15" s="147">
        <v>5</v>
      </c>
      <c r="B15" s="18"/>
      <c r="C15" s="9" t="s">
        <v>19</v>
      </c>
      <c r="D15" s="13"/>
      <c r="E15" s="11"/>
      <c r="F15" s="11"/>
      <c r="G15" s="11"/>
      <c r="H15" s="14"/>
      <c r="I15" s="22"/>
    </row>
    <row r="16" spans="1:253" ht="13.5" x14ac:dyDescent="0.25">
      <c r="A16" s="147"/>
      <c r="B16" s="15"/>
      <c r="C16" s="16" t="s">
        <v>20</v>
      </c>
      <c r="D16" s="199"/>
      <c r="E16" s="17"/>
      <c r="F16" s="17"/>
      <c r="G16" s="17"/>
      <c r="H16" s="199"/>
    </row>
    <row r="17" spans="1:10" s="3" customFormat="1" ht="13.5" x14ac:dyDescent="0.25">
      <c r="A17" s="148"/>
      <c r="B17" s="18"/>
      <c r="C17" s="20" t="s">
        <v>21</v>
      </c>
      <c r="D17" s="13"/>
      <c r="E17" s="10"/>
      <c r="F17" s="10"/>
      <c r="G17" s="10"/>
      <c r="H17" s="13"/>
    </row>
    <row r="18" spans="1:10" ht="13.5" x14ac:dyDescent="0.25">
      <c r="A18" s="147">
        <v>6</v>
      </c>
      <c r="B18" s="18"/>
      <c r="C18" s="9" t="s">
        <v>22</v>
      </c>
      <c r="D18" s="13"/>
      <c r="E18" s="11"/>
      <c r="F18" s="11"/>
      <c r="G18" s="11"/>
      <c r="H18" s="14"/>
      <c r="I18" s="22"/>
    </row>
    <row r="19" spans="1:10" ht="13.5" x14ac:dyDescent="0.25">
      <c r="A19" s="147"/>
      <c r="B19" s="15"/>
      <c r="C19" s="16" t="s">
        <v>23</v>
      </c>
      <c r="D19" s="199"/>
      <c r="E19" s="17"/>
      <c r="F19" s="17"/>
      <c r="G19" s="17"/>
      <c r="H19" s="199"/>
    </row>
    <row r="20" spans="1:10" ht="27" x14ac:dyDescent="0.25">
      <c r="A20" s="147"/>
      <c r="B20" s="147"/>
      <c r="C20" s="19" t="s">
        <v>24</v>
      </c>
      <c r="D20" s="13"/>
      <c r="E20" s="11"/>
      <c r="F20" s="11"/>
      <c r="G20" s="11"/>
      <c r="H20" s="14"/>
    </row>
    <row r="21" spans="1:10" ht="27" x14ac:dyDescent="0.25">
      <c r="A21" s="147">
        <v>7</v>
      </c>
      <c r="B21" s="21"/>
      <c r="C21" s="1" t="s">
        <v>25</v>
      </c>
      <c r="D21" s="13"/>
      <c r="E21" s="11"/>
      <c r="F21" s="11"/>
      <c r="G21" s="11"/>
      <c r="H21" s="14"/>
    </row>
    <row r="22" spans="1:10" ht="13.5" x14ac:dyDescent="0.25">
      <c r="A22" s="147">
        <v>8</v>
      </c>
      <c r="B22" s="21"/>
      <c r="C22" s="1" t="s">
        <v>26</v>
      </c>
      <c r="D22" s="13"/>
      <c r="E22" s="11"/>
      <c r="F22" s="11"/>
      <c r="G22" s="11"/>
      <c r="H22" s="14"/>
      <c r="I22" s="22"/>
    </row>
    <row r="23" spans="1:10" ht="13.5" x14ac:dyDescent="0.25">
      <c r="A23" s="147">
        <v>9</v>
      </c>
      <c r="B23" s="21"/>
      <c r="C23" s="9" t="s">
        <v>27</v>
      </c>
      <c r="D23" s="13"/>
      <c r="E23" s="11"/>
      <c r="F23" s="11"/>
      <c r="G23" s="11"/>
      <c r="H23" s="14"/>
    </row>
    <row r="24" spans="1:10" ht="30" customHeight="1" x14ac:dyDescent="0.25">
      <c r="A24" s="147">
        <v>10</v>
      </c>
      <c r="B24" s="21"/>
      <c r="C24" s="9" t="s">
        <v>28</v>
      </c>
      <c r="D24" s="13"/>
      <c r="E24" s="11"/>
      <c r="F24" s="11"/>
      <c r="G24" s="11"/>
      <c r="H24" s="14"/>
    </row>
    <row r="25" spans="1:10" ht="13.5" x14ac:dyDescent="0.25">
      <c r="A25" s="147"/>
      <c r="B25" s="15"/>
      <c r="C25" s="16" t="s">
        <v>29</v>
      </c>
      <c r="D25" s="199"/>
      <c r="E25" s="17"/>
      <c r="F25" s="17"/>
      <c r="G25" s="17"/>
      <c r="H25" s="199"/>
    </row>
    <row r="26" spans="1:10" ht="13.5" x14ac:dyDescent="0.25">
      <c r="A26" s="147"/>
      <c r="B26" s="15"/>
      <c r="C26" s="16" t="s">
        <v>30</v>
      </c>
      <c r="D26" s="199"/>
      <c r="E26" s="199"/>
      <c r="F26" s="17"/>
      <c r="G26" s="199"/>
      <c r="H26" s="199"/>
      <c r="I26" s="22"/>
      <c r="J26" s="22"/>
    </row>
    <row r="27" spans="1:10" ht="27" x14ac:dyDescent="0.25">
      <c r="A27" s="171">
        <v>12</v>
      </c>
      <c r="B27" s="172"/>
      <c r="C27" s="9" t="s">
        <v>31</v>
      </c>
      <c r="D27" s="10"/>
      <c r="E27" s="10"/>
      <c r="F27" s="10"/>
      <c r="G27" s="13"/>
      <c r="H27" s="199"/>
    </row>
    <row r="28" spans="1:10" ht="13.5" x14ac:dyDescent="0.25">
      <c r="A28" s="25"/>
      <c r="B28" s="25"/>
      <c r="C28" s="148" t="s">
        <v>32</v>
      </c>
      <c r="D28" s="13"/>
      <c r="E28" s="11"/>
      <c r="F28" s="11"/>
      <c r="G28" s="14"/>
      <c r="H28" s="199"/>
    </row>
    <row r="29" spans="1:10" ht="13.5" x14ac:dyDescent="0.25">
      <c r="A29" s="147">
        <v>13</v>
      </c>
      <c r="B29" s="147"/>
      <c r="C29" s="148" t="s">
        <v>33</v>
      </c>
      <c r="D29" s="10"/>
      <c r="E29" s="11"/>
      <c r="F29" s="11"/>
      <c r="G29" s="14"/>
      <c r="H29" s="197"/>
    </row>
    <row r="30" spans="1:10" ht="27" x14ac:dyDescent="0.25">
      <c r="A30" s="147"/>
      <c r="B30" s="15"/>
      <c r="C30" s="148" t="s">
        <v>34</v>
      </c>
      <c r="D30" s="13"/>
      <c r="E30" s="11"/>
      <c r="F30" s="11"/>
      <c r="G30" s="14"/>
      <c r="H30" s="197"/>
    </row>
    <row r="31" spans="1:10" ht="13.5" x14ac:dyDescent="0.25"/>
    <row r="32" spans="1:10" ht="13.5" x14ac:dyDescent="0.25"/>
    <row r="33" spans="1:13" ht="27" customHeight="1" x14ac:dyDescent="0.25">
      <c r="A33" s="235" t="s">
        <v>249</v>
      </c>
      <c r="B33" s="235"/>
      <c r="C33" s="235"/>
      <c r="D33" s="235"/>
      <c r="E33" s="235"/>
      <c r="F33" s="235"/>
      <c r="G33" s="235"/>
      <c r="H33" s="235"/>
      <c r="I33" s="249"/>
      <c r="J33" s="249"/>
      <c r="K33" s="249"/>
      <c r="L33" s="249"/>
      <c r="M33" s="249"/>
    </row>
    <row r="34" spans="1:13" ht="13.5" x14ac:dyDescent="0.25">
      <c r="A34" s="236" t="s">
        <v>250</v>
      </c>
      <c r="B34" s="236"/>
      <c r="C34" s="236"/>
      <c r="D34" s="236"/>
      <c r="E34" s="236"/>
      <c r="F34" s="236"/>
      <c r="G34" s="236"/>
      <c r="H34" s="236"/>
      <c r="I34" s="239"/>
      <c r="J34" s="239"/>
      <c r="K34" s="239"/>
      <c r="L34" s="239"/>
      <c r="M34" s="239"/>
    </row>
    <row r="35" spans="1:13" ht="18" x14ac:dyDescent="0.25">
      <c r="A35" s="237"/>
      <c r="B35" s="238"/>
      <c r="C35" s="238"/>
      <c r="D35" s="238"/>
      <c r="E35" s="238"/>
      <c r="F35" s="239"/>
      <c r="G35" s="237"/>
      <c r="H35" s="237"/>
      <c r="I35" s="240"/>
      <c r="J35" s="240"/>
      <c r="K35" s="240"/>
      <c r="L35" s="240"/>
      <c r="M35" s="240"/>
    </row>
    <row r="36" spans="1:13" ht="18" x14ac:dyDescent="0.25">
      <c r="A36" s="237"/>
      <c r="B36" s="241"/>
      <c r="C36" s="241"/>
      <c r="D36" s="241"/>
      <c r="E36" s="241"/>
      <c r="F36" s="241"/>
      <c r="G36" s="237"/>
      <c r="H36" s="237"/>
      <c r="I36" s="240"/>
      <c r="J36" s="240"/>
      <c r="K36" s="240"/>
      <c r="L36" s="240"/>
      <c r="M36" s="240"/>
    </row>
    <row r="37" spans="1:13" ht="18" x14ac:dyDescent="0.25">
      <c r="A37" s="237"/>
      <c r="B37" s="241"/>
      <c r="C37" s="241"/>
      <c r="D37" s="241"/>
      <c r="E37" s="241"/>
      <c r="F37" s="241"/>
      <c r="G37" s="237"/>
      <c r="H37" s="237"/>
      <c r="I37" s="240"/>
      <c r="J37" s="240"/>
      <c r="K37" s="240"/>
      <c r="L37" s="240"/>
      <c r="M37" s="240"/>
    </row>
    <row r="38" spans="1:13" ht="15" x14ac:dyDescent="0.25">
      <c r="A38" s="242" t="s">
        <v>251</v>
      </c>
      <c r="B38" s="242"/>
      <c r="C38" s="242"/>
      <c r="D38" s="242"/>
      <c r="E38" s="242"/>
      <c r="F38" s="242"/>
      <c r="G38" s="242"/>
      <c r="H38" s="242"/>
      <c r="I38" s="250"/>
      <c r="J38" s="250"/>
      <c r="K38" s="250"/>
      <c r="L38" s="250"/>
      <c r="M38" s="250"/>
    </row>
    <row r="39" spans="1:13" ht="77.25" customHeight="1" x14ac:dyDescent="0.25">
      <c r="A39" s="243" t="s">
        <v>252</v>
      </c>
      <c r="B39" s="243"/>
      <c r="C39" s="243"/>
      <c r="D39" s="243"/>
      <c r="E39" s="243"/>
      <c r="F39" s="243"/>
      <c r="G39" s="243"/>
      <c r="H39" s="243"/>
      <c r="I39" s="251"/>
      <c r="J39" s="251"/>
      <c r="K39" s="251"/>
      <c r="L39" s="251"/>
      <c r="M39" s="251"/>
    </row>
    <row r="40" spans="1:13" ht="18" x14ac:dyDescent="0.25">
      <c r="A40" s="237"/>
      <c r="B40" s="241"/>
      <c r="C40" s="244"/>
      <c r="D40" s="245"/>
      <c r="E40" s="245"/>
      <c r="F40" s="245"/>
      <c r="G40" s="237"/>
      <c r="H40" s="237"/>
      <c r="I40" s="240"/>
      <c r="J40" s="240"/>
      <c r="K40" s="240"/>
      <c r="L40" s="240"/>
      <c r="M40" s="240"/>
    </row>
    <row r="41" spans="1:13" ht="60" customHeight="1" x14ac:dyDescent="0.25">
      <c r="A41" s="243" t="s">
        <v>253</v>
      </c>
      <c r="B41" s="243"/>
      <c r="C41" s="243"/>
      <c r="D41" s="243"/>
      <c r="E41" s="243"/>
      <c r="F41" s="243"/>
      <c r="G41" s="243"/>
      <c r="H41" s="243"/>
      <c r="I41" s="251"/>
      <c r="J41" s="251"/>
      <c r="K41" s="251"/>
      <c r="L41" s="251"/>
      <c r="M41" s="251"/>
    </row>
    <row r="42" spans="1:13" ht="18" x14ac:dyDescent="0.25">
      <c r="A42" s="237"/>
      <c r="B42" s="241"/>
      <c r="C42" s="246" t="s">
        <v>254</v>
      </c>
      <c r="D42" s="247"/>
      <c r="E42" s="247"/>
      <c r="F42" s="247"/>
      <c r="G42" s="237"/>
      <c r="H42" s="237"/>
      <c r="I42" s="240"/>
      <c r="J42" s="240"/>
      <c r="K42" s="240"/>
      <c r="L42" s="240"/>
      <c r="M42" s="240"/>
    </row>
    <row r="43" spans="1:13" ht="15" customHeight="1" x14ac:dyDescent="0.25">
      <c r="A43" s="243" t="s">
        <v>255</v>
      </c>
      <c r="B43" s="243"/>
      <c r="C43" s="243"/>
      <c r="D43" s="243"/>
      <c r="E43" s="243"/>
      <c r="F43" s="243"/>
      <c r="G43" s="243"/>
      <c r="H43" s="243"/>
      <c r="I43" s="251"/>
      <c r="J43" s="251"/>
      <c r="K43" s="251"/>
      <c r="L43" s="251"/>
      <c r="M43" s="251"/>
    </row>
    <row r="44" spans="1:13" ht="18" x14ac:dyDescent="0.25">
      <c r="A44" s="237"/>
      <c r="B44" s="241"/>
      <c r="C44" s="246"/>
      <c r="D44" s="247"/>
      <c r="E44" s="247"/>
      <c r="F44" s="247"/>
      <c r="G44" s="237"/>
      <c r="H44" s="237"/>
      <c r="I44" s="240"/>
      <c r="J44" s="240"/>
      <c r="K44" s="240"/>
      <c r="L44" s="240"/>
      <c r="M44" s="240"/>
    </row>
    <row r="45" spans="1:13" ht="33" customHeight="1" x14ac:dyDescent="0.25">
      <c r="A45" s="243" t="s">
        <v>256</v>
      </c>
      <c r="B45" s="243"/>
      <c r="C45" s="243"/>
      <c r="D45" s="243"/>
      <c r="E45" s="243"/>
      <c r="F45" s="243"/>
      <c r="G45" s="243"/>
      <c r="H45" s="243"/>
      <c r="I45" s="251"/>
      <c r="J45" s="251"/>
      <c r="K45" s="251"/>
      <c r="L45" s="251"/>
      <c r="M45" s="251"/>
    </row>
    <row r="46" spans="1:13" ht="18" x14ac:dyDescent="0.25">
      <c r="A46" s="237"/>
      <c r="B46" s="241"/>
      <c r="C46" s="246"/>
      <c r="D46" s="247"/>
      <c r="E46" s="247"/>
      <c r="F46" s="247"/>
      <c r="G46" s="237"/>
      <c r="H46" s="237"/>
      <c r="I46" s="240"/>
      <c r="J46" s="240"/>
      <c r="K46" s="240"/>
      <c r="L46" s="240"/>
      <c r="M46" s="240"/>
    </row>
    <row r="47" spans="1:13" ht="44.25" customHeight="1" x14ac:dyDescent="0.25">
      <c r="A47" s="243" t="s">
        <v>257</v>
      </c>
      <c r="B47" s="243"/>
      <c r="C47" s="243"/>
      <c r="D47" s="243"/>
      <c r="E47" s="243"/>
      <c r="F47" s="243"/>
      <c r="G47" s="243"/>
      <c r="H47" s="243"/>
      <c r="I47" s="251"/>
      <c r="J47" s="251"/>
      <c r="K47" s="251"/>
      <c r="L47" s="251"/>
      <c r="M47" s="251"/>
    </row>
    <row r="48" spans="1:13" ht="18" x14ac:dyDescent="0.25">
      <c r="A48" s="237"/>
      <c r="B48" s="241"/>
      <c r="C48" s="246"/>
      <c r="D48" s="247"/>
      <c r="E48" s="247"/>
      <c r="F48" s="247"/>
      <c r="G48" s="237"/>
      <c r="H48" s="237"/>
      <c r="I48" s="240"/>
      <c r="J48" s="240"/>
      <c r="K48" s="240"/>
      <c r="L48" s="240"/>
      <c r="M48" s="240"/>
    </row>
    <row r="49" spans="1:13" ht="15" x14ac:dyDescent="0.25">
      <c r="A49" s="248" t="s">
        <v>258</v>
      </c>
      <c r="B49" s="248"/>
      <c r="C49" s="248"/>
      <c r="D49" s="248"/>
      <c r="E49" s="248"/>
      <c r="F49" s="248"/>
      <c r="G49" s="248"/>
      <c r="H49" s="248"/>
      <c r="I49" s="252"/>
      <c r="J49" s="252"/>
      <c r="K49" s="252"/>
      <c r="L49" s="252"/>
      <c r="M49" s="252"/>
    </row>
    <row r="50" spans="1:13" ht="18" x14ac:dyDescent="0.25">
      <c r="A50" s="237"/>
      <c r="B50" s="241"/>
      <c r="C50" s="246"/>
      <c r="D50" s="247"/>
      <c r="E50" s="247"/>
      <c r="F50" s="247"/>
      <c r="G50" s="237"/>
      <c r="H50" s="237"/>
      <c r="I50" s="240"/>
      <c r="J50" s="240"/>
      <c r="K50" s="240"/>
      <c r="L50" s="240"/>
      <c r="M50" s="240"/>
    </row>
    <row r="51" spans="1:13" ht="15" x14ac:dyDescent="0.25">
      <c r="A51" s="248" t="s">
        <v>259</v>
      </c>
      <c r="B51" s="248"/>
      <c r="C51" s="248"/>
      <c r="D51" s="248"/>
      <c r="E51" s="248"/>
      <c r="F51" s="248"/>
      <c r="G51" s="248"/>
      <c r="H51" s="248"/>
      <c r="I51" s="252"/>
      <c r="J51" s="252"/>
      <c r="K51" s="252"/>
      <c r="L51" s="252"/>
      <c r="M51" s="252"/>
    </row>
    <row r="52" spans="1:13" ht="18" x14ac:dyDescent="0.25">
      <c r="A52" s="237"/>
      <c r="B52" s="241"/>
      <c r="C52" s="246"/>
      <c r="D52" s="247"/>
      <c r="E52" s="247"/>
      <c r="F52" s="247"/>
      <c r="G52" s="237"/>
      <c r="H52" s="237"/>
      <c r="I52" s="240"/>
      <c r="J52" s="240"/>
      <c r="K52" s="240"/>
      <c r="L52" s="240"/>
      <c r="M52" s="240"/>
    </row>
    <row r="53" spans="1:13" ht="36" customHeight="1" x14ac:dyDescent="0.25">
      <c r="A53" s="243" t="s">
        <v>260</v>
      </c>
      <c r="B53" s="243"/>
      <c r="C53" s="243"/>
      <c r="D53" s="243"/>
      <c r="E53" s="243"/>
      <c r="F53" s="243"/>
      <c r="G53" s="243"/>
      <c r="H53" s="243"/>
      <c r="I53" s="251"/>
      <c r="J53" s="251"/>
      <c r="K53" s="251"/>
      <c r="L53" s="251"/>
      <c r="M53" s="251"/>
    </row>
    <row r="54" spans="1:13" ht="13.5" x14ac:dyDescent="0.25"/>
    <row r="55" spans="1:13" ht="13.5" x14ac:dyDescent="0.25"/>
    <row r="56" spans="1:13" ht="13.5" x14ac:dyDescent="0.25"/>
    <row r="57" spans="1:13" ht="13.5" x14ac:dyDescent="0.25"/>
    <row r="58" spans="1:13" ht="13.5" x14ac:dyDescent="0.25"/>
    <row r="59" spans="1:13" ht="13.5" x14ac:dyDescent="0.25"/>
    <row r="60" spans="1:13" ht="13.5" x14ac:dyDescent="0.25"/>
    <row r="61" spans="1:13" ht="13.5" x14ac:dyDescent="0.25"/>
    <row r="62" spans="1:13" ht="13.5" x14ac:dyDescent="0.25"/>
    <row r="63" spans="1:13" ht="13.5" x14ac:dyDescent="0.25"/>
    <row r="64" spans="1:13" ht="13.5" x14ac:dyDescent="0.25"/>
    <row r="65" ht="13.5" x14ac:dyDescent="0.25"/>
    <row r="66" ht="13.5" x14ac:dyDescent="0.25"/>
    <row r="67" ht="13.5" x14ac:dyDescent="0.25"/>
    <row r="68" ht="13.5" x14ac:dyDescent="0.25"/>
    <row r="69" ht="13.5" x14ac:dyDescent="0.25"/>
    <row r="70" ht="13.5" x14ac:dyDescent="0.25"/>
    <row r="71" ht="13.5" x14ac:dyDescent="0.25"/>
    <row r="72" ht="13.5" x14ac:dyDescent="0.25"/>
    <row r="73" ht="13.5" x14ac:dyDescent="0.25"/>
    <row r="74" ht="13.5" x14ac:dyDescent="0.25"/>
    <row r="75" ht="13.5" x14ac:dyDescent="0.25"/>
    <row r="76" ht="13.5" x14ac:dyDescent="0.25"/>
    <row r="77" ht="13.5" x14ac:dyDescent="0.25"/>
    <row r="78" ht="13.5" x14ac:dyDescent="0.25"/>
    <row r="79" ht="13.5" x14ac:dyDescent="0.25"/>
    <row r="80" ht="13.5" x14ac:dyDescent="0.25"/>
    <row r="81" ht="13.5" x14ac:dyDescent="0.25"/>
    <row r="82" ht="13.5" x14ac:dyDescent="0.25"/>
    <row r="83" ht="13.5" x14ac:dyDescent="0.25"/>
    <row r="84" ht="13.5" x14ac:dyDescent="0.25"/>
    <row r="85" ht="13.5" x14ac:dyDescent="0.25"/>
    <row r="86" ht="13.5" x14ac:dyDescent="0.25"/>
    <row r="87" ht="13.5" x14ac:dyDescent="0.25"/>
    <row r="88" ht="13.5" x14ac:dyDescent="0.25"/>
    <row r="89" ht="13.5" x14ac:dyDescent="0.25"/>
    <row r="90" ht="13.5" x14ac:dyDescent="0.25"/>
    <row r="91" ht="13.5" x14ac:dyDescent="0.25"/>
    <row r="92" ht="13.5" x14ac:dyDescent="0.25"/>
    <row r="93" ht="13.5" x14ac:dyDescent="0.25"/>
    <row r="94" ht="13.5" x14ac:dyDescent="0.25"/>
    <row r="95" ht="13.5" x14ac:dyDescent="0.25"/>
    <row r="96" ht="13.5" x14ac:dyDescent="0.25"/>
    <row r="97" ht="13.5" x14ac:dyDescent="0.25"/>
    <row r="98" ht="13.5" x14ac:dyDescent="0.25"/>
    <row r="99" ht="13.5" x14ac:dyDescent="0.25"/>
    <row r="100" ht="13.5" x14ac:dyDescent="0.25"/>
    <row r="101" ht="13.5" x14ac:dyDescent="0.25"/>
    <row r="102" ht="13.5" x14ac:dyDescent="0.25"/>
    <row r="103" ht="13.5" x14ac:dyDescent="0.25"/>
    <row r="104" ht="13.5" x14ac:dyDescent="0.25"/>
    <row r="105" ht="13.5" x14ac:dyDescent="0.25"/>
    <row r="106" ht="13.5" x14ac:dyDescent="0.25"/>
    <row r="107" ht="13.5" x14ac:dyDescent="0.25"/>
    <row r="108" ht="13.5" x14ac:dyDescent="0.25"/>
    <row r="109" ht="13.5" x14ac:dyDescent="0.25"/>
    <row r="110" ht="13.5" x14ac:dyDescent="0.25"/>
    <row r="111" ht="13.5" x14ac:dyDescent="0.25"/>
    <row r="112" ht="13.5" x14ac:dyDescent="0.25"/>
    <row r="113" ht="13.5" x14ac:dyDescent="0.25"/>
    <row r="114" ht="13.5" x14ac:dyDescent="0.25"/>
    <row r="115" ht="13.5" x14ac:dyDescent="0.25"/>
    <row r="116" ht="13.5" x14ac:dyDescent="0.25"/>
    <row r="117" ht="13.5" x14ac:dyDescent="0.25"/>
    <row r="118" ht="13.5" x14ac:dyDescent="0.25"/>
    <row r="119" ht="13.5" x14ac:dyDescent="0.25"/>
    <row r="120" ht="13.5" x14ac:dyDescent="0.25"/>
    <row r="121" ht="13.5" x14ac:dyDescent="0.25"/>
    <row r="122" ht="13.5" x14ac:dyDescent="0.25"/>
    <row r="123" ht="13.5" x14ac:dyDescent="0.25"/>
    <row r="124" ht="13.5" x14ac:dyDescent="0.25"/>
    <row r="125" ht="13.5" x14ac:dyDescent="0.25"/>
    <row r="126" ht="13.5" x14ac:dyDescent="0.25"/>
    <row r="127" ht="13.5" x14ac:dyDescent="0.25"/>
    <row r="128" ht="13.5" x14ac:dyDescent="0.25"/>
    <row r="129" ht="13.5" x14ac:dyDescent="0.25"/>
    <row r="130" ht="13.5" x14ac:dyDescent="0.25"/>
    <row r="131" ht="13.5" x14ac:dyDescent="0.25"/>
    <row r="132" ht="13.5" x14ac:dyDescent="0.25"/>
    <row r="133" ht="13.5" x14ac:dyDescent="0.25"/>
    <row r="134" ht="13.5" x14ac:dyDescent="0.25"/>
    <row r="135" ht="13.5" x14ac:dyDescent="0.25"/>
    <row r="136" ht="13.5" x14ac:dyDescent="0.25"/>
    <row r="137" ht="13.5" x14ac:dyDescent="0.25"/>
    <row r="138" ht="13.5" x14ac:dyDescent="0.25"/>
    <row r="139" ht="13.5" x14ac:dyDescent="0.25"/>
    <row r="140" ht="13.5" x14ac:dyDescent="0.25"/>
    <row r="141" ht="13.5" x14ac:dyDescent="0.25"/>
    <row r="142" ht="13.5" x14ac:dyDescent="0.25"/>
    <row r="143" ht="13.5" x14ac:dyDescent="0.25"/>
    <row r="144" ht="13.5" x14ac:dyDescent="0.25"/>
    <row r="145" ht="13.5" x14ac:dyDescent="0.25"/>
    <row r="146" ht="13.5" x14ac:dyDescent="0.25"/>
    <row r="147" ht="13.5" x14ac:dyDescent="0.25"/>
    <row r="148" ht="13.5" x14ac:dyDescent="0.25"/>
    <row r="149" ht="13.5" x14ac:dyDescent="0.25"/>
  </sheetData>
  <mergeCells count="19">
    <mergeCell ref="A33:H33"/>
    <mergeCell ref="A34:H34"/>
    <mergeCell ref="A38:H38"/>
    <mergeCell ref="A39:H39"/>
    <mergeCell ref="A41:H41"/>
    <mergeCell ref="A43:H43"/>
    <mergeCell ref="A45:H45"/>
    <mergeCell ref="A47:H47"/>
    <mergeCell ref="A49:H49"/>
    <mergeCell ref="A51:H51"/>
    <mergeCell ref="A53:H53"/>
    <mergeCell ref="A2:H2"/>
    <mergeCell ref="A4:A5"/>
    <mergeCell ref="B4:B5"/>
    <mergeCell ref="C4:C5"/>
    <mergeCell ref="D4:G4"/>
    <mergeCell ref="H4:H5"/>
    <mergeCell ref="B7:C7"/>
    <mergeCell ref="D7:H7"/>
  </mergeCells>
  <pageMargins left="0.11811023622047245" right="0.11811023622047245" top="0.6692913385826772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4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8.7109375" customWidth="1"/>
    <col min="3" max="3" width="26.140625" style="2" customWidth="1"/>
    <col min="5" max="5" width="9.85546875" bestFit="1" customWidth="1"/>
    <col min="6" max="12" width="9.28515625" bestFit="1" customWidth="1"/>
  </cols>
  <sheetData>
    <row r="1" spans="1:233" ht="15.75" x14ac:dyDescent="0.25">
      <c r="A1" s="75" t="s">
        <v>0</v>
      </c>
    </row>
    <row r="2" spans="1:233" ht="15.75" x14ac:dyDescent="0.25">
      <c r="A2" s="75" t="s">
        <v>1</v>
      </c>
    </row>
    <row r="3" spans="1:233" s="27" customFormat="1" ht="16.5" x14ac:dyDescent="0.2">
      <c r="A3" s="26" t="s">
        <v>53</v>
      </c>
      <c r="C3" s="152"/>
      <c r="D3" s="28"/>
      <c r="E3" s="28"/>
      <c r="F3" s="28"/>
      <c r="G3" s="28"/>
      <c r="H3" s="28"/>
      <c r="I3" s="28"/>
      <c r="J3" s="28"/>
      <c r="K3" s="28"/>
      <c r="L3" s="29"/>
    </row>
    <row r="4" spans="1:233" s="27" customFormat="1" ht="15.75" x14ac:dyDescent="0.2">
      <c r="A4" s="210" t="s">
        <v>54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233" s="35" customFormat="1" x14ac:dyDescent="0.2">
      <c r="A5" s="208" t="s">
        <v>2</v>
      </c>
      <c r="B5" s="212" t="s">
        <v>35</v>
      </c>
      <c r="C5" s="208" t="s">
        <v>36</v>
      </c>
      <c r="D5" s="208" t="s">
        <v>37</v>
      </c>
      <c r="E5" s="214" t="s">
        <v>38</v>
      </c>
      <c r="F5" s="215"/>
      <c r="G5" s="208" t="s">
        <v>39</v>
      </c>
      <c r="H5" s="208"/>
      <c r="I5" s="208" t="s">
        <v>40</v>
      </c>
      <c r="J5" s="208"/>
      <c r="K5" s="208" t="s">
        <v>41</v>
      </c>
      <c r="L5" s="208"/>
      <c r="M5" s="209" t="s">
        <v>42</v>
      </c>
    </row>
    <row r="6" spans="1:233" s="35" customFormat="1" ht="34.5" customHeight="1" x14ac:dyDescent="0.2">
      <c r="A6" s="208"/>
      <c r="B6" s="213"/>
      <c r="C6" s="208"/>
      <c r="D6" s="208"/>
      <c r="E6" s="19" t="s">
        <v>43</v>
      </c>
      <c r="F6" s="19" t="s">
        <v>32</v>
      </c>
      <c r="G6" s="19" t="s">
        <v>44</v>
      </c>
      <c r="H6" s="36" t="s">
        <v>42</v>
      </c>
      <c r="I6" s="37" t="s">
        <v>44</v>
      </c>
      <c r="J6" s="19" t="s">
        <v>42</v>
      </c>
      <c r="K6" s="19" t="s">
        <v>44</v>
      </c>
      <c r="L6" s="38" t="s">
        <v>42</v>
      </c>
      <c r="M6" s="209"/>
    </row>
    <row r="7" spans="1:233" s="35" customFormat="1" x14ac:dyDescent="0.2">
      <c r="A7" s="139">
        <v>1</v>
      </c>
      <c r="B7" s="140">
        <v>2</v>
      </c>
      <c r="C7" s="139">
        <v>3</v>
      </c>
      <c r="D7" s="140">
        <v>4</v>
      </c>
      <c r="E7" s="139">
        <v>5</v>
      </c>
      <c r="F7" s="140">
        <v>6</v>
      </c>
      <c r="G7" s="141">
        <v>7</v>
      </c>
      <c r="H7" s="140">
        <v>8</v>
      </c>
      <c r="I7" s="139">
        <v>9</v>
      </c>
      <c r="J7" s="140">
        <v>10</v>
      </c>
      <c r="K7" s="139">
        <v>11</v>
      </c>
      <c r="L7" s="141">
        <v>12</v>
      </c>
      <c r="M7" s="140" t="s">
        <v>45</v>
      </c>
    </row>
    <row r="8" spans="1:233" s="101" customFormat="1" ht="57.75" customHeight="1" x14ac:dyDescent="0.2">
      <c r="A8" s="104">
        <v>1</v>
      </c>
      <c r="B8" s="98"/>
      <c r="C8" s="46" t="s">
        <v>55</v>
      </c>
      <c r="D8" s="97" t="s">
        <v>56</v>
      </c>
      <c r="E8" s="97"/>
      <c r="F8" s="97">
        <v>20.100000000000001</v>
      </c>
      <c r="G8" s="218"/>
      <c r="H8" s="218"/>
      <c r="I8" s="218"/>
      <c r="J8" s="218"/>
      <c r="K8" s="218"/>
      <c r="L8" s="218"/>
      <c r="M8" s="21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</row>
    <row r="9" spans="1:233" s="101" customFormat="1" x14ac:dyDescent="0.2">
      <c r="A9" s="97"/>
      <c r="B9" s="98"/>
      <c r="C9" s="99" t="s">
        <v>47</v>
      </c>
      <c r="D9" s="97" t="s">
        <v>48</v>
      </c>
      <c r="E9" s="97">
        <f>20*0.001</f>
        <v>0.02</v>
      </c>
      <c r="F9" s="97">
        <f>F8*E9</f>
        <v>0.40200000000000002</v>
      </c>
      <c r="G9" s="219"/>
      <c r="H9" s="219"/>
      <c r="I9" s="218"/>
      <c r="J9" s="218"/>
      <c r="K9" s="218"/>
      <c r="L9" s="219"/>
      <c r="M9" s="218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</row>
    <row r="10" spans="1:233" s="101" customFormat="1" x14ac:dyDescent="0.2">
      <c r="A10" s="97"/>
      <c r="B10" s="98"/>
      <c r="C10" s="99" t="s">
        <v>57</v>
      </c>
      <c r="D10" s="97" t="s">
        <v>58</v>
      </c>
      <c r="E10" s="97">
        <f>44.8*0.001</f>
        <v>4.48E-2</v>
      </c>
      <c r="F10" s="97">
        <f>E10*F8</f>
        <v>0.90048000000000006</v>
      </c>
      <c r="G10" s="218"/>
      <c r="H10" s="218"/>
      <c r="I10" s="218"/>
      <c r="J10" s="218"/>
      <c r="K10" s="218"/>
      <c r="L10" s="218"/>
      <c r="M10" s="21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</row>
    <row r="11" spans="1:233" s="101" customFormat="1" x14ac:dyDescent="0.2">
      <c r="A11" s="97"/>
      <c r="B11" s="98"/>
      <c r="C11" s="99" t="s">
        <v>59</v>
      </c>
      <c r="D11" s="97" t="s">
        <v>60</v>
      </c>
      <c r="E11" s="97">
        <f>2.1*0.001</f>
        <v>2.1000000000000003E-3</v>
      </c>
      <c r="F11" s="97">
        <f>E11*F8</f>
        <v>4.2210000000000011E-2</v>
      </c>
      <c r="G11" s="218"/>
      <c r="H11" s="218"/>
      <c r="I11" s="218"/>
      <c r="J11" s="218"/>
      <c r="K11" s="218"/>
      <c r="L11" s="218"/>
      <c r="M11" s="218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</row>
    <row r="12" spans="1:233" s="101" customFormat="1" x14ac:dyDescent="0.2">
      <c r="A12" s="97"/>
      <c r="B12" s="98"/>
      <c r="C12" s="99" t="s">
        <v>61</v>
      </c>
      <c r="D12" s="97" t="s">
        <v>56</v>
      </c>
      <c r="E12" s="97">
        <f>0.05*0.001</f>
        <v>5.0000000000000002E-5</v>
      </c>
      <c r="F12" s="97">
        <f>E12*F8</f>
        <v>1.005E-3</v>
      </c>
      <c r="G12" s="218"/>
      <c r="H12" s="218"/>
      <c r="I12" s="218"/>
      <c r="J12" s="218"/>
      <c r="K12" s="218"/>
      <c r="L12" s="218"/>
      <c r="M12" s="218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</row>
    <row r="13" spans="1:233" ht="40.5" x14ac:dyDescent="0.2">
      <c r="A13" s="39">
        <v>2</v>
      </c>
      <c r="B13" s="70"/>
      <c r="C13" s="151" t="s">
        <v>62</v>
      </c>
      <c r="D13" s="39" t="s">
        <v>50</v>
      </c>
      <c r="E13" s="39"/>
      <c r="F13" s="44">
        <v>36.200000000000003</v>
      </c>
      <c r="G13" s="13"/>
      <c r="H13" s="13"/>
      <c r="I13" s="13"/>
      <c r="J13" s="89"/>
      <c r="K13" s="13"/>
      <c r="L13" s="13"/>
      <c r="M13" s="1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</row>
    <row r="14" spans="1:233" ht="54" x14ac:dyDescent="0.25">
      <c r="A14" s="51">
        <v>8</v>
      </c>
      <c r="B14" s="173"/>
      <c r="C14" s="83" t="s">
        <v>212</v>
      </c>
      <c r="D14" s="62" t="s">
        <v>67</v>
      </c>
      <c r="E14" s="62"/>
      <c r="F14" s="62">
        <v>12.8</v>
      </c>
      <c r="G14" s="67"/>
      <c r="H14" s="67"/>
      <c r="I14" s="67"/>
      <c r="J14" s="67"/>
      <c r="K14" s="67"/>
      <c r="L14" s="220"/>
      <c r="M14" s="220"/>
    </row>
    <row r="15" spans="1:233" x14ac:dyDescent="0.2">
      <c r="A15" s="39"/>
      <c r="B15" s="48"/>
      <c r="C15" s="46" t="s">
        <v>47</v>
      </c>
      <c r="D15" s="39" t="s">
        <v>48</v>
      </c>
      <c r="E15" s="39">
        <f>12.8*0.6</f>
        <v>7.68</v>
      </c>
      <c r="F15" s="13">
        <f>E15*F14</f>
        <v>98.304000000000002</v>
      </c>
      <c r="G15" s="89"/>
      <c r="H15" s="89"/>
      <c r="I15" s="13"/>
      <c r="J15" s="13"/>
      <c r="K15" s="89"/>
      <c r="L15" s="89"/>
      <c r="M15" s="13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</row>
    <row r="16" spans="1:233" s="2" customFormat="1" x14ac:dyDescent="0.25">
      <c r="A16" s="77"/>
      <c r="B16" s="68"/>
      <c r="C16" s="68" t="s">
        <v>68</v>
      </c>
      <c r="D16" s="68" t="s">
        <v>58</v>
      </c>
      <c r="E16" s="68">
        <f>0.47*0.6</f>
        <v>0.28199999999999997</v>
      </c>
      <c r="F16" s="13">
        <f>E16*F14</f>
        <v>3.6095999999999999</v>
      </c>
      <c r="G16" s="67"/>
      <c r="H16" s="67"/>
      <c r="I16" s="67"/>
      <c r="J16" s="13"/>
      <c r="K16" s="67"/>
      <c r="L16" s="13"/>
      <c r="M16" s="13"/>
    </row>
    <row r="17" spans="1:233" x14ac:dyDescent="0.2">
      <c r="A17" s="39"/>
      <c r="B17" s="49"/>
      <c r="C17" s="46" t="s">
        <v>59</v>
      </c>
      <c r="D17" s="39" t="s">
        <v>60</v>
      </c>
      <c r="E17" s="39">
        <f>0.45*0.6</f>
        <v>0.27</v>
      </c>
      <c r="F17" s="13">
        <f>E17*F14</f>
        <v>3.4560000000000004</v>
      </c>
      <c r="G17" s="13"/>
      <c r="H17" s="13"/>
      <c r="I17" s="13"/>
      <c r="J17" s="13"/>
      <c r="K17" s="13"/>
      <c r="L17" s="13"/>
      <c r="M17" s="1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</row>
    <row r="18" spans="1:233" s="27" customFormat="1" ht="49.5" customHeight="1" x14ac:dyDescent="0.2">
      <c r="A18" s="39">
        <v>9</v>
      </c>
      <c r="B18" s="174"/>
      <c r="C18" s="55" t="s">
        <v>69</v>
      </c>
      <c r="D18" s="42" t="s">
        <v>50</v>
      </c>
      <c r="E18" s="42"/>
      <c r="F18" s="47">
        <v>0.51500000000000001</v>
      </c>
      <c r="G18" s="13"/>
      <c r="H18" s="13"/>
      <c r="I18" s="13"/>
      <c r="J18" s="13"/>
      <c r="K18" s="13"/>
      <c r="L18" s="13"/>
      <c r="M18" s="13"/>
    </row>
    <row r="19" spans="1:233" s="27" customFormat="1" ht="42" customHeight="1" x14ac:dyDescent="0.2">
      <c r="A19" s="39">
        <v>10</v>
      </c>
      <c r="B19" s="74"/>
      <c r="C19" s="55" t="s">
        <v>70</v>
      </c>
      <c r="D19" s="42" t="s">
        <v>56</v>
      </c>
      <c r="E19" s="42"/>
      <c r="F19" s="43">
        <v>0.5</v>
      </c>
      <c r="G19" s="13"/>
      <c r="H19" s="13"/>
      <c r="I19" s="13"/>
      <c r="J19" s="13"/>
      <c r="K19" s="13"/>
      <c r="L19" s="13"/>
      <c r="M19" s="13"/>
    </row>
    <row r="20" spans="1:233" s="50" customFormat="1" x14ac:dyDescent="0.2">
      <c r="A20" s="39"/>
      <c r="B20" s="48"/>
      <c r="C20" s="46" t="s">
        <v>47</v>
      </c>
      <c r="D20" s="39" t="s">
        <v>48</v>
      </c>
      <c r="E20" s="39">
        <f>12.1*0.6</f>
        <v>7.26</v>
      </c>
      <c r="F20" s="13">
        <f>F19*E20</f>
        <v>3.63</v>
      </c>
      <c r="G20" s="89"/>
      <c r="H20" s="89"/>
      <c r="I20" s="13"/>
      <c r="J20" s="13"/>
      <c r="K20" s="89"/>
      <c r="L20" s="89"/>
      <c r="M20" s="13"/>
    </row>
    <row r="21" spans="1:233" s="2" customFormat="1" x14ac:dyDescent="0.25">
      <c r="A21" s="68"/>
      <c r="B21" s="68"/>
      <c r="C21" s="68" t="s">
        <v>68</v>
      </c>
      <c r="D21" s="68" t="s">
        <v>58</v>
      </c>
      <c r="E21" s="68">
        <f>3.38*0.6</f>
        <v>2.028</v>
      </c>
      <c r="F21" s="13">
        <f>E21*F19</f>
        <v>1.014</v>
      </c>
      <c r="G21" s="67"/>
      <c r="H21" s="67"/>
      <c r="I21" s="67"/>
      <c r="J21" s="13"/>
      <c r="K21" s="67"/>
      <c r="L21" s="13"/>
      <c r="M21" s="13"/>
    </row>
    <row r="22" spans="1:233" s="27" customFormat="1" ht="27" x14ac:dyDescent="0.2">
      <c r="A22" s="39">
        <v>11</v>
      </c>
      <c r="B22" s="74"/>
      <c r="C22" s="55" t="s">
        <v>71</v>
      </c>
      <c r="D22" s="42" t="s">
        <v>50</v>
      </c>
      <c r="E22" s="42"/>
      <c r="F22" s="43">
        <f>2.5*0.5</f>
        <v>1.25</v>
      </c>
      <c r="G22" s="13"/>
      <c r="H22" s="13"/>
      <c r="I22" s="13"/>
      <c r="J22" s="13"/>
      <c r="K22" s="13"/>
      <c r="L22" s="13"/>
      <c r="M22" s="13"/>
    </row>
    <row r="23" spans="1:233" x14ac:dyDescent="0.2">
      <c r="A23" s="39"/>
      <c r="B23" s="48"/>
      <c r="C23" s="46" t="s">
        <v>47</v>
      </c>
      <c r="D23" s="39" t="s">
        <v>48</v>
      </c>
      <c r="E23" s="39">
        <v>0.53</v>
      </c>
      <c r="F23" s="13">
        <f>E23*F22</f>
        <v>0.66250000000000009</v>
      </c>
      <c r="G23" s="89"/>
      <c r="H23" s="89"/>
      <c r="I23" s="13"/>
      <c r="J23" s="13"/>
      <c r="K23" s="89"/>
      <c r="L23" s="89"/>
      <c r="M23" s="1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</row>
    <row r="24" spans="1:233" s="27" customFormat="1" ht="27" x14ac:dyDescent="0.2">
      <c r="A24" s="39">
        <v>12</v>
      </c>
      <c r="B24" s="74"/>
      <c r="C24" s="55" t="s">
        <v>72</v>
      </c>
      <c r="D24" s="42" t="s">
        <v>50</v>
      </c>
      <c r="E24" s="42"/>
      <c r="F24" s="43">
        <f>2.5*0.5</f>
        <v>1.25</v>
      </c>
      <c r="G24" s="13"/>
      <c r="H24" s="13"/>
      <c r="I24" s="13"/>
      <c r="J24" s="13"/>
      <c r="K24" s="13"/>
      <c r="L24" s="13"/>
      <c r="M24" s="13"/>
    </row>
    <row r="25" spans="1:233" s="61" customFormat="1" x14ac:dyDescent="0.25">
      <c r="A25" s="194"/>
      <c r="B25" s="194"/>
      <c r="C25" s="57" t="s">
        <v>51</v>
      </c>
      <c r="D25" s="58"/>
      <c r="E25" s="59"/>
      <c r="F25" s="194"/>
      <c r="G25" s="60"/>
      <c r="H25" s="10"/>
      <c r="I25" s="60"/>
      <c r="J25" s="10"/>
      <c r="K25" s="60"/>
      <c r="L25" s="10"/>
      <c r="M25" s="10"/>
    </row>
    <row r="26" spans="1:233" s="66" customFormat="1" x14ac:dyDescent="0.25">
      <c r="A26" s="62"/>
      <c r="B26" s="62"/>
      <c r="C26" s="63" t="s">
        <v>245</v>
      </c>
      <c r="D26" s="60"/>
      <c r="E26" s="62"/>
      <c r="F26" s="60"/>
      <c r="G26" s="60"/>
      <c r="H26" s="60"/>
      <c r="I26" s="60"/>
      <c r="J26" s="60"/>
      <c r="K26" s="60"/>
      <c r="L26" s="60"/>
      <c r="M26" s="67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</row>
    <row r="27" spans="1:233" s="66" customFormat="1" x14ac:dyDescent="0.25">
      <c r="A27" s="62"/>
      <c r="B27" s="62"/>
      <c r="C27" s="63" t="s">
        <v>52</v>
      </c>
      <c r="D27" s="60"/>
      <c r="E27" s="62"/>
      <c r="F27" s="60"/>
      <c r="G27" s="60"/>
      <c r="H27" s="60"/>
      <c r="I27" s="60"/>
      <c r="J27" s="60"/>
      <c r="K27" s="60"/>
      <c r="L27" s="60"/>
      <c r="M27" s="67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</row>
    <row r="28" spans="1:233" s="66" customFormat="1" x14ac:dyDescent="0.25">
      <c r="A28" s="62"/>
      <c r="B28" s="62"/>
      <c r="C28" s="63" t="s">
        <v>246</v>
      </c>
      <c r="D28" s="60"/>
      <c r="E28" s="62"/>
      <c r="F28" s="60"/>
      <c r="G28" s="60"/>
      <c r="H28" s="60"/>
      <c r="I28" s="60"/>
      <c r="J28" s="60"/>
      <c r="K28" s="60"/>
      <c r="L28" s="60"/>
      <c r="M28" s="67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</row>
    <row r="29" spans="1:233" s="66" customFormat="1" x14ac:dyDescent="0.25">
      <c r="A29" s="62"/>
      <c r="B29" s="62"/>
      <c r="C29" s="68" t="s">
        <v>51</v>
      </c>
      <c r="D29" s="62"/>
      <c r="E29" s="62"/>
      <c r="F29" s="62"/>
      <c r="G29" s="67"/>
      <c r="H29" s="60"/>
      <c r="I29" s="60"/>
      <c r="J29" s="60"/>
      <c r="K29" s="60"/>
      <c r="L29" s="60"/>
      <c r="M29" s="67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</row>
    <row r="33" spans="1:13" ht="33" customHeight="1" x14ac:dyDescent="0.2">
      <c r="A33" s="235" t="s">
        <v>249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18.75" customHeight="1" x14ac:dyDescent="0.2">
      <c r="A34" s="236" t="s">
        <v>250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</row>
  </sheetData>
  <mergeCells count="12">
    <mergeCell ref="A33:M33"/>
    <mergeCell ref="A34:M34"/>
    <mergeCell ref="K5:L5"/>
    <mergeCell ref="M5:M6"/>
    <mergeCell ref="A4:L4"/>
    <mergeCell ref="A5:A6"/>
    <mergeCell ref="B5:B6"/>
    <mergeCell ref="C5:C6"/>
    <mergeCell ref="D5:D6"/>
    <mergeCell ref="E5:F5"/>
    <mergeCell ref="G5:H5"/>
    <mergeCell ref="I5:J5"/>
  </mergeCells>
  <conditionalFormatting sqref="A15:HW15 F16 J16 A17:HW17 L16:M16 A18:FO18 A19:HU20 A7:HB7 A25:HT29 HU25 A23:HW23 A22:HU22 A24:HU24 A8:HW13">
    <cfRule type="cellIs" dxfId="57" priority="3" stopIfTrue="1" operator="equal">
      <formula>8223.307275</formula>
    </cfRule>
  </conditionalFormatting>
  <conditionalFormatting sqref="F21 L21:M21">
    <cfRule type="cellIs" dxfId="56" priority="2" stopIfTrue="1" operator="equal">
      <formula>8223.307275</formula>
    </cfRule>
  </conditionalFormatting>
  <conditionalFormatting sqref="J21">
    <cfRule type="cellIs" dxfId="55" priority="1" stopIfTrue="1" operator="equal">
      <formula>8223.307275</formula>
    </cfRule>
  </conditionalFormatting>
  <pageMargins left="0.11811023622047245" right="0.11811023622047245" top="0.6692913385826772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7.28515625" bestFit="1" customWidth="1"/>
    <col min="3" max="3" width="28" style="2" customWidth="1"/>
    <col min="5" max="5" width="9.7109375" customWidth="1"/>
    <col min="6" max="6" width="9.5703125" bestFit="1" customWidth="1"/>
    <col min="10" max="10" width="10" bestFit="1" customWidth="1"/>
    <col min="12" max="12" width="10" bestFit="1" customWidth="1"/>
    <col min="13" max="13" width="9.85546875" bestFit="1" customWidth="1"/>
  </cols>
  <sheetData>
    <row r="1" spans="1:256" ht="15.75" x14ac:dyDescent="0.25">
      <c r="A1" s="75" t="s">
        <v>0</v>
      </c>
    </row>
    <row r="2" spans="1:256" ht="15.75" x14ac:dyDescent="0.25">
      <c r="A2" s="75" t="s">
        <v>1</v>
      </c>
    </row>
    <row r="3" spans="1:256" s="27" customFormat="1" ht="15" x14ac:dyDescent="0.2">
      <c r="A3" s="26"/>
      <c r="C3" s="216" t="s">
        <v>73</v>
      </c>
      <c r="D3" s="216"/>
      <c r="E3" s="216"/>
      <c r="F3" s="216"/>
      <c r="G3" s="28"/>
      <c r="H3" s="28"/>
      <c r="I3" s="28"/>
      <c r="J3" s="28"/>
      <c r="K3" s="28"/>
      <c r="L3" s="29"/>
    </row>
    <row r="4" spans="1:256" s="27" customFormat="1" ht="15.75" x14ac:dyDescent="0.2">
      <c r="A4" s="210" t="s">
        <v>74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256" s="35" customFormat="1" x14ac:dyDescent="0.2">
      <c r="A5" s="208" t="s">
        <v>2</v>
      </c>
      <c r="B5" s="212" t="s">
        <v>35</v>
      </c>
      <c r="C5" s="208" t="s">
        <v>36</v>
      </c>
      <c r="D5" s="208" t="s">
        <v>37</v>
      </c>
      <c r="E5" s="214" t="s">
        <v>38</v>
      </c>
      <c r="F5" s="215"/>
      <c r="G5" s="208" t="s">
        <v>39</v>
      </c>
      <c r="H5" s="208"/>
      <c r="I5" s="208" t="s">
        <v>40</v>
      </c>
      <c r="J5" s="208"/>
      <c r="K5" s="208" t="s">
        <v>41</v>
      </c>
      <c r="L5" s="208"/>
      <c r="M5" s="209" t="s">
        <v>42</v>
      </c>
    </row>
    <row r="6" spans="1:256" s="35" customFormat="1" ht="33" customHeight="1" x14ac:dyDescent="0.2">
      <c r="A6" s="208"/>
      <c r="B6" s="213"/>
      <c r="C6" s="208"/>
      <c r="D6" s="208"/>
      <c r="E6" s="19" t="s">
        <v>43</v>
      </c>
      <c r="F6" s="19" t="s">
        <v>32</v>
      </c>
      <c r="G6" s="19" t="s">
        <v>44</v>
      </c>
      <c r="H6" s="36" t="s">
        <v>42</v>
      </c>
      <c r="I6" s="37" t="s">
        <v>44</v>
      </c>
      <c r="J6" s="19" t="s">
        <v>42</v>
      </c>
      <c r="K6" s="19" t="s">
        <v>44</v>
      </c>
      <c r="L6" s="38" t="s">
        <v>42</v>
      </c>
      <c r="M6" s="209"/>
    </row>
    <row r="7" spans="1:256" s="35" customFormat="1" x14ac:dyDescent="0.2">
      <c r="A7" s="139">
        <v>1</v>
      </c>
      <c r="B7" s="140">
        <v>2</v>
      </c>
      <c r="C7" s="139">
        <v>3</v>
      </c>
      <c r="D7" s="140">
        <v>4</v>
      </c>
      <c r="E7" s="139">
        <v>5</v>
      </c>
      <c r="F7" s="140">
        <v>6</v>
      </c>
      <c r="G7" s="141">
        <v>7</v>
      </c>
      <c r="H7" s="140">
        <v>8</v>
      </c>
      <c r="I7" s="139">
        <v>9</v>
      </c>
      <c r="J7" s="140">
        <v>10</v>
      </c>
      <c r="K7" s="139">
        <v>11</v>
      </c>
      <c r="L7" s="141">
        <v>12</v>
      </c>
      <c r="M7" s="140" t="s">
        <v>45</v>
      </c>
    </row>
    <row r="8" spans="1:256" s="35" customFormat="1" ht="40.5" x14ac:dyDescent="0.2">
      <c r="A8" s="39">
        <v>1</v>
      </c>
      <c r="B8" s="70"/>
      <c r="C8" s="41" t="s">
        <v>75</v>
      </c>
      <c r="D8" s="42" t="s">
        <v>56</v>
      </c>
      <c r="E8" s="42"/>
      <c r="F8" s="79">
        <v>870</v>
      </c>
      <c r="G8" s="13"/>
      <c r="H8" s="13"/>
      <c r="I8" s="13"/>
      <c r="J8" s="13"/>
      <c r="K8" s="13"/>
      <c r="L8" s="13"/>
      <c r="M8" s="13"/>
    </row>
    <row r="9" spans="1:256" s="35" customFormat="1" x14ac:dyDescent="0.2">
      <c r="A9" s="39"/>
      <c r="B9" s="45"/>
      <c r="C9" s="9" t="s">
        <v>76</v>
      </c>
      <c r="D9" s="39" t="s">
        <v>58</v>
      </c>
      <c r="E9" s="39">
        <f>(3.4+2.5)*0.001</f>
        <v>5.9000000000000007E-3</v>
      </c>
      <c r="F9" s="13">
        <f>E9*F8</f>
        <v>5.1330000000000009</v>
      </c>
      <c r="G9" s="13"/>
      <c r="H9" s="13"/>
      <c r="I9" s="13"/>
      <c r="J9" s="13"/>
      <c r="K9" s="13"/>
      <c r="L9" s="13"/>
      <c r="M9" s="13"/>
    </row>
    <row r="10" spans="1:256" s="101" customFormat="1" ht="57.75" customHeight="1" x14ac:dyDescent="0.2">
      <c r="A10" s="104">
        <v>2</v>
      </c>
      <c r="B10" s="175"/>
      <c r="C10" s="46" t="s">
        <v>55</v>
      </c>
      <c r="D10" s="97" t="s">
        <v>56</v>
      </c>
      <c r="E10" s="97"/>
      <c r="F10" s="104">
        <v>870</v>
      </c>
      <c r="G10" s="218"/>
      <c r="H10" s="218"/>
      <c r="I10" s="218"/>
      <c r="J10" s="218"/>
      <c r="K10" s="218"/>
      <c r="L10" s="218"/>
      <c r="M10" s="21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101" customFormat="1" x14ac:dyDescent="0.2">
      <c r="A11" s="97"/>
      <c r="B11" s="98"/>
      <c r="C11" s="99" t="s">
        <v>47</v>
      </c>
      <c r="D11" s="97" t="s">
        <v>48</v>
      </c>
      <c r="E11" s="176">
        <f>15.5*0.001</f>
        <v>1.55E-2</v>
      </c>
      <c r="F11" s="97">
        <f>F10*E11</f>
        <v>13.484999999999999</v>
      </c>
      <c r="G11" s="219"/>
      <c r="H11" s="219"/>
      <c r="I11" s="218"/>
      <c r="J11" s="218"/>
      <c r="K11" s="218"/>
      <c r="L11" s="219"/>
      <c r="M11" s="218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s="101" customFormat="1" x14ac:dyDescent="0.2">
      <c r="A12" s="97"/>
      <c r="B12" s="98"/>
      <c r="C12" s="99" t="s">
        <v>57</v>
      </c>
      <c r="D12" s="97" t="s">
        <v>58</v>
      </c>
      <c r="E12" s="176">
        <f>34.7*0.001</f>
        <v>3.4700000000000002E-2</v>
      </c>
      <c r="F12" s="97">
        <f>E12*F10</f>
        <v>30.189</v>
      </c>
      <c r="G12" s="218"/>
      <c r="H12" s="218"/>
      <c r="I12" s="218"/>
      <c r="J12" s="218"/>
      <c r="K12" s="218"/>
      <c r="L12" s="218"/>
      <c r="M12" s="218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101" customFormat="1" x14ac:dyDescent="0.2">
      <c r="A13" s="97"/>
      <c r="B13" s="98"/>
      <c r="C13" s="99" t="s">
        <v>59</v>
      </c>
      <c r="D13" s="97" t="s">
        <v>60</v>
      </c>
      <c r="E13" s="176">
        <f>2.09*0.001</f>
        <v>2.0899999999999998E-3</v>
      </c>
      <c r="F13" s="97">
        <f>E13*F10</f>
        <v>1.8182999999999998</v>
      </c>
      <c r="G13" s="218"/>
      <c r="H13" s="218"/>
      <c r="I13" s="218"/>
      <c r="J13" s="218"/>
      <c r="K13" s="218"/>
      <c r="L13" s="218"/>
      <c r="M13" s="218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101" customFormat="1" x14ac:dyDescent="0.2">
      <c r="A14" s="97"/>
      <c r="B14" s="98"/>
      <c r="C14" s="99" t="s">
        <v>61</v>
      </c>
      <c r="D14" s="97" t="s">
        <v>56</v>
      </c>
      <c r="E14" s="177">
        <f>0.04*0.001</f>
        <v>4.0000000000000003E-5</v>
      </c>
      <c r="F14" s="97">
        <f>E14*F10</f>
        <v>3.4800000000000005E-2</v>
      </c>
      <c r="G14" s="218"/>
      <c r="H14" s="218"/>
      <c r="I14" s="218"/>
      <c r="J14" s="218"/>
      <c r="K14" s="218"/>
      <c r="L14" s="218"/>
      <c r="M14" s="218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27" x14ac:dyDescent="0.2">
      <c r="A15" s="39">
        <v>3</v>
      </c>
      <c r="B15" s="70"/>
      <c r="C15" s="151" t="s">
        <v>77</v>
      </c>
      <c r="D15" s="39" t="s">
        <v>50</v>
      </c>
      <c r="E15" s="39"/>
      <c r="F15" s="44">
        <v>1570</v>
      </c>
      <c r="G15" s="13"/>
      <c r="H15" s="13"/>
      <c r="I15" s="13"/>
      <c r="J15" s="89"/>
      <c r="K15" s="13"/>
      <c r="L15" s="13"/>
      <c r="M15" s="13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x14ac:dyDescent="0.2">
      <c r="A16" s="39">
        <v>4</v>
      </c>
      <c r="B16" s="48"/>
      <c r="C16" s="41" t="s">
        <v>66</v>
      </c>
      <c r="D16" s="42" t="s">
        <v>56</v>
      </c>
      <c r="E16" s="42"/>
      <c r="F16" s="69">
        <v>2965</v>
      </c>
      <c r="G16" s="13"/>
      <c r="H16" s="13"/>
      <c r="I16" s="13"/>
      <c r="J16" s="13"/>
      <c r="K16" s="13"/>
      <c r="L16" s="13"/>
      <c r="M16" s="1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x14ac:dyDescent="0.2">
      <c r="A17" s="39"/>
      <c r="B17" s="48"/>
      <c r="C17" s="46" t="s">
        <v>47</v>
      </c>
      <c r="D17" s="39" t="s">
        <v>48</v>
      </c>
      <c r="E17" s="39">
        <f>3.23*0.001</f>
        <v>3.2300000000000002E-3</v>
      </c>
      <c r="F17" s="13">
        <f>E17*F16</f>
        <v>9.5769500000000001</v>
      </c>
      <c r="G17" s="89"/>
      <c r="H17" s="89"/>
      <c r="I17" s="13"/>
      <c r="J17" s="13"/>
      <c r="K17" s="89"/>
      <c r="L17" s="89"/>
      <c r="M17" s="13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x14ac:dyDescent="0.2">
      <c r="A18" s="39"/>
      <c r="B18" s="45"/>
      <c r="C18" s="9" t="s">
        <v>63</v>
      </c>
      <c r="D18" s="39" t="s">
        <v>58</v>
      </c>
      <c r="E18" s="39">
        <f>3.62*0.001</f>
        <v>3.6200000000000004E-3</v>
      </c>
      <c r="F18" s="13">
        <f>E18*F16</f>
        <v>10.733300000000002</v>
      </c>
      <c r="G18" s="13"/>
      <c r="H18" s="13"/>
      <c r="I18" s="13"/>
      <c r="J18" s="13"/>
      <c r="K18" s="13"/>
      <c r="L18" s="13"/>
      <c r="M18" s="13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x14ac:dyDescent="0.2">
      <c r="A19" s="39"/>
      <c r="B19" s="49"/>
      <c r="C19" s="46" t="s">
        <v>59</v>
      </c>
      <c r="D19" s="39" t="s">
        <v>60</v>
      </c>
      <c r="E19" s="39">
        <f>0.18*0.001</f>
        <v>1.7999999999999998E-4</v>
      </c>
      <c r="F19" s="71">
        <f>E19*F16</f>
        <v>0.53369999999999995</v>
      </c>
      <c r="G19" s="13"/>
      <c r="H19" s="13"/>
      <c r="I19" s="13"/>
      <c r="J19" s="13"/>
      <c r="K19" s="13"/>
      <c r="L19" s="13"/>
      <c r="M19" s="13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x14ac:dyDescent="0.2">
      <c r="A20" s="39"/>
      <c r="B20" s="49"/>
      <c r="C20" s="46" t="s">
        <v>61</v>
      </c>
      <c r="D20" s="39" t="s">
        <v>56</v>
      </c>
      <c r="E20" s="39">
        <f>0.04*0.001</f>
        <v>4.0000000000000003E-5</v>
      </c>
      <c r="F20" s="71">
        <f>E20*F16</f>
        <v>0.11860000000000001</v>
      </c>
      <c r="G20" s="13"/>
      <c r="H20" s="13"/>
      <c r="I20" s="13"/>
      <c r="J20" s="13"/>
      <c r="K20" s="13"/>
      <c r="L20" s="13"/>
      <c r="M20" s="1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101" customFormat="1" ht="57.75" customHeight="1" x14ac:dyDescent="0.2">
      <c r="A21" s="104">
        <v>5</v>
      </c>
      <c r="B21" s="98"/>
      <c r="C21" s="46" t="s">
        <v>55</v>
      </c>
      <c r="D21" s="97" t="s">
        <v>56</v>
      </c>
      <c r="E21" s="97"/>
      <c r="F21" s="104">
        <v>89</v>
      </c>
      <c r="G21" s="218"/>
      <c r="H21" s="218"/>
      <c r="I21" s="218"/>
      <c r="J21" s="218"/>
      <c r="K21" s="218"/>
      <c r="L21" s="218"/>
      <c r="M21" s="21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101" customFormat="1" x14ac:dyDescent="0.2">
      <c r="A22" s="97"/>
      <c r="B22" s="98"/>
      <c r="C22" s="99" t="s">
        <v>47</v>
      </c>
      <c r="D22" s="97" t="s">
        <v>48</v>
      </c>
      <c r="E22" s="97">
        <f>20*0.001</f>
        <v>0.02</v>
      </c>
      <c r="F22" s="97">
        <f>F21*E22</f>
        <v>1.78</v>
      </c>
      <c r="G22" s="219"/>
      <c r="H22" s="219"/>
      <c r="I22" s="218"/>
      <c r="J22" s="218"/>
      <c r="K22" s="218"/>
      <c r="L22" s="219"/>
      <c r="M22" s="218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s="101" customFormat="1" x14ac:dyDescent="0.2">
      <c r="A23" s="97"/>
      <c r="B23" s="98"/>
      <c r="C23" s="99" t="s">
        <v>57</v>
      </c>
      <c r="D23" s="97" t="s">
        <v>58</v>
      </c>
      <c r="E23" s="97">
        <f>44.8*0.001</f>
        <v>4.48E-2</v>
      </c>
      <c r="F23" s="97">
        <f>E23*F21</f>
        <v>3.9872000000000001</v>
      </c>
      <c r="G23" s="218"/>
      <c r="H23" s="218"/>
      <c r="I23" s="218"/>
      <c r="J23" s="218"/>
      <c r="K23" s="218"/>
      <c r="L23" s="218"/>
      <c r="M23" s="218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s="101" customFormat="1" x14ac:dyDescent="0.2">
      <c r="A24" s="97"/>
      <c r="B24" s="98"/>
      <c r="C24" s="99" t="s">
        <v>59</v>
      </c>
      <c r="D24" s="97" t="s">
        <v>60</v>
      </c>
      <c r="E24" s="97">
        <f>2.1*0.001</f>
        <v>2.1000000000000003E-3</v>
      </c>
      <c r="F24" s="97">
        <f>E24*F21</f>
        <v>0.18690000000000004</v>
      </c>
      <c r="G24" s="218"/>
      <c r="H24" s="218"/>
      <c r="I24" s="218"/>
      <c r="J24" s="218"/>
      <c r="K24" s="218"/>
      <c r="L24" s="218"/>
      <c r="M24" s="218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101" customFormat="1" x14ac:dyDescent="0.2">
      <c r="A25" s="97"/>
      <c r="B25" s="98"/>
      <c r="C25" s="99" t="s">
        <v>61</v>
      </c>
      <c r="D25" s="97" t="s">
        <v>56</v>
      </c>
      <c r="E25" s="97">
        <f>0.05*0.001</f>
        <v>5.0000000000000002E-5</v>
      </c>
      <c r="F25" s="97">
        <f>E25*F21</f>
        <v>4.45E-3</v>
      </c>
      <c r="G25" s="218"/>
      <c r="H25" s="218"/>
      <c r="I25" s="218"/>
      <c r="J25" s="218"/>
      <c r="K25" s="218"/>
      <c r="L25" s="218"/>
      <c r="M25" s="218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ht="27" x14ac:dyDescent="0.2">
      <c r="A26" s="39">
        <v>6</v>
      </c>
      <c r="B26" s="70"/>
      <c r="C26" s="151" t="s">
        <v>78</v>
      </c>
      <c r="D26" s="39" t="s">
        <v>50</v>
      </c>
      <c r="E26" s="39"/>
      <c r="F26" s="44">
        <v>160</v>
      </c>
      <c r="G26" s="13"/>
      <c r="H26" s="13"/>
      <c r="I26" s="13"/>
      <c r="J26" s="89"/>
      <c r="K26" s="13"/>
      <c r="L26" s="13"/>
      <c r="M26" s="1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x14ac:dyDescent="0.2">
      <c r="A27" s="39">
        <v>7</v>
      </c>
      <c r="B27" s="48"/>
      <c r="C27" s="41" t="s">
        <v>66</v>
      </c>
      <c r="D27" s="42" t="s">
        <v>56</v>
      </c>
      <c r="E27" s="42"/>
      <c r="F27" s="69">
        <v>337</v>
      </c>
      <c r="G27" s="13"/>
      <c r="H27" s="13"/>
      <c r="I27" s="13"/>
      <c r="J27" s="13"/>
      <c r="K27" s="13"/>
      <c r="L27" s="13"/>
      <c r="M27" s="13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x14ac:dyDescent="0.2">
      <c r="A28" s="39"/>
      <c r="B28" s="48"/>
      <c r="C28" s="46" t="s">
        <v>47</v>
      </c>
      <c r="D28" s="39" t="s">
        <v>48</v>
      </c>
      <c r="E28" s="39">
        <f>3.23*0.001</f>
        <v>3.2300000000000002E-3</v>
      </c>
      <c r="F28" s="13">
        <f>E28*F27</f>
        <v>1.0885100000000001</v>
      </c>
      <c r="G28" s="89"/>
      <c r="H28" s="89"/>
      <c r="I28" s="13"/>
      <c r="J28" s="13"/>
      <c r="K28" s="89"/>
      <c r="L28" s="89"/>
      <c r="M28" s="13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x14ac:dyDescent="0.2">
      <c r="A29" s="39"/>
      <c r="B29" s="45"/>
      <c r="C29" s="9" t="s">
        <v>63</v>
      </c>
      <c r="D29" s="39" t="s">
        <v>58</v>
      </c>
      <c r="E29" s="39">
        <f>3.62*0.001</f>
        <v>3.6200000000000004E-3</v>
      </c>
      <c r="F29" s="13">
        <f>E29*F27</f>
        <v>1.21994</v>
      </c>
      <c r="G29" s="13"/>
      <c r="H29" s="13"/>
      <c r="I29" s="13"/>
      <c r="J29" s="13"/>
      <c r="K29" s="13"/>
      <c r="L29" s="13"/>
      <c r="M29" s="13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x14ac:dyDescent="0.2">
      <c r="A30" s="39"/>
      <c r="B30" s="49"/>
      <c r="C30" s="46" t="s">
        <v>59</v>
      </c>
      <c r="D30" s="39" t="s">
        <v>60</v>
      </c>
      <c r="E30" s="39">
        <f>0.18*0.001</f>
        <v>1.7999999999999998E-4</v>
      </c>
      <c r="F30" s="71">
        <f>E30*F27</f>
        <v>6.0659999999999992E-2</v>
      </c>
      <c r="G30" s="13"/>
      <c r="H30" s="13"/>
      <c r="I30" s="13"/>
      <c r="J30" s="13"/>
      <c r="K30" s="13"/>
      <c r="L30" s="13"/>
      <c r="M30" s="13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x14ac:dyDescent="0.2">
      <c r="A31" s="39"/>
      <c r="B31" s="49"/>
      <c r="C31" s="46" t="s">
        <v>61</v>
      </c>
      <c r="D31" s="39" t="s">
        <v>56</v>
      </c>
      <c r="E31" s="39">
        <f>0.04*0.001</f>
        <v>4.0000000000000003E-5</v>
      </c>
      <c r="F31" s="71">
        <f>E31*F27</f>
        <v>1.3480000000000001E-2</v>
      </c>
      <c r="G31" s="13"/>
      <c r="H31" s="13"/>
      <c r="I31" s="13"/>
      <c r="J31" s="13"/>
      <c r="K31" s="13"/>
      <c r="L31" s="13"/>
      <c r="M31" s="1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101" customFormat="1" ht="54" x14ac:dyDescent="0.2">
      <c r="A32" s="104">
        <v>8</v>
      </c>
      <c r="B32" s="98"/>
      <c r="C32" s="46" t="s">
        <v>79</v>
      </c>
      <c r="D32" s="97" t="s">
        <v>56</v>
      </c>
      <c r="E32" s="97"/>
      <c r="F32" s="104">
        <v>246</v>
      </c>
      <c r="G32" s="218"/>
      <c r="H32" s="218"/>
      <c r="I32" s="218"/>
      <c r="J32" s="218"/>
      <c r="K32" s="218"/>
      <c r="L32" s="218"/>
      <c r="M32" s="218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101" customFormat="1" x14ac:dyDescent="0.2">
      <c r="A33" s="97"/>
      <c r="B33" s="98"/>
      <c r="C33" s="99" t="s">
        <v>47</v>
      </c>
      <c r="D33" s="97" t="s">
        <v>48</v>
      </c>
      <c r="E33" s="97">
        <f>20*0.001</f>
        <v>0.02</v>
      </c>
      <c r="F33" s="97">
        <f>F32*E33</f>
        <v>4.92</v>
      </c>
      <c r="G33" s="219"/>
      <c r="H33" s="219"/>
      <c r="I33" s="218"/>
      <c r="J33" s="218"/>
      <c r="K33" s="218"/>
      <c r="L33" s="219"/>
      <c r="M33" s="218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</row>
    <row r="34" spans="1:256" s="101" customFormat="1" x14ac:dyDescent="0.2">
      <c r="A34" s="97"/>
      <c r="B34" s="98"/>
      <c r="C34" s="99" t="s">
        <v>57</v>
      </c>
      <c r="D34" s="97" t="s">
        <v>58</v>
      </c>
      <c r="E34" s="97">
        <f>44.8*0.001</f>
        <v>4.48E-2</v>
      </c>
      <c r="F34" s="97">
        <f>E34*F32</f>
        <v>11.020799999999999</v>
      </c>
      <c r="G34" s="218"/>
      <c r="H34" s="218"/>
      <c r="I34" s="218"/>
      <c r="J34" s="218"/>
      <c r="K34" s="218"/>
      <c r="L34" s="218"/>
      <c r="M34" s="218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s="101" customFormat="1" x14ac:dyDescent="0.2">
      <c r="A35" s="97"/>
      <c r="B35" s="98"/>
      <c r="C35" s="99" t="s">
        <v>59</v>
      </c>
      <c r="D35" s="97" t="s">
        <v>60</v>
      </c>
      <c r="E35" s="97">
        <f>2.1*0.001</f>
        <v>2.1000000000000003E-3</v>
      </c>
      <c r="F35" s="97">
        <f>E35*F32</f>
        <v>0.51660000000000006</v>
      </c>
      <c r="G35" s="218"/>
      <c r="H35" s="218"/>
      <c r="I35" s="218"/>
      <c r="J35" s="218"/>
      <c r="K35" s="218"/>
      <c r="L35" s="218"/>
      <c r="M35" s="218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s="101" customFormat="1" x14ac:dyDescent="0.2">
      <c r="A36" s="97"/>
      <c r="B36" s="98"/>
      <c r="C36" s="99" t="s">
        <v>61</v>
      </c>
      <c r="D36" s="97" t="s">
        <v>56</v>
      </c>
      <c r="E36" s="97">
        <f>0.05*0.001</f>
        <v>5.0000000000000002E-5</v>
      </c>
      <c r="F36" s="97">
        <f>E36*F32</f>
        <v>1.23E-2</v>
      </c>
      <c r="G36" s="218"/>
      <c r="H36" s="218"/>
      <c r="I36" s="218"/>
      <c r="J36" s="218"/>
      <c r="K36" s="218"/>
      <c r="L36" s="218"/>
      <c r="M36" s="218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ht="27" x14ac:dyDescent="0.2">
      <c r="A37" s="39">
        <v>9</v>
      </c>
      <c r="B37" s="70"/>
      <c r="C37" s="151" t="s">
        <v>78</v>
      </c>
      <c r="D37" s="39" t="s">
        <v>50</v>
      </c>
      <c r="E37" s="39"/>
      <c r="F37" s="44">
        <f>F32*1.95</f>
        <v>479.7</v>
      </c>
      <c r="G37" s="13"/>
      <c r="H37" s="13"/>
      <c r="I37" s="13"/>
      <c r="J37" s="89"/>
      <c r="K37" s="13"/>
      <c r="L37" s="13"/>
      <c r="M37" s="13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x14ac:dyDescent="0.2">
      <c r="A38" s="39">
        <v>10</v>
      </c>
      <c r="B38" s="48"/>
      <c r="C38" s="41" t="s">
        <v>66</v>
      </c>
      <c r="D38" s="42" t="s">
        <v>56</v>
      </c>
      <c r="E38" s="42"/>
      <c r="F38" s="79">
        <v>246</v>
      </c>
      <c r="G38" s="13"/>
      <c r="H38" s="13"/>
      <c r="I38" s="13"/>
      <c r="J38" s="13"/>
      <c r="K38" s="13"/>
      <c r="L38" s="13"/>
      <c r="M38" s="13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x14ac:dyDescent="0.2">
      <c r="A39" s="39"/>
      <c r="B39" s="48"/>
      <c r="C39" s="46" t="s">
        <v>47</v>
      </c>
      <c r="D39" s="39" t="s">
        <v>48</v>
      </c>
      <c r="E39" s="39">
        <f>3.23*0.001</f>
        <v>3.2300000000000002E-3</v>
      </c>
      <c r="F39" s="13">
        <f>E39*F38</f>
        <v>0.79458000000000006</v>
      </c>
      <c r="G39" s="89"/>
      <c r="H39" s="89"/>
      <c r="I39" s="13"/>
      <c r="J39" s="13"/>
      <c r="K39" s="89"/>
      <c r="L39" s="89"/>
      <c r="M39" s="13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x14ac:dyDescent="0.2">
      <c r="A40" s="39"/>
      <c r="B40" s="45"/>
      <c r="C40" s="9" t="s">
        <v>63</v>
      </c>
      <c r="D40" s="39" t="s">
        <v>58</v>
      </c>
      <c r="E40" s="39">
        <f>3.62*0.001</f>
        <v>3.6200000000000004E-3</v>
      </c>
      <c r="F40" s="13">
        <f>E40*F38</f>
        <v>0.89052000000000009</v>
      </c>
      <c r="G40" s="13"/>
      <c r="H40" s="13"/>
      <c r="I40" s="13"/>
      <c r="J40" s="13"/>
      <c r="K40" s="13"/>
      <c r="L40" s="13"/>
      <c r="M40" s="13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x14ac:dyDescent="0.2">
      <c r="A41" s="39"/>
      <c r="B41" s="49"/>
      <c r="C41" s="46" t="s">
        <v>59</v>
      </c>
      <c r="D41" s="39" t="s">
        <v>60</v>
      </c>
      <c r="E41" s="39">
        <f>0.18*0.001</f>
        <v>1.7999999999999998E-4</v>
      </c>
      <c r="F41" s="71">
        <f>E41*F38</f>
        <v>4.4279999999999993E-2</v>
      </c>
      <c r="G41" s="13"/>
      <c r="H41" s="13"/>
      <c r="I41" s="13"/>
      <c r="J41" s="13"/>
      <c r="K41" s="13"/>
      <c r="L41" s="13"/>
      <c r="M41" s="13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x14ac:dyDescent="0.2">
      <c r="A42" s="39"/>
      <c r="B42" s="49"/>
      <c r="C42" s="46" t="s">
        <v>61</v>
      </c>
      <c r="D42" s="39" t="s">
        <v>56</v>
      </c>
      <c r="E42" s="39">
        <f>0.04*0.001</f>
        <v>4.0000000000000003E-5</v>
      </c>
      <c r="F42" s="71">
        <f>E42*F38</f>
        <v>9.8400000000000015E-3</v>
      </c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27" x14ac:dyDescent="0.25">
      <c r="A43" s="39">
        <v>11</v>
      </c>
      <c r="B43" s="72"/>
      <c r="C43" s="73" t="s">
        <v>80</v>
      </c>
      <c r="D43" s="42" t="s">
        <v>56</v>
      </c>
      <c r="E43" s="42"/>
      <c r="F43" s="69">
        <v>16</v>
      </c>
      <c r="G43" s="13"/>
      <c r="H43" s="13"/>
      <c r="I43" s="13"/>
      <c r="J43" s="13"/>
      <c r="K43" s="13"/>
      <c r="L43" s="13"/>
      <c r="M43" s="13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x14ac:dyDescent="0.2">
      <c r="A44" s="39"/>
      <c r="B44" s="49"/>
      <c r="C44" s="46" t="s">
        <v>47</v>
      </c>
      <c r="D44" s="39" t="s">
        <v>48</v>
      </c>
      <c r="E44" s="39">
        <v>2.06</v>
      </c>
      <c r="F44" s="39">
        <f>F43*E44</f>
        <v>32.96</v>
      </c>
      <c r="G44" s="89"/>
      <c r="H44" s="89"/>
      <c r="I44" s="13"/>
      <c r="J44" s="13"/>
      <c r="K44" s="89"/>
      <c r="L44" s="89"/>
      <c r="M44" s="13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ht="27" x14ac:dyDescent="0.2">
      <c r="A45" s="39">
        <v>12</v>
      </c>
      <c r="B45" s="74"/>
      <c r="C45" s="55" t="s">
        <v>65</v>
      </c>
      <c r="D45" s="42" t="s">
        <v>56</v>
      </c>
      <c r="E45" s="42"/>
      <c r="F45" s="69">
        <f>F43</f>
        <v>16</v>
      </c>
      <c r="G45" s="13"/>
      <c r="H45" s="13"/>
      <c r="I45" s="13"/>
      <c r="J45" s="13"/>
      <c r="K45" s="13"/>
      <c r="L45" s="13"/>
      <c r="M45" s="13"/>
      <c r="N45" s="56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x14ac:dyDescent="0.2">
      <c r="A46" s="39"/>
      <c r="B46" s="48"/>
      <c r="C46" s="46" t="s">
        <v>47</v>
      </c>
      <c r="D46" s="39" t="s">
        <v>48</v>
      </c>
      <c r="E46" s="39">
        <f>154*0.01</f>
        <v>1.54</v>
      </c>
      <c r="F46" s="39">
        <f>F45*E46</f>
        <v>24.64</v>
      </c>
      <c r="G46" s="89"/>
      <c r="H46" s="89"/>
      <c r="I46" s="13"/>
      <c r="J46" s="13"/>
      <c r="K46" s="89"/>
      <c r="L46" s="89"/>
      <c r="M46" s="13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256" ht="40.5" x14ac:dyDescent="0.2">
      <c r="A47" s="39">
        <v>13</v>
      </c>
      <c r="B47" s="70"/>
      <c r="C47" s="151" t="s">
        <v>62</v>
      </c>
      <c r="D47" s="39" t="s">
        <v>50</v>
      </c>
      <c r="E47" s="39"/>
      <c r="F47" s="44">
        <v>29</v>
      </c>
      <c r="G47" s="13"/>
      <c r="H47" s="13"/>
      <c r="I47" s="13"/>
      <c r="J47" s="89"/>
      <c r="K47" s="13"/>
      <c r="L47" s="13"/>
      <c r="M47" s="13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27" customFormat="1" ht="40.5" x14ac:dyDescent="0.2">
      <c r="A48" s="39">
        <v>17</v>
      </c>
      <c r="B48" s="74"/>
      <c r="C48" s="111" t="s">
        <v>81</v>
      </c>
      <c r="D48" s="42" t="s">
        <v>49</v>
      </c>
      <c r="E48" s="42"/>
      <c r="F48" s="47">
        <v>3.35</v>
      </c>
      <c r="G48" s="13"/>
      <c r="H48" s="13"/>
      <c r="I48" s="13"/>
      <c r="J48" s="13"/>
      <c r="K48" s="13"/>
      <c r="L48" s="13"/>
      <c r="M48" s="13"/>
      <c r="N48" s="56"/>
    </row>
    <row r="49" spans="1:256" s="35" customFormat="1" x14ac:dyDescent="0.2">
      <c r="A49" s="39"/>
      <c r="B49" s="45"/>
      <c r="C49" s="9" t="s">
        <v>82</v>
      </c>
      <c r="D49" s="39" t="s">
        <v>58</v>
      </c>
      <c r="E49" s="39">
        <f>0.9</f>
        <v>0.9</v>
      </c>
      <c r="F49" s="13">
        <f>E49*F48</f>
        <v>3.0150000000000001</v>
      </c>
      <c r="G49" s="13"/>
      <c r="H49" s="13"/>
      <c r="I49" s="13"/>
      <c r="J49" s="13"/>
      <c r="K49" s="13"/>
      <c r="L49" s="13"/>
      <c r="M49" s="13"/>
    </row>
    <row r="50" spans="1:256" s="116" customFormat="1" ht="27" x14ac:dyDescent="0.2">
      <c r="A50" s="112"/>
      <c r="B50" s="113"/>
      <c r="C50" s="114" t="s">
        <v>236</v>
      </c>
      <c r="D50" s="112" t="s">
        <v>58</v>
      </c>
      <c r="E50" s="115">
        <v>0.45</v>
      </c>
      <c r="F50" s="13">
        <f>E50*F48</f>
        <v>1.5075000000000001</v>
      </c>
      <c r="G50" s="10"/>
      <c r="H50" s="13"/>
      <c r="I50" s="10"/>
      <c r="J50" s="13"/>
      <c r="K50" s="89"/>
      <c r="L50" s="13"/>
      <c r="M50" s="13"/>
    </row>
    <row r="51" spans="1:256" s="116" customFormat="1" x14ac:dyDescent="0.2">
      <c r="A51" s="112"/>
      <c r="B51" s="113"/>
      <c r="C51" s="118" t="s">
        <v>84</v>
      </c>
      <c r="D51" s="112"/>
      <c r="E51" s="115"/>
      <c r="F51" s="13"/>
      <c r="G51" s="10"/>
      <c r="H51" s="13"/>
      <c r="I51" s="10"/>
      <c r="J51" s="13"/>
      <c r="K51" s="89"/>
      <c r="L51" s="13"/>
      <c r="M51" s="13"/>
    </row>
    <row r="52" spans="1:256" s="101" customFormat="1" ht="54" x14ac:dyDescent="0.2">
      <c r="A52" s="104">
        <v>1</v>
      </c>
      <c r="B52" s="98"/>
      <c r="C52" s="46" t="s">
        <v>79</v>
      </c>
      <c r="D52" s="97" t="s">
        <v>56</v>
      </c>
      <c r="E52" s="97"/>
      <c r="F52" s="103">
        <v>433</v>
      </c>
      <c r="G52" s="218"/>
      <c r="H52" s="218"/>
      <c r="I52" s="218"/>
      <c r="J52" s="218"/>
      <c r="K52" s="218"/>
      <c r="L52" s="218"/>
      <c r="M52" s="218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1:256" s="101" customFormat="1" x14ac:dyDescent="0.2">
      <c r="A53" s="97"/>
      <c r="B53" s="98"/>
      <c r="C53" s="99" t="s">
        <v>47</v>
      </c>
      <c r="D53" s="97" t="s">
        <v>48</v>
      </c>
      <c r="E53" s="97">
        <f>20*0.001</f>
        <v>0.02</v>
      </c>
      <c r="F53" s="97">
        <f>F52*E53</f>
        <v>8.66</v>
      </c>
      <c r="G53" s="219"/>
      <c r="H53" s="219"/>
      <c r="I53" s="218"/>
      <c r="J53" s="218"/>
      <c r="K53" s="218"/>
      <c r="L53" s="219"/>
      <c r="M53" s="218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</row>
    <row r="54" spans="1:256" s="101" customFormat="1" x14ac:dyDescent="0.2">
      <c r="A54" s="97"/>
      <c r="B54" s="98"/>
      <c r="C54" s="99" t="s">
        <v>57</v>
      </c>
      <c r="D54" s="97" t="s">
        <v>58</v>
      </c>
      <c r="E54" s="97">
        <f>44.8*0.001</f>
        <v>4.48E-2</v>
      </c>
      <c r="F54" s="97">
        <f>E54*F52</f>
        <v>19.398399999999999</v>
      </c>
      <c r="G54" s="218"/>
      <c r="H54" s="218"/>
      <c r="I54" s="218"/>
      <c r="J54" s="218"/>
      <c r="K54" s="218"/>
      <c r="L54" s="218"/>
      <c r="M54" s="218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256" s="101" customFormat="1" x14ac:dyDescent="0.2">
      <c r="A55" s="97"/>
      <c r="B55" s="98"/>
      <c r="C55" s="99" t="s">
        <v>59</v>
      </c>
      <c r="D55" s="97" t="s">
        <v>60</v>
      </c>
      <c r="E55" s="97">
        <f>2.1*0.001</f>
        <v>2.1000000000000003E-3</v>
      </c>
      <c r="F55" s="97">
        <f>E55*F52</f>
        <v>0.90930000000000011</v>
      </c>
      <c r="G55" s="218"/>
      <c r="H55" s="218"/>
      <c r="I55" s="218"/>
      <c r="J55" s="218"/>
      <c r="K55" s="218"/>
      <c r="L55" s="218"/>
      <c r="M55" s="218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spans="1:256" s="101" customFormat="1" x14ac:dyDescent="0.2">
      <c r="A56" s="97"/>
      <c r="B56" s="98"/>
      <c r="C56" s="99" t="s">
        <v>61</v>
      </c>
      <c r="D56" s="97" t="s">
        <v>56</v>
      </c>
      <c r="E56" s="97">
        <f>0.05*0.001</f>
        <v>5.0000000000000002E-5</v>
      </c>
      <c r="F56" s="97">
        <f>E56*F52</f>
        <v>2.1650000000000003E-2</v>
      </c>
      <c r="G56" s="218"/>
      <c r="H56" s="218"/>
      <c r="I56" s="218"/>
      <c r="J56" s="218"/>
      <c r="K56" s="218"/>
      <c r="L56" s="218"/>
      <c r="M56" s="218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spans="1:256" ht="27" x14ac:dyDescent="0.2">
      <c r="A57" s="39">
        <v>2</v>
      </c>
      <c r="B57" s="70"/>
      <c r="C57" s="151" t="s">
        <v>78</v>
      </c>
      <c r="D57" s="39" t="s">
        <v>50</v>
      </c>
      <c r="E57" s="39"/>
      <c r="F57" s="44">
        <v>780</v>
      </c>
      <c r="G57" s="13"/>
      <c r="H57" s="13"/>
      <c r="I57" s="13"/>
      <c r="J57" s="89"/>
      <c r="K57" s="13"/>
      <c r="L57" s="13"/>
      <c r="M57" s="13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x14ac:dyDescent="0.2">
      <c r="A58" s="39">
        <v>3</v>
      </c>
      <c r="B58" s="48"/>
      <c r="C58" s="41" t="s">
        <v>66</v>
      </c>
      <c r="D58" s="42" t="s">
        <v>56</v>
      </c>
      <c r="E58" s="42"/>
      <c r="F58" s="69">
        <v>433</v>
      </c>
      <c r="G58" s="13"/>
      <c r="H58" s="13"/>
      <c r="I58" s="13"/>
      <c r="J58" s="13"/>
      <c r="K58" s="13"/>
      <c r="L58" s="13"/>
      <c r="M58" s="13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x14ac:dyDescent="0.2">
      <c r="A59" s="39"/>
      <c r="B59" s="48"/>
      <c r="C59" s="46" t="s">
        <v>47</v>
      </c>
      <c r="D59" s="39" t="s">
        <v>48</v>
      </c>
      <c r="E59" s="39">
        <f>3.23*0.001</f>
        <v>3.2300000000000002E-3</v>
      </c>
      <c r="F59" s="13">
        <f>E59*F58</f>
        <v>1.39859</v>
      </c>
      <c r="G59" s="89"/>
      <c r="H59" s="89"/>
      <c r="I59" s="13"/>
      <c r="J59" s="13"/>
      <c r="K59" s="89"/>
      <c r="L59" s="89"/>
      <c r="M59" s="13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x14ac:dyDescent="0.2">
      <c r="A60" s="39"/>
      <c r="B60" s="45"/>
      <c r="C60" s="9" t="s">
        <v>63</v>
      </c>
      <c r="D60" s="39" t="s">
        <v>58</v>
      </c>
      <c r="E60" s="39">
        <f>3.62*0.001</f>
        <v>3.6200000000000004E-3</v>
      </c>
      <c r="F60" s="13">
        <f>E60*F58</f>
        <v>1.5674600000000001</v>
      </c>
      <c r="G60" s="13"/>
      <c r="H60" s="13"/>
      <c r="I60" s="13"/>
      <c r="J60" s="13"/>
      <c r="K60" s="13"/>
      <c r="L60" s="13"/>
      <c r="M60" s="13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x14ac:dyDescent="0.2">
      <c r="A61" s="39"/>
      <c r="B61" s="49"/>
      <c r="C61" s="46" t="s">
        <v>59</v>
      </c>
      <c r="D61" s="39" t="s">
        <v>60</v>
      </c>
      <c r="E61" s="39">
        <f>0.18*0.001</f>
        <v>1.7999999999999998E-4</v>
      </c>
      <c r="F61" s="71">
        <f>E61*F58</f>
        <v>7.7939999999999995E-2</v>
      </c>
      <c r="G61" s="13"/>
      <c r="H61" s="13"/>
      <c r="I61" s="13"/>
      <c r="J61" s="13"/>
      <c r="K61" s="13"/>
      <c r="L61" s="13"/>
      <c r="M61" s="13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x14ac:dyDescent="0.2">
      <c r="A62" s="39"/>
      <c r="B62" s="49"/>
      <c r="C62" s="46" t="s">
        <v>61</v>
      </c>
      <c r="D62" s="39" t="s">
        <v>56</v>
      </c>
      <c r="E62" s="39">
        <f>0.04*0.001</f>
        <v>4.0000000000000003E-5</v>
      </c>
      <c r="F62" s="71">
        <f>E62*F58</f>
        <v>1.7320000000000002E-2</v>
      </c>
      <c r="G62" s="13"/>
      <c r="H62" s="13"/>
      <c r="I62" s="13"/>
      <c r="J62" s="13"/>
      <c r="K62" s="13"/>
      <c r="L62" s="13"/>
      <c r="M62" s="13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27" x14ac:dyDescent="0.25">
      <c r="A63" s="39">
        <v>4</v>
      </c>
      <c r="B63" s="72"/>
      <c r="C63" s="73" t="s">
        <v>80</v>
      </c>
      <c r="D63" s="42" t="s">
        <v>56</v>
      </c>
      <c r="E63" s="42"/>
      <c r="F63" s="69">
        <v>43</v>
      </c>
      <c r="G63" s="13"/>
      <c r="H63" s="13"/>
      <c r="I63" s="13"/>
      <c r="J63" s="13"/>
      <c r="K63" s="13"/>
      <c r="L63" s="13"/>
      <c r="M63" s="13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x14ac:dyDescent="0.2">
      <c r="A64" s="39"/>
      <c r="B64" s="49"/>
      <c r="C64" s="46" t="s">
        <v>47</v>
      </c>
      <c r="D64" s="39" t="s">
        <v>48</v>
      </c>
      <c r="E64" s="39">
        <v>3.88</v>
      </c>
      <c r="F64" s="39">
        <f>F63*E64</f>
        <v>166.84</v>
      </c>
      <c r="G64" s="89"/>
      <c r="H64" s="89"/>
      <c r="I64" s="13"/>
      <c r="J64" s="13"/>
      <c r="K64" s="89"/>
      <c r="L64" s="89"/>
      <c r="M64" s="13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</row>
    <row r="65" spans="1:256" ht="27" x14ac:dyDescent="0.2">
      <c r="A65" s="39">
        <v>5</v>
      </c>
      <c r="B65" s="74"/>
      <c r="C65" s="55" t="s">
        <v>65</v>
      </c>
      <c r="D65" s="42" t="s">
        <v>56</v>
      </c>
      <c r="E65" s="42"/>
      <c r="F65" s="69">
        <f>F63</f>
        <v>43</v>
      </c>
      <c r="G65" s="13"/>
      <c r="H65" s="13"/>
      <c r="I65" s="13"/>
      <c r="J65" s="13"/>
      <c r="K65" s="13"/>
      <c r="L65" s="13"/>
      <c r="M65" s="13"/>
      <c r="N65" s="56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x14ac:dyDescent="0.2">
      <c r="A66" s="39"/>
      <c r="B66" s="48"/>
      <c r="C66" s="46" t="s">
        <v>47</v>
      </c>
      <c r="D66" s="39" t="s">
        <v>48</v>
      </c>
      <c r="E66" s="39">
        <f>154*0.01</f>
        <v>1.54</v>
      </c>
      <c r="F66" s="39">
        <f>F65*E66</f>
        <v>66.22</v>
      </c>
      <c r="G66" s="89"/>
      <c r="H66" s="89"/>
      <c r="I66" s="13"/>
      <c r="J66" s="13"/>
      <c r="K66" s="89"/>
      <c r="L66" s="89"/>
      <c r="M66" s="13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</row>
    <row r="67" spans="1:256" ht="40.5" x14ac:dyDescent="0.2">
      <c r="A67" s="39">
        <v>6</v>
      </c>
      <c r="B67" s="70"/>
      <c r="C67" s="151" t="s">
        <v>62</v>
      </c>
      <c r="D67" s="39" t="s">
        <v>50</v>
      </c>
      <c r="E67" s="39"/>
      <c r="F67" s="44">
        <v>77.400000000000006</v>
      </c>
      <c r="G67" s="13"/>
      <c r="H67" s="13"/>
      <c r="I67" s="13"/>
      <c r="J67" s="89"/>
      <c r="K67" s="13"/>
      <c r="L67" s="13"/>
      <c r="M67" s="13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s="27" customFormat="1" ht="27" x14ac:dyDescent="0.2">
      <c r="A68" s="39">
        <v>8</v>
      </c>
      <c r="B68" s="18"/>
      <c r="C68" s="9" t="s">
        <v>207</v>
      </c>
      <c r="D68" s="39" t="s">
        <v>56</v>
      </c>
      <c r="E68" s="39"/>
      <c r="F68" s="194">
        <v>44</v>
      </c>
      <c r="G68" s="13"/>
      <c r="H68" s="10"/>
      <c r="I68" s="13"/>
      <c r="J68" s="13"/>
      <c r="K68" s="13"/>
      <c r="L68" s="13"/>
      <c r="M68" s="13"/>
    </row>
    <row r="69" spans="1:256" s="50" customFormat="1" x14ac:dyDescent="0.2">
      <c r="A69" s="39"/>
      <c r="B69" s="48"/>
      <c r="C69" s="46" t="s">
        <v>47</v>
      </c>
      <c r="D69" s="39" t="s">
        <v>48</v>
      </c>
      <c r="E69" s="13">
        <v>1.8</v>
      </c>
      <c r="F69" s="13">
        <f>E69*F68</f>
        <v>79.2</v>
      </c>
      <c r="G69" s="89"/>
      <c r="H69" s="89"/>
      <c r="I69" s="13"/>
      <c r="J69" s="13"/>
      <c r="K69" s="89"/>
      <c r="L69" s="89"/>
      <c r="M69" s="13"/>
    </row>
    <row r="70" spans="1:256" s="50" customFormat="1" x14ac:dyDescent="0.25">
      <c r="A70" s="39"/>
      <c r="B70" s="48"/>
      <c r="C70" s="46" t="s">
        <v>85</v>
      </c>
      <c r="D70" s="39" t="s">
        <v>56</v>
      </c>
      <c r="E70" s="13">
        <v>1.1000000000000001</v>
      </c>
      <c r="F70" s="13">
        <f>E70*F68</f>
        <v>48.400000000000006</v>
      </c>
      <c r="G70" s="13"/>
      <c r="H70" s="60"/>
      <c r="I70" s="13"/>
      <c r="J70" s="13"/>
      <c r="K70" s="89"/>
      <c r="L70" s="89"/>
      <c r="M70" s="13"/>
    </row>
    <row r="71" spans="1:256" s="27" customFormat="1" ht="39.75" x14ac:dyDescent="0.25">
      <c r="A71" s="39">
        <v>9</v>
      </c>
      <c r="B71" s="70"/>
      <c r="C71" s="106" t="s">
        <v>227</v>
      </c>
      <c r="D71" s="62" t="s">
        <v>56</v>
      </c>
      <c r="E71" s="13"/>
      <c r="F71" s="119">
        <v>137.19999999999999</v>
      </c>
      <c r="G71" s="13"/>
      <c r="H71" s="13"/>
      <c r="I71" s="13"/>
      <c r="J71" s="13"/>
      <c r="K71" s="13"/>
      <c r="L71" s="13"/>
      <c r="M71" s="13"/>
    </row>
    <row r="72" spans="1:256" s="50" customFormat="1" x14ac:dyDescent="0.2">
      <c r="A72" s="39"/>
      <c r="B72" s="48"/>
      <c r="C72" s="46" t="s">
        <v>47</v>
      </c>
      <c r="D72" s="39" t="s">
        <v>48</v>
      </c>
      <c r="E72" s="39">
        <v>11.2</v>
      </c>
      <c r="F72" s="39">
        <f>F71*E72</f>
        <v>1536.6399999999999</v>
      </c>
      <c r="G72" s="89"/>
      <c r="H72" s="89"/>
      <c r="I72" s="13"/>
      <c r="J72" s="13"/>
      <c r="K72" s="89"/>
      <c r="L72" s="89"/>
      <c r="M72" s="13"/>
    </row>
    <row r="73" spans="1:256" s="27" customFormat="1" x14ac:dyDescent="0.2">
      <c r="A73" s="39"/>
      <c r="B73" s="70"/>
      <c r="C73" s="46" t="s">
        <v>59</v>
      </c>
      <c r="D73" s="39" t="s">
        <v>60</v>
      </c>
      <c r="E73" s="39">
        <v>0.79</v>
      </c>
      <c r="F73" s="13">
        <f>E73*F71</f>
        <v>108.38799999999999</v>
      </c>
      <c r="G73" s="13"/>
      <c r="H73" s="13"/>
      <c r="I73" s="13"/>
      <c r="J73" s="89"/>
      <c r="K73" s="13"/>
      <c r="L73" s="13"/>
      <c r="M73" s="13"/>
    </row>
    <row r="74" spans="1:256" s="3" customFormat="1" x14ac:dyDescent="0.25">
      <c r="A74" s="62"/>
      <c r="B74" s="84"/>
      <c r="C74" s="85" t="s">
        <v>213</v>
      </c>
      <c r="D74" s="86" t="s">
        <v>56</v>
      </c>
      <c r="E74" s="94">
        <v>1.0149999999999999</v>
      </c>
      <c r="F74" s="87">
        <f>E74*F71</f>
        <v>139.25799999999998</v>
      </c>
      <c r="G74" s="13"/>
      <c r="H74" s="60"/>
      <c r="I74" s="13"/>
      <c r="J74" s="60"/>
      <c r="K74" s="60"/>
      <c r="L74" s="60"/>
      <c r="M74" s="13"/>
    </row>
    <row r="75" spans="1:256" s="3" customFormat="1" x14ac:dyDescent="0.25">
      <c r="A75" s="62"/>
      <c r="B75" s="84"/>
      <c r="C75" s="85" t="s">
        <v>86</v>
      </c>
      <c r="D75" s="86" t="s">
        <v>56</v>
      </c>
      <c r="E75" s="120">
        <f>0.45*0.01</f>
        <v>4.5000000000000005E-3</v>
      </c>
      <c r="F75" s="87">
        <f>E75*F71</f>
        <v>0.61740000000000006</v>
      </c>
      <c r="G75" s="13"/>
      <c r="H75" s="60"/>
      <c r="I75" s="13"/>
      <c r="J75" s="60"/>
      <c r="K75" s="60"/>
      <c r="L75" s="60"/>
      <c r="M75" s="13"/>
    </row>
    <row r="76" spans="1:256" s="3" customFormat="1" x14ac:dyDescent="0.25">
      <c r="A76" s="62"/>
      <c r="B76" s="84"/>
      <c r="C76" s="68" t="s">
        <v>87</v>
      </c>
      <c r="D76" s="62" t="s">
        <v>56</v>
      </c>
      <c r="E76" s="120">
        <v>6.1600000000000002E-2</v>
      </c>
      <c r="F76" s="87">
        <f>E76*F71</f>
        <v>8.4515200000000004</v>
      </c>
      <c r="G76" s="13"/>
      <c r="H76" s="60"/>
      <c r="I76" s="13"/>
      <c r="J76" s="60"/>
      <c r="K76" s="60"/>
      <c r="L76" s="60"/>
      <c r="M76" s="13"/>
    </row>
    <row r="77" spans="1:256" s="3" customFormat="1" x14ac:dyDescent="0.25">
      <c r="A77" s="62"/>
      <c r="B77" s="84"/>
      <c r="C77" s="68" t="s">
        <v>88</v>
      </c>
      <c r="D77" s="62" t="s">
        <v>56</v>
      </c>
      <c r="E77" s="95">
        <v>4.8800000000000003E-2</v>
      </c>
      <c r="F77" s="87">
        <f>E77*F71</f>
        <v>6.69536</v>
      </c>
      <c r="G77" s="13"/>
      <c r="H77" s="60"/>
      <c r="I77" s="13"/>
      <c r="J77" s="60"/>
      <c r="K77" s="60"/>
      <c r="L77" s="60"/>
      <c r="M77" s="13"/>
    </row>
    <row r="78" spans="1:256" s="3" customFormat="1" x14ac:dyDescent="0.25">
      <c r="A78" s="62"/>
      <c r="B78" s="84"/>
      <c r="C78" s="85" t="s">
        <v>89</v>
      </c>
      <c r="D78" s="86" t="s">
        <v>90</v>
      </c>
      <c r="E78" s="86">
        <v>2.2799999999999998</v>
      </c>
      <c r="F78" s="87">
        <f>E78*F71</f>
        <v>312.81599999999997</v>
      </c>
      <c r="G78" s="13"/>
      <c r="H78" s="60"/>
      <c r="I78" s="13"/>
      <c r="J78" s="60"/>
      <c r="K78" s="60"/>
      <c r="L78" s="60"/>
      <c r="M78" s="13"/>
    </row>
    <row r="79" spans="1:256" s="3" customFormat="1" x14ac:dyDescent="0.25">
      <c r="A79" s="62"/>
      <c r="B79" s="84"/>
      <c r="C79" s="85" t="s">
        <v>91</v>
      </c>
      <c r="D79" s="86" t="s">
        <v>92</v>
      </c>
      <c r="E79" s="86"/>
      <c r="F79" s="144">
        <v>11129</v>
      </c>
      <c r="G79" s="13"/>
      <c r="H79" s="60"/>
      <c r="I79" s="13"/>
      <c r="J79" s="60"/>
      <c r="K79" s="60"/>
      <c r="L79" s="60"/>
      <c r="M79" s="13"/>
    </row>
    <row r="80" spans="1:256" s="35" customFormat="1" ht="27" x14ac:dyDescent="0.2">
      <c r="A80" s="39">
        <v>10</v>
      </c>
      <c r="B80" s="121"/>
      <c r="C80" s="46" t="s">
        <v>93</v>
      </c>
      <c r="D80" s="39" t="s">
        <v>46</v>
      </c>
      <c r="E80" s="39"/>
      <c r="F80" s="13">
        <v>7.3</v>
      </c>
      <c r="G80" s="13"/>
      <c r="H80" s="13"/>
      <c r="I80" s="13"/>
      <c r="J80" s="13"/>
      <c r="K80" s="13"/>
      <c r="L80" s="10"/>
      <c r="M80" s="13"/>
    </row>
    <row r="81" spans="1:215" s="50" customFormat="1" x14ac:dyDescent="0.2">
      <c r="A81" s="39"/>
      <c r="B81" s="48"/>
      <c r="C81" s="46" t="s">
        <v>47</v>
      </c>
      <c r="D81" s="39" t="s">
        <v>48</v>
      </c>
      <c r="E81" s="39">
        <v>33.6</v>
      </c>
      <c r="F81" s="13">
        <f>F80*E81</f>
        <v>245.28</v>
      </c>
      <c r="G81" s="89"/>
      <c r="H81" s="89"/>
      <c r="I81" s="13"/>
      <c r="J81" s="13"/>
      <c r="K81" s="89"/>
      <c r="L81" s="89"/>
      <c r="M81" s="13"/>
    </row>
    <row r="82" spans="1:215" s="35" customFormat="1" x14ac:dyDescent="0.2">
      <c r="A82" s="39"/>
      <c r="B82" s="18"/>
      <c r="C82" s="46" t="s">
        <v>94</v>
      </c>
      <c r="D82" s="39" t="s">
        <v>60</v>
      </c>
      <c r="E82" s="39">
        <v>1.5</v>
      </c>
      <c r="F82" s="13">
        <f>E82*F80</f>
        <v>10.95</v>
      </c>
      <c r="G82" s="13"/>
      <c r="H82" s="13"/>
      <c r="I82" s="13"/>
      <c r="J82" s="13"/>
      <c r="K82" s="13"/>
      <c r="L82" s="10"/>
      <c r="M82" s="13"/>
    </row>
    <row r="83" spans="1:215" s="35" customFormat="1" x14ac:dyDescent="0.25">
      <c r="A83" s="194"/>
      <c r="B83" s="178"/>
      <c r="C83" s="70" t="s">
        <v>95</v>
      </c>
      <c r="D83" s="39" t="s">
        <v>50</v>
      </c>
      <c r="E83" s="39">
        <v>0.24</v>
      </c>
      <c r="F83" s="13">
        <f>E83*F80</f>
        <v>1.752</v>
      </c>
      <c r="G83" s="60"/>
      <c r="H83" s="13"/>
      <c r="I83" s="13"/>
      <c r="J83" s="13"/>
      <c r="K83" s="60"/>
      <c r="L83" s="10"/>
      <c r="M83" s="13"/>
    </row>
    <row r="84" spans="1:215" s="35" customFormat="1" x14ac:dyDescent="0.2">
      <c r="A84" s="39"/>
      <c r="B84" s="121"/>
      <c r="C84" s="88" t="s">
        <v>96</v>
      </c>
      <c r="D84" s="86" t="s">
        <v>60</v>
      </c>
      <c r="E84" s="86">
        <v>2.2799999999999998</v>
      </c>
      <c r="F84" s="87">
        <f>E84*F80</f>
        <v>16.643999999999998</v>
      </c>
      <c r="G84" s="13"/>
      <c r="H84" s="13"/>
      <c r="I84" s="13"/>
      <c r="J84" s="13"/>
      <c r="K84" s="13"/>
      <c r="L84" s="13"/>
      <c r="M84" s="13"/>
    </row>
    <row r="85" spans="1:215" s="35" customFormat="1" ht="47.25" customHeight="1" x14ac:dyDescent="0.2">
      <c r="A85" s="39">
        <v>11</v>
      </c>
      <c r="B85" s="18"/>
      <c r="C85" s="83" t="s">
        <v>97</v>
      </c>
      <c r="D85" s="42" t="s">
        <v>56</v>
      </c>
      <c r="E85" s="42"/>
      <c r="F85" s="69">
        <v>146</v>
      </c>
      <c r="G85" s="13"/>
      <c r="H85" s="13"/>
      <c r="I85" s="13"/>
      <c r="J85" s="13"/>
      <c r="K85" s="13"/>
      <c r="L85" s="13"/>
      <c r="M85" s="13"/>
    </row>
    <row r="86" spans="1:215" s="50" customFormat="1" x14ac:dyDescent="0.2">
      <c r="A86" s="39"/>
      <c r="B86" s="48"/>
      <c r="C86" s="46" t="s">
        <v>47</v>
      </c>
      <c r="D86" s="39" t="s">
        <v>48</v>
      </c>
      <c r="E86" s="39">
        <f>15*0.01</f>
        <v>0.15</v>
      </c>
      <c r="F86" s="13">
        <f>F85*E86</f>
        <v>21.9</v>
      </c>
      <c r="G86" s="89"/>
      <c r="H86" s="89"/>
      <c r="I86" s="13"/>
      <c r="J86" s="13"/>
      <c r="K86" s="89"/>
      <c r="L86" s="89"/>
      <c r="M86" s="13"/>
    </row>
    <row r="87" spans="1:215" s="35" customFormat="1" ht="27" x14ac:dyDescent="0.2">
      <c r="A87" s="39"/>
      <c r="B87" s="18"/>
      <c r="C87" s="46" t="s">
        <v>236</v>
      </c>
      <c r="D87" s="39" t="s">
        <v>58</v>
      </c>
      <c r="E87" s="39">
        <f>2.16*0.01</f>
        <v>2.1600000000000001E-2</v>
      </c>
      <c r="F87" s="13">
        <f>E87*F85</f>
        <v>3.1536</v>
      </c>
      <c r="G87" s="13"/>
      <c r="H87" s="13"/>
      <c r="I87" s="13"/>
      <c r="J87" s="13"/>
      <c r="K87" s="13"/>
      <c r="L87" s="10"/>
      <c r="M87" s="13"/>
    </row>
    <row r="88" spans="1:215" s="35" customFormat="1" ht="27" x14ac:dyDescent="0.2">
      <c r="A88" s="39"/>
      <c r="B88" s="18"/>
      <c r="C88" s="46" t="s">
        <v>99</v>
      </c>
      <c r="D88" s="39" t="s">
        <v>58</v>
      </c>
      <c r="E88" s="39">
        <f>2.73*0.01</f>
        <v>2.7300000000000001E-2</v>
      </c>
      <c r="F88" s="13">
        <f>E88*F85</f>
        <v>3.9858000000000002</v>
      </c>
      <c r="G88" s="13"/>
      <c r="H88" s="13"/>
      <c r="I88" s="13"/>
      <c r="J88" s="13"/>
      <c r="K88" s="13"/>
      <c r="L88" s="10"/>
      <c r="M88" s="13"/>
    </row>
    <row r="89" spans="1:215" s="35" customFormat="1" ht="18" customHeight="1" x14ac:dyDescent="0.2">
      <c r="A89" s="39"/>
      <c r="B89" s="18"/>
      <c r="C89" s="46" t="s">
        <v>100</v>
      </c>
      <c r="D89" s="39" t="s">
        <v>58</v>
      </c>
      <c r="E89" s="39">
        <f>0.97*0.01</f>
        <v>9.7000000000000003E-3</v>
      </c>
      <c r="F89" s="13">
        <f>E89*F85</f>
        <v>1.4162000000000001</v>
      </c>
      <c r="G89" s="13"/>
      <c r="H89" s="13"/>
      <c r="I89" s="13"/>
      <c r="J89" s="13"/>
      <c r="K89" s="13"/>
      <c r="L89" s="10"/>
      <c r="M89" s="13"/>
    </row>
    <row r="90" spans="1:215" s="35" customFormat="1" x14ac:dyDescent="0.2">
      <c r="A90" s="39"/>
      <c r="B90" s="18"/>
      <c r="C90" s="46" t="s">
        <v>101</v>
      </c>
      <c r="D90" s="39"/>
      <c r="E90" s="39"/>
      <c r="F90" s="13"/>
      <c r="G90" s="13"/>
      <c r="H90" s="13"/>
      <c r="I90" s="13"/>
      <c r="J90" s="13"/>
      <c r="K90" s="13"/>
      <c r="L90" s="10"/>
      <c r="M90" s="13"/>
    </row>
    <row r="91" spans="1:215" s="3" customFormat="1" x14ac:dyDescent="0.25">
      <c r="A91" s="194"/>
      <c r="B91" s="194"/>
      <c r="C91" s="9" t="s">
        <v>102</v>
      </c>
      <c r="D91" s="194" t="s">
        <v>56</v>
      </c>
      <c r="E91" s="179">
        <f>122*0.01</f>
        <v>1.22</v>
      </c>
      <c r="F91" s="96">
        <f>E91*F85</f>
        <v>178.12</v>
      </c>
      <c r="G91" s="96"/>
      <c r="H91" s="10"/>
      <c r="I91" s="96"/>
      <c r="J91" s="96"/>
      <c r="K91" s="96"/>
      <c r="L91" s="96"/>
      <c r="M91" s="96"/>
    </row>
    <row r="92" spans="1:215" s="35" customFormat="1" x14ac:dyDescent="0.2">
      <c r="A92" s="39"/>
      <c r="B92" s="121"/>
      <c r="C92" s="88" t="s">
        <v>103</v>
      </c>
      <c r="D92" s="194" t="s">
        <v>56</v>
      </c>
      <c r="E92" s="179">
        <f>7*0.01</f>
        <v>7.0000000000000007E-2</v>
      </c>
      <c r="F92" s="96">
        <f>E92*F85</f>
        <v>10.220000000000001</v>
      </c>
      <c r="G92" s="13"/>
      <c r="H92" s="13"/>
      <c r="I92" s="13"/>
      <c r="J92" s="13"/>
      <c r="K92" s="13"/>
      <c r="L92" s="13"/>
      <c r="M92" s="13"/>
    </row>
    <row r="93" spans="1:215" s="61" customFormat="1" x14ac:dyDescent="0.25">
      <c r="A93" s="194"/>
      <c r="B93" s="194"/>
      <c r="C93" s="57" t="s">
        <v>51</v>
      </c>
      <c r="D93" s="58"/>
      <c r="E93" s="59"/>
      <c r="F93" s="194"/>
      <c r="G93" s="60"/>
      <c r="H93" s="10"/>
      <c r="I93" s="60"/>
      <c r="J93" s="10"/>
      <c r="K93" s="60"/>
      <c r="L93" s="10"/>
      <c r="M93" s="10"/>
    </row>
    <row r="94" spans="1:215" s="66" customFormat="1" x14ac:dyDescent="0.25">
      <c r="A94" s="62"/>
      <c r="B94" s="62"/>
      <c r="C94" s="63" t="s">
        <v>245</v>
      </c>
      <c r="D94" s="60"/>
      <c r="E94" s="62"/>
      <c r="F94" s="60"/>
      <c r="G94" s="60"/>
      <c r="H94" s="60"/>
      <c r="I94" s="60"/>
      <c r="J94" s="60"/>
      <c r="K94" s="60"/>
      <c r="L94" s="60"/>
      <c r="M94" s="67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</row>
    <row r="95" spans="1:215" s="66" customFormat="1" x14ac:dyDescent="0.25">
      <c r="A95" s="62"/>
      <c r="B95" s="62"/>
      <c r="C95" s="63" t="s">
        <v>52</v>
      </c>
      <c r="D95" s="60"/>
      <c r="E95" s="62"/>
      <c r="F95" s="60"/>
      <c r="G95" s="60"/>
      <c r="H95" s="60"/>
      <c r="I95" s="60"/>
      <c r="J95" s="60"/>
      <c r="K95" s="60"/>
      <c r="L95" s="60"/>
      <c r="M95" s="67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</row>
    <row r="96" spans="1:215" s="66" customFormat="1" x14ac:dyDescent="0.25">
      <c r="A96" s="62"/>
      <c r="B96" s="62"/>
      <c r="C96" s="63" t="s">
        <v>246</v>
      </c>
      <c r="D96" s="60"/>
      <c r="E96" s="62"/>
      <c r="F96" s="60"/>
      <c r="G96" s="60"/>
      <c r="H96" s="60"/>
      <c r="I96" s="60"/>
      <c r="J96" s="60"/>
      <c r="K96" s="60"/>
      <c r="L96" s="60"/>
      <c r="M96" s="67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</row>
    <row r="97" spans="1:215" s="66" customFormat="1" x14ac:dyDescent="0.25">
      <c r="A97" s="62"/>
      <c r="B97" s="62"/>
      <c r="C97" s="68" t="s">
        <v>51</v>
      </c>
      <c r="D97" s="62"/>
      <c r="E97" s="62"/>
      <c r="F97" s="62"/>
      <c r="G97" s="67"/>
      <c r="H97" s="60"/>
      <c r="I97" s="60"/>
      <c r="J97" s="60"/>
      <c r="K97" s="60"/>
      <c r="L97" s="60"/>
      <c r="M97" s="67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</row>
    <row r="100" spans="1:215" ht="38.25" customHeight="1" x14ac:dyDescent="0.2">
      <c r="A100" s="235" t="s">
        <v>249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215" ht="12.75" x14ac:dyDescent="0.2">
      <c r="A101" s="236" t="s">
        <v>250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</row>
  </sheetData>
  <mergeCells count="13">
    <mergeCell ref="A100:M100"/>
    <mergeCell ref="A101:M101"/>
    <mergeCell ref="I5:J5"/>
    <mergeCell ref="K5:L5"/>
    <mergeCell ref="M5:M6"/>
    <mergeCell ref="C3:F3"/>
    <mergeCell ref="A4:L4"/>
    <mergeCell ref="A5:A6"/>
    <mergeCell ref="B5:B6"/>
    <mergeCell ref="C5:C6"/>
    <mergeCell ref="D5:D6"/>
    <mergeCell ref="E5:F5"/>
    <mergeCell ref="G5:H5"/>
  </mergeCells>
  <conditionalFormatting sqref="A91:IU91 A7:HY7 A8:IK9 A10:IT42 A47:IT47 A48:IQ49 A52:IT62 A80:IS84 A43:IS46 A63:IS66 A85:IU85 A86:IS90 A50:HM51 A67:IT79">
    <cfRule type="cellIs" dxfId="54" priority="6" stopIfTrue="1" operator="equal">
      <formula>8223.307275</formula>
    </cfRule>
  </conditionalFormatting>
  <conditionalFormatting sqref="IR93 A93:IQ97">
    <cfRule type="cellIs" dxfId="53" priority="5" stopIfTrue="1" operator="equal">
      <formula>8223.307275</formula>
    </cfRule>
  </conditionalFormatting>
  <conditionalFormatting sqref="A92:C92 G92:IS92">
    <cfRule type="cellIs" dxfId="52" priority="4" stopIfTrue="1" operator="equal">
      <formula>8223.307275</formula>
    </cfRule>
  </conditionalFormatting>
  <conditionalFormatting sqref="D92">
    <cfRule type="cellIs" dxfId="51" priority="3" stopIfTrue="1" operator="equal">
      <formula>8223.307275</formula>
    </cfRule>
  </conditionalFormatting>
  <conditionalFormatting sqref="E92">
    <cfRule type="cellIs" dxfId="50" priority="2" stopIfTrue="1" operator="equal">
      <formula>8223.307275</formula>
    </cfRule>
  </conditionalFormatting>
  <conditionalFormatting sqref="F92">
    <cfRule type="cellIs" dxfId="49" priority="1" stopIfTrue="1" operator="equal">
      <formula>8223.307275</formula>
    </cfRule>
  </conditionalFormatting>
  <pageMargins left="0.11811023622047245" right="0.11811023622047245" top="0.6692913385826772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6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7.42578125" customWidth="1"/>
    <col min="3" max="3" width="27.140625" style="2" customWidth="1"/>
  </cols>
  <sheetData>
    <row r="1" spans="1:13" ht="15.75" x14ac:dyDescent="0.25">
      <c r="A1" s="75" t="s">
        <v>0</v>
      </c>
    </row>
    <row r="2" spans="1:13" ht="15.75" x14ac:dyDescent="0.25">
      <c r="A2" s="75" t="s">
        <v>1</v>
      </c>
    </row>
    <row r="3" spans="1:13" s="27" customFormat="1" ht="15" x14ac:dyDescent="0.2">
      <c r="A3" s="26"/>
      <c r="C3" s="216"/>
      <c r="D3" s="216"/>
      <c r="E3" s="216"/>
      <c r="F3" s="216"/>
      <c r="G3" s="28"/>
      <c r="H3" s="28"/>
      <c r="I3" s="28"/>
      <c r="J3" s="28"/>
      <c r="K3" s="28"/>
      <c r="L3" s="29"/>
    </row>
    <row r="4" spans="1:13" s="27" customFormat="1" ht="15.75" x14ac:dyDescent="0.2">
      <c r="A4" s="210" t="s">
        <v>104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3" s="27" customFormat="1" ht="14.25" x14ac:dyDescent="0.2">
      <c r="A5" s="30"/>
      <c r="B5" s="31"/>
      <c r="C5" s="211" t="s">
        <v>105</v>
      </c>
      <c r="D5" s="211"/>
      <c r="E5" s="211"/>
      <c r="F5" s="211"/>
      <c r="G5" s="149"/>
      <c r="I5" s="32"/>
      <c r="J5" s="33"/>
      <c r="K5" s="33"/>
      <c r="L5" s="34"/>
      <c r="M5" s="30"/>
    </row>
    <row r="6" spans="1:13" s="35" customFormat="1" x14ac:dyDescent="0.2">
      <c r="A6" s="208" t="s">
        <v>2</v>
      </c>
      <c r="B6" s="221" t="s">
        <v>35</v>
      </c>
      <c r="C6" s="208" t="s">
        <v>36</v>
      </c>
      <c r="D6" s="208" t="s">
        <v>37</v>
      </c>
      <c r="E6" s="214" t="s">
        <v>38</v>
      </c>
      <c r="F6" s="215"/>
      <c r="G6" s="208" t="s">
        <v>39</v>
      </c>
      <c r="H6" s="208"/>
      <c r="I6" s="208" t="s">
        <v>40</v>
      </c>
      <c r="J6" s="208"/>
      <c r="K6" s="208" t="s">
        <v>41</v>
      </c>
      <c r="L6" s="208"/>
      <c r="M6" s="209" t="s">
        <v>42</v>
      </c>
    </row>
    <row r="7" spans="1:13" s="35" customFormat="1" ht="27" x14ac:dyDescent="0.2">
      <c r="A7" s="208"/>
      <c r="B7" s="222"/>
      <c r="C7" s="208"/>
      <c r="D7" s="208"/>
      <c r="E7" s="19" t="s">
        <v>43</v>
      </c>
      <c r="F7" s="19" t="s">
        <v>32</v>
      </c>
      <c r="G7" s="19" t="s">
        <v>44</v>
      </c>
      <c r="H7" s="36" t="s">
        <v>42</v>
      </c>
      <c r="I7" s="37" t="s">
        <v>44</v>
      </c>
      <c r="J7" s="19" t="s">
        <v>42</v>
      </c>
      <c r="K7" s="19" t="s">
        <v>44</v>
      </c>
      <c r="L7" s="38" t="s">
        <v>42</v>
      </c>
      <c r="M7" s="209"/>
    </row>
    <row r="8" spans="1:13" s="35" customFormat="1" x14ac:dyDescent="0.2">
      <c r="A8" s="139">
        <v>1</v>
      </c>
      <c r="B8" s="140">
        <v>2</v>
      </c>
      <c r="C8" s="139">
        <v>3</v>
      </c>
      <c r="D8" s="140">
        <v>4</v>
      </c>
      <c r="E8" s="139">
        <v>5</v>
      </c>
      <c r="F8" s="140">
        <v>6</v>
      </c>
      <c r="G8" s="141">
        <v>7</v>
      </c>
      <c r="H8" s="140">
        <v>8</v>
      </c>
      <c r="I8" s="139">
        <v>9</v>
      </c>
      <c r="J8" s="140">
        <v>10</v>
      </c>
      <c r="K8" s="139">
        <v>11</v>
      </c>
      <c r="L8" s="141">
        <v>12</v>
      </c>
      <c r="M8" s="140" t="s">
        <v>45</v>
      </c>
    </row>
    <row r="9" spans="1:13" ht="27" x14ac:dyDescent="0.25">
      <c r="A9" s="77"/>
      <c r="B9" s="77"/>
      <c r="C9" s="81" t="s">
        <v>106</v>
      </c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s="27" customFormat="1" ht="27" x14ac:dyDescent="0.2">
      <c r="A10" s="39">
        <v>1</v>
      </c>
      <c r="B10" s="18"/>
      <c r="C10" s="9" t="s">
        <v>207</v>
      </c>
      <c r="D10" s="39" t="s">
        <v>56</v>
      </c>
      <c r="E10" s="39"/>
      <c r="F10" s="148">
        <v>7.5</v>
      </c>
      <c r="G10" s="13"/>
      <c r="H10" s="10"/>
      <c r="I10" s="13"/>
      <c r="J10" s="13"/>
      <c r="K10" s="13"/>
      <c r="L10" s="13"/>
      <c r="M10" s="13"/>
    </row>
    <row r="11" spans="1:13" s="50" customFormat="1" x14ac:dyDescent="0.2">
      <c r="A11" s="39"/>
      <c r="B11" s="48"/>
      <c r="C11" s="46" t="s">
        <v>47</v>
      </c>
      <c r="D11" s="39" t="s">
        <v>48</v>
      </c>
      <c r="E11" s="13">
        <v>1.8</v>
      </c>
      <c r="F11" s="13">
        <f>E11*F10</f>
        <v>13.5</v>
      </c>
      <c r="G11" s="89"/>
      <c r="H11" s="89"/>
      <c r="I11" s="13"/>
      <c r="J11" s="13"/>
      <c r="K11" s="89"/>
      <c r="L11" s="89"/>
      <c r="M11" s="13"/>
    </row>
    <row r="12" spans="1:13" s="50" customFormat="1" x14ac:dyDescent="0.25">
      <c r="A12" s="39"/>
      <c r="B12" s="48"/>
      <c r="C12" s="46" t="s">
        <v>85</v>
      </c>
      <c r="D12" s="39" t="s">
        <v>56</v>
      </c>
      <c r="E12" s="13">
        <v>1.1000000000000001</v>
      </c>
      <c r="F12" s="13">
        <f>E12*F10</f>
        <v>8.25</v>
      </c>
      <c r="G12" s="13"/>
      <c r="H12" s="60"/>
      <c r="I12" s="13"/>
      <c r="J12" s="13"/>
      <c r="K12" s="89"/>
      <c r="L12" s="89"/>
      <c r="M12" s="13"/>
    </row>
    <row r="13" spans="1:13" s="27" customFormat="1" ht="40.5" customHeight="1" x14ac:dyDescent="0.2">
      <c r="A13" s="39">
        <v>2</v>
      </c>
      <c r="B13" s="74"/>
      <c r="C13" s="82" t="s">
        <v>237</v>
      </c>
      <c r="D13" s="42" t="s">
        <v>56</v>
      </c>
      <c r="E13" s="42"/>
      <c r="F13" s="69">
        <v>5.3</v>
      </c>
      <c r="G13" s="13"/>
      <c r="H13" s="13"/>
      <c r="I13" s="13"/>
      <c r="J13" s="13"/>
      <c r="K13" s="13"/>
      <c r="L13" s="13"/>
      <c r="M13" s="13"/>
    </row>
    <row r="14" spans="1:13" s="50" customFormat="1" x14ac:dyDescent="0.2">
      <c r="A14" s="39"/>
      <c r="B14" s="48"/>
      <c r="C14" s="46" t="s">
        <v>47</v>
      </c>
      <c r="D14" s="39" t="s">
        <v>48</v>
      </c>
      <c r="E14" s="39">
        <v>8</v>
      </c>
      <c r="F14" s="13">
        <f>F13*E14</f>
        <v>42.4</v>
      </c>
      <c r="G14" s="89"/>
      <c r="H14" s="89"/>
      <c r="I14" s="13"/>
      <c r="J14" s="13"/>
      <c r="K14" s="89"/>
      <c r="L14" s="89"/>
      <c r="M14" s="13"/>
    </row>
    <row r="15" spans="1:13" s="50" customFormat="1" x14ac:dyDescent="0.25">
      <c r="A15" s="39"/>
      <c r="B15" s="48"/>
      <c r="C15" s="46" t="s">
        <v>107</v>
      </c>
      <c r="D15" s="39" t="s">
        <v>58</v>
      </c>
      <c r="E15" s="39">
        <v>1.98</v>
      </c>
      <c r="F15" s="13">
        <f>F13*E15</f>
        <v>10.494</v>
      </c>
      <c r="G15" s="89"/>
      <c r="H15" s="89"/>
      <c r="I15" s="223"/>
      <c r="J15" s="13"/>
      <c r="K15" s="223"/>
      <c r="L15" s="13"/>
      <c r="M15" s="13"/>
    </row>
    <row r="16" spans="1:13" s="27" customFormat="1" ht="48.75" customHeight="1" x14ac:dyDescent="0.2">
      <c r="A16" s="39"/>
      <c r="B16" s="74"/>
      <c r="C16" s="83" t="s">
        <v>108</v>
      </c>
      <c r="D16" s="42" t="s">
        <v>67</v>
      </c>
      <c r="E16" s="42"/>
      <c r="F16" s="79">
        <v>15</v>
      </c>
      <c r="G16" s="13"/>
      <c r="H16" s="13"/>
      <c r="I16" s="13"/>
      <c r="J16" s="13"/>
      <c r="K16" s="13"/>
      <c r="L16" s="13"/>
      <c r="M16" s="13"/>
    </row>
    <row r="17" spans="1:13" s="3" customFormat="1" x14ac:dyDescent="0.25">
      <c r="A17" s="62"/>
      <c r="B17" s="84"/>
      <c r="C17" s="85" t="s">
        <v>89</v>
      </c>
      <c r="D17" s="86" t="s">
        <v>90</v>
      </c>
      <c r="E17" s="86">
        <v>6.36</v>
      </c>
      <c r="F17" s="87">
        <f>E17*F13</f>
        <v>33.707999999999998</v>
      </c>
      <c r="G17" s="13"/>
      <c r="H17" s="60"/>
      <c r="I17" s="13"/>
      <c r="J17" s="60"/>
      <c r="K17" s="60"/>
      <c r="L17" s="60"/>
      <c r="M17" s="13"/>
    </row>
    <row r="18" spans="1:13" s="27" customFormat="1" x14ac:dyDescent="0.25">
      <c r="A18" s="39">
        <v>3</v>
      </c>
      <c r="B18" s="70"/>
      <c r="C18" s="88" t="s">
        <v>109</v>
      </c>
      <c r="D18" s="62" t="s">
        <v>110</v>
      </c>
      <c r="E18" s="13"/>
      <c r="F18" s="54">
        <v>47.2</v>
      </c>
      <c r="G18" s="13"/>
      <c r="H18" s="13"/>
      <c r="I18" s="13"/>
      <c r="J18" s="13"/>
      <c r="K18" s="13"/>
      <c r="L18" s="13"/>
      <c r="M18" s="13"/>
    </row>
    <row r="19" spans="1:13" s="50" customFormat="1" x14ac:dyDescent="0.2">
      <c r="A19" s="39"/>
      <c r="B19" s="48"/>
      <c r="C19" s="46" t="s">
        <v>47</v>
      </c>
      <c r="D19" s="39" t="s">
        <v>48</v>
      </c>
      <c r="E19" s="39">
        <v>0.56399999999999995</v>
      </c>
      <c r="F19" s="44">
        <f>F18*E19</f>
        <v>26.620799999999999</v>
      </c>
      <c r="G19" s="89"/>
      <c r="H19" s="89"/>
      <c r="I19" s="13"/>
      <c r="J19" s="13"/>
      <c r="K19" s="89"/>
      <c r="L19" s="89"/>
      <c r="M19" s="13"/>
    </row>
    <row r="20" spans="1:13" s="27" customFormat="1" x14ac:dyDescent="0.2">
      <c r="A20" s="39"/>
      <c r="B20" s="70"/>
      <c r="C20" s="46" t="s">
        <v>59</v>
      </c>
      <c r="D20" s="39" t="s">
        <v>60</v>
      </c>
      <c r="E20" s="39">
        <v>4.0899999999999999E-2</v>
      </c>
      <c r="F20" s="13">
        <f>E20*F18</f>
        <v>1.93048</v>
      </c>
      <c r="G20" s="13"/>
      <c r="H20" s="13"/>
      <c r="I20" s="13"/>
      <c r="J20" s="89"/>
      <c r="K20" s="13"/>
      <c r="L20" s="13"/>
      <c r="M20" s="13"/>
    </row>
    <row r="21" spans="1:13" s="4" customFormat="1" x14ac:dyDescent="0.25">
      <c r="A21" s="68"/>
      <c r="B21" s="68"/>
      <c r="C21" s="68" t="s">
        <v>111</v>
      </c>
      <c r="D21" s="62" t="s">
        <v>50</v>
      </c>
      <c r="E21" s="68">
        <f>0.16*0.01</f>
        <v>1.6000000000000001E-3</v>
      </c>
      <c r="F21" s="13">
        <f>E21*F18</f>
        <v>7.5520000000000004E-2</v>
      </c>
      <c r="G21" s="224"/>
      <c r="H21" s="60"/>
      <c r="I21" s="67"/>
      <c r="J21" s="67"/>
      <c r="K21" s="67"/>
      <c r="L21" s="67"/>
      <c r="M21" s="13"/>
    </row>
    <row r="22" spans="1:13" s="4" customFormat="1" x14ac:dyDescent="0.25">
      <c r="A22" s="68"/>
      <c r="B22" s="68"/>
      <c r="C22" s="68" t="s">
        <v>112</v>
      </c>
      <c r="D22" s="62" t="s">
        <v>50</v>
      </c>
      <c r="E22" s="68">
        <f>0.45*0.01</f>
        <v>4.5000000000000005E-3</v>
      </c>
      <c r="F22" s="13">
        <f>E22*F18</f>
        <v>0.21240000000000003</v>
      </c>
      <c r="G22" s="60"/>
      <c r="H22" s="60"/>
      <c r="I22" s="67"/>
      <c r="J22" s="67"/>
      <c r="K22" s="67"/>
      <c r="L22" s="67"/>
      <c r="M22" s="13"/>
    </row>
    <row r="23" spans="1:13" s="4" customFormat="1" x14ac:dyDescent="0.25">
      <c r="A23" s="68"/>
      <c r="B23" s="68"/>
      <c r="C23" s="68" t="s">
        <v>113</v>
      </c>
      <c r="D23" s="62" t="s">
        <v>56</v>
      </c>
      <c r="E23" s="68">
        <f>0.75*0.01</f>
        <v>7.4999999999999997E-3</v>
      </c>
      <c r="F23" s="13">
        <f>E23*F18</f>
        <v>0.35399999999999998</v>
      </c>
      <c r="G23" s="60"/>
      <c r="H23" s="60"/>
      <c r="I23" s="67"/>
      <c r="J23" s="67"/>
      <c r="K23" s="67"/>
      <c r="L23" s="67"/>
      <c r="M23" s="13"/>
    </row>
    <row r="24" spans="1:13" s="3" customFormat="1" x14ac:dyDescent="0.25">
      <c r="A24" s="62"/>
      <c r="B24" s="84"/>
      <c r="C24" s="85" t="s">
        <v>89</v>
      </c>
      <c r="D24" s="86" t="s">
        <v>90</v>
      </c>
      <c r="E24" s="90">
        <v>0.26500000000000001</v>
      </c>
      <c r="F24" s="87">
        <f>E24*F18</f>
        <v>12.508000000000001</v>
      </c>
      <c r="G24" s="13"/>
      <c r="H24" s="60"/>
      <c r="I24" s="13"/>
      <c r="J24" s="60"/>
      <c r="K24" s="60"/>
      <c r="L24" s="60"/>
      <c r="M24" s="13"/>
    </row>
    <row r="25" spans="1:13" s="27" customFormat="1" ht="27" x14ac:dyDescent="0.25">
      <c r="A25" s="39">
        <v>4</v>
      </c>
      <c r="B25" s="70"/>
      <c r="C25" s="91" t="s">
        <v>114</v>
      </c>
      <c r="D25" s="62" t="s">
        <v>110</v>
      </c>
      <c r="E25" s="13"/>
      <c r="F25" s="13">
        <v>26.3</v>
      </c>
      <c r="G25" s="13"/>
      <c r="H25" s="13"/>
      <c r="I25" s="13"/>
      <c r="J25" s="13"/>
      <c r="K25" s="13"/>
      <c r="L25" s="13"/>
      <c r="M25" s="13"/>
    </row>
    <row r="26" spans="1:13" s="50" customFormat="1" x14ac:dyDescent="0.2">
      <c r="A26" s="39"/>
      <c r="B26" s="48"/>
      <c r="C26" s="46" t="s">
        <v>47</v>
      </c>
      <c r="D26" s="39" t="s">
        <v>48</v>
      </c>
      <c r="E26" s="39">
        <v>1.1599999999999999</v>
      </c>
      <c r="F26" s="44">
        <f>F25*E26</f>
        <v>30.507999999999999</v>
      </c>
      <c r="G26" s="89"/>
      <c r="H26" s="89"/>
      <c r="I26" s="13"/>
      <c r="J26" s="13"/>
      <c r="K26" s="89"/>
      <c r="L26" s="89"/>
      <c r="M26" s="13"/>
    </row>
    <row r="27" spans="1:13" s="27" customFormat="1" x14ac:dyDescent="0.2">
      <c r="A27" s="39"/>
      <c r="B27" s="70"/>
      <c r="C27" s="46" t="s">
        <v>59</v>
      </c>
      <c r="D27" s="39" t="s">
        <v>60</v>
      </c>
      <c r="E27" s="39">
        <v>6.13E-2</v>
      </c>
      <c r="F27" s="13">
        <f>E27*F25</f>
        <v>1.61219</v>
      </c>
      <c r="G27" s="13"/>
      <c r="H27" s="13"/>
      <c r="I27" s="13"/>
      <c r="J27" s="89"/>
      <c r="K27" s="13"/>
      <c r="L27" s="13"/>
      <c r="M27" s="13"/>
    </row>
    <row r="28" spans="1:13" s="4" customFormat="1" x14ac:dyDescent="0.25">
      <c r="A28" s="68"/>
      <c r="B28" s="68"/>
      <c r="C28" s="68" t="s">
        <v>115</v>
      </c>
      <c r="D28" s="62" t="s">
        <v>110</v>
      </c>
      <c r="E28" s="68">
        <v>2.34</v>
      </c>
      <c r="F28" s="13">
        <f>E28*F25</f>
        <v>61.541999999999994</v>
      </c>
      <c r="G28" s="60"/>
      <c r="H28" s="60"/>
      <c r="I28" s="67"/>
      <c r="J28" s="67"/>
      <c r="K28" s="67"/>
      <c r="L28" s="67"/>
      <c r="M28" s="13"/>
    </row>
    <row r="29" spans="1:13" s="4" customFormat="1" x14ac:dyDescent="0.25">
      <c r="A29" s="68"/>
      <c r="B29" s="68"/>
      <c r="C29" s="68" t="s">
        <v>112</v>
      </c>
      <c r="D29" s="62" t="s">
        <v>50</v>
      </c>
      <c r="E29" s="68">
        <f>0.68*0.01</f>
        <v>6.8000000000000005E-3</v>
      </c>
      <c r="F29" s="13">
        <f>E29*F25</f>
        <v>0.17884000000000003</v>
      </c>
      <c r="G29" s="60"/>
      <c r="H29" s="60"/>
      <c r="I29" s="67"/>
      <c r="J29" s="67"/>
      <c r="K29" s="67"/>
      <c r="L29" s="67"/>
      <c r="M29" s="13"/>
    </row>
    <row r="30" spans="1:13" s="4" customFormat="1" x14ac:dyDescent="0.25">
      <c r="A30" s="68"/>
      <c r="B30" s="68"/>
      <c r="C30" s="68" t="s">
        <v>113</v>
      </c>
      <c r="D30" s="62" t="s">
        <v>56</v>
      </c>
      <c r="E30" s="68">
        <f>0.75*0.01</f>
        <v>7.4999999999999997E-3</v>
      </c>
      <c r="F30" s="13">
        <f>E30*F25</f>
        <v>0.19725000000000001</v>
      </c>
      <c r="G30" s="60"/>
      <c r="H30" s="60"/>
      <c r="I30" s="67"/>
      <c r="J30" s="67"/>
      <c r="K30" s="67"/>
      <c r="L30" s="67"/>
      <c r="M30" s="13"/>
    </row>
    <row r="31" spans="1:13" s="3" customFormat="1" x14ac:dyDescent="0.25">
      <c r="A31" s="62"/>
      <c r="B31" s="84"/>
      <c r="C31" s="85" t="s">
        <v>89</v>
      </c>
      <c r="D31" s="86" t="s">
        <v>90</v>
      </c>
      <c r="E31" s="86">
        <v>0.58799999999999997</v>
      </c>
      <c r="F31" s="87">
        <f>E31*F25</f>
        <v>15.464399999999999</v>
      </c>
      <c r="G31" s="13"/>
      <c r="H31" s="60"/>
      <c r="I31" s="13"/>
      <c r="J31" s="60"/>
      <c r="K31" s="60"/>
      <c r="L31" s="60"/>
      <c r="M31" s="13"/>
    </row>
    <row r="32" spans="1:13" x14ac:dyDescent="0.25">
      <c r="A32" s="77"/>
      <c r="B32" s="77"/>
      <c r="C32" s="92" t="s">
        <v>116</v>
      </c>
      <c r="D32" s="77"/>
      <c r="E32" s="77"/>
      <c r="F32" s="77"/>
      <c r="G32" s="223"/>
      <c r="H32" s="223"/>
      <c r="I32" s="223"/>
      <c r="J32" s="223"/>
      <c r="K32" s="223"/>
      <c r="L32" s="223"/>
      <c r="M32" s="223"/>
    </row>
    <row r="33" spans="1:13" s="27" customFormat="1" ht="27" x14ac:dyDescent="0.2">
      <c r="A33" s="39">
        <v>1</v>
      </c>
      <c r="B33" s="18"/>
      <c r="C33" s="9" t="s">
        <v>208</v>
      </c>
      <c r="D33" s="39" t="s">
        <v>56</v>
      </c>
      <c r="E33" s="39"/>
      <c r="F33" s="171">
        <v>0.8</v>
      </c>
      <c r="G33" s="13"/>
      <c r="H33" s="10"/>
      <c r="I33" s="13"/>
      <c r="J33" s="13"/>
      <c r="K33" s="13"/>
      <c r="L33" s="13"/>
      <c r="M33" s="13"/>
    </row>
    <row r="34" spans="1:13" s="50" customFormat="1" x14ac:dyDescent="0.2">
      <c r="A34" s="39"/>
      <c r="B34" s="48"/>
      <c r="C34" s="46" t="s">
        <v>47</v>
      </c>
      <c r="D34" s="39" t="s">
        <v>48</v>
      </c>
      <c r="E34" s="13">
        <v>0.89</v>
      </c>
      <c r="F34" s="13">
        <f>E34*F33</f>
        <v>0.71200000000000008</v>
      </c>
      <c r="G34" s="89"/>
      <c r="H34" s="89"/>
      <c r="I34" s="13"/>
      <c r="J34" s="13"/>
      <c r="K34" s="89"/>
      <c r="L34" s="89"/>
      <c r="M34" s="13"/>
    </row>
    <row r="35" spans="1:13" s="27" customFormat="1" x14ac:dyDescent="0.2">
      <c r="A35" s="39"/>
      <c r="B35" s="70"/>
      <c r="C35" s="46" t="s">
        <v>59</v>
      </c>
      <c r="D35" s="39" t="s">
        <v>60</v>
      </c>
      <c r="E35" s="39">
        <v>0.37</v>
      </c>
      <c r="F35" s="13">
        <f>E35*F33</f>
        <v>0.29599999999999999</v>
      </c>
      <c r="G35" s="13"/>
      <c r="H35" s="13"/>
      <c r="I35" s="13"/>
      <c r="J35" s="89"/>
      <c r="K35" s="13"/>
      <c r="L35" s="13"/>
      <c r="M35" s="13"/>
    </row>
    <row r="36" spans="1:13" s="50" customFormat="1" x14ac:dyDescent="0.25">
      <c r="A36" s="39"/>
      <c r="B36" s="48"/>
      <c r="C36" s="46" t="s">
        <v>117</v>
      </c>
      <c r="D36" s="39" t="s">
        <v>56</v>
      </c>
      <c r="E36" s="13">
        <v>1.1499999999999999</v>
      </c>
      <c r="F36" s="13">
        <f>E36*F33</f>
        <v>0.91999999999999993</v>
      </c>
      <c r="G36" s="13"/>
      <c r="H36" s="60"/>
      <c r="I36" s="13"/>
      <c r="J36" s="13"/>
      <c r="K36" s="89"/>
      <c r="L36" s="89"/>
      <c r="M36" s="13"/>
    </row>
    <row r="37" spans="1:13" ht="68.25" customHeight="1" x14ac:dyDescent="0.25">
      <c r="A37" s="77"/>
      <c r="B37" s="77"/>
      <c r="C37" s="18" t="s">
        <v>221</v>
      </c>
      <c r="D37" s="77"/>
      <c r="E37" s="77"/>
      <c r="F37" s="77"/>
      <c r="G37" s="223"/>
      <c r="H37" s="223"/>
      <c r="I37" s="223"/>
      <c r="J37" s="223"/>
      <c r="K37" s="223"/>
      <c r="L37" s="223"/>
      <c r="M37" s="223"/>
    </row>
    <row r="38" spans="1:13" s="27" customFormat="1" ht="39.75" x14ac:dyDescent="0.25">
      <c r="A38" s="39">
        <v>2</v>
      </c>
      <c r="B38" s="70"/>
      <c r="C38" s="93" t="s">
        <v>228</v>
      </c>
      <c r="D38" s="62" t="s">
        <v>56</v>
      </c>
      <c r="E38" s="13"/>
      <c r="F38" s="44">
        <v>6.9</v>
      </c>
      <c r="G38" s="13"/>
      <c r="H38" s="13"/>
      <c r="I38" s="13"/>
      <c r="J38" s="13"/>
      <c r="K38" s="13"/>
      <c r="L38" s="13"/>
      <c r="M38" s="13"/>
    </row>
    <row r="39" spans="1:13" s="50" customFormat="1" x14ac:dyDescent="0.2">
      <c r="A39" s="39"/>
      <c r="B39" s="48"/>
      <c r="C39" s="46" t="s">
        <v>47</v>
      </c>
      <c r="D39" s="39" t="s">
        <v>48</v>
      </c>
      <c r="E39" s="39">
        <v>3.19</v>
      </c>
      <c r="F39" s="39">
        <f>F38*E39</f>
        <v>22.010999999999999</v>
      </c>
      <c r="G39" s="89"/>
      <c r="H39" s="89"/>
      <c r="I39" s="13"/>
      <c r="J39" s="13"/>
      <c r="K39" s="89"/>
      <c r="L39" s="89"/>
      <c r="M39" s="13"/>
    </row>
    <row r="40" spans="1:13" s="27" customFormat="1" x14ac:dyDescent="0.2">
      <c r="A40" s="39"/>
      <c r="B40" s="70"/>
      <c r="C40" s="46" t="s">
        <v>59</v>
      </c>
      <c r="D40" s="39" t="s">
        <v>60</v>
      </c>
      <c r="E40" s="39">
        <v>8.3800000000000008</v>
      </c>
      <c r="F40" s="13">
        <f>E40*F38</f>
        <v>57.82200000000001</v>
      </c>
      <c r="G40" s="13"/>
      <c r="H40" s="13"/>
      <c r="I40" s="13"/>
      <c r="J40" s="89"/>
      <c r="K40" s="13"/>
      <c r="L40" s="13"/>
      <c r="M40" s="13"/>
    </row>
    <row r="41" spans="1:13" s="3" customFormat="1" x14ac:dyDescent="0.25">
      <c r="A41" s="62"/>
      <c r="B41" s="84"/>
      <c r="C41" s="85" t="s">
        <v>229</v>
      </c>
      <c r="D41" s="86" t="s">
        <v>56</v>
      </c>
      <c r="E41" s="94">
        <v>1.0149999999999999</v>
      </c>
      <c r="F41" s="87">
        <f>E41*F38</f>
        <v>7.0034999999999998</v>
      </c>
      <c r="G41" s="13"/>
      <c r="H41" s="60"/>
      <c r="I41" s="13"/>
      <c r="J41" s="60"/>
      <c r="K41" s="60"/>
      <c r="L41" s="60"/>
      <c r="M41" s="13"/>
    </row>
    <row r="42" spans="1:13" s="3" customFormat="1" x14ac:dyDescent="0.25">
      <c r="A42" s="62"/>
      <c r="B42" s="84"/>
      <c r="C42" s="85" t="s">
        <v>118</v>
      </c>
      <c r="D42" s="86" t="s">
        <v>56</v>
      </c>
      <c r="E42" s="95">
        <v>9.7000000000000003E-3</v>
      </c>
      <c r="F42" s="87">
        <f>E42*F38</f>
        <v>6.6930000000000003E-2</v>
      </c>
      <c r="G42" s="13"/>
      <c r="H42" s="60"/>
      <c r="I42" s="13"/>
      <c r="J42" s="60"/>
      <c r="K42" s="60"/>
      <c r="L42" s="60"/>
      <c r="M42" s="13"/>
    </row>
    <row r="43" spans="1:13" s="3" customFormat="1" x14ac:dyDescent="0.25">
      <c r="A43" s="62"/>
      <c r="B43" s="84"/>
      <c r="C43" s="85" t="s">
        <v>86</v>
      </c>
      <c r="D43" s="86" t="s">
        <v>56</v>
      </c>
      <c r="E43" s="95">
        <f>1.14*0.01</f>
        <v>1.1399999999999999E-2</v>
      </c>
      <c r="F43" s="87">
        <f>E43*F38</f>
        <v>7.8659999999999994E-2</v>
      </c>
      <c r="G43" s="13"/>
      <c r="H43" s="60"/>
      <c r="I43" s="13"/>
      <c r="J43" s="60"/>
      <c r="K43" s="60"/>
      <c r="L43" s="60"/>
      <c r="M43" s="13"/>
    </row>
    <row r="44" spans="1:13" s="3" customFormat="1" x14ac:dyDescent="0.25">
      <c r="A44" s="62"/>
      <c r="B44" s="84"/>
      <c r="C44" s="68" t="s">
        <v>119</v>
      </c>
      <c r="D44" s="62" t="s">
        <v>56</v>
      </c>
      <c r="E44" s="94">
        <f>1.37*0.01</f>
        <v>1.3700000000000002E-2</v>
      </c>
      <c r="F44" s="87">
        <f>E44*F38</f>
        <v>9.4530000000000017E-2</v>
      </c>
      <c r="G44" s="13"/>
      <c r="H44" s="60"/>
      <c r="I44" s="13"/>
      <c r="J44" s="60"/>
      <c r="K44" s="60"/>
      <c r="L44" s="60"/>
      <c r="M44" s="13"/>
    </row>
    <row r="45" spans="1:13" s="3" customFormat="1" x14ac:dyDescent="0.25">
      <c r="A45" s="62"/>
      <c r="B45" s="84"/>
      <c r="C45" s="68" t="s">
        <v>88</v>
      </c>
      <c r="D45" s="62" t="s">
        <v>56</v>
      </c>
      <c r="E45" s="95">
        <f>0.22*0.01</f>
        <v>2.2000000000000001E-3</v>
      </c>
      <c r="F45" s="87">
        <f>E45*F38</f>
        <v>1.5180000000000003E-2</v>
      </c>
      <c r="G45" s="13"/>
      <c r="H45" s="60"/>
      <c r="I45" s="13"/>
      <c r="J45" s="60"/>
      <c r="K45" s="60"/>
      <c r="L45" s="60"/>
      <c r="M45" s="13"/>
    </row>
    <row r="46" spans="1:13" s="3" customFormat="1" x14ac:dyDescent="0.25">
      <c r="A46" s="62"/>
      <c r="B46" s="84"/>
      <c r="C46" s="68" t="s">
        <v>120</v>
      </c>
      <c r="D46" s="62" t="s">
        <v>92</v>
      </c>
      <c r="E46" s="95">
        <v>0.25</v>
      </c>
      <c r="F46" s="87">
        <f>E46*F38</f>
        <v>1.7250000000000001</v>
      </c>
      <c r="G46" s="13"/>
      <c r="H46" s="60"/>
      <c r="I46" s="13"/>
      <c r="J46" s="60"/>
      <c r="K46" s="60"/>
      <c r="L46" s="60"/>
      <c r="M46" s="13"/>
    </row>
    <row r="47" spans="1:13" s="3" customFormat="1" x14ac:dyDescent="0.25">
      <c r="A47" s="62"/>
      <c r="B47" s="84"/>
      <c r="C47" s="68" t="s">
        <v>121</v>
      </c>
      <c r="D47" s="62" t="s">
        <v>92</v>
      </c>
      <c r="E47" s="95">
        <v>0.51500000000000001</v>
      </c>
      <c r="F47" s="87">
        <f>E47*F38</f>
        <v>3.5535000000000001</v>
      </c>
      <c r="G47" s="13"/>
      <c r="H47" s="60"/>
      <c r="I47" s="13"/>
      <c r="J47" s="60"/>
      <c r="K47" s="60"/>
      <c r="L47" s="60"/>
      <c r="M47" s="13"/>
    </row>
    <row r="48" spans="1:13" s="3" customFormat="1" x14ac:dyDescent="0.25">
      <c r="A48" s="62"/>
      <c r="B48" s="84"/>
      <c r="C48" s="85" t="s">
        <v>89</v>
      </c>
      <c r="D48" s="86" t="s">
        <v>90</v>
      </c>
      <c r="E48" s="86">
        <v>0.439</v>
      </c>
      <c r="F48" s="87">
        <f>E48*F38</f>
        <v>3.0291000000000001</v>
      </c>
      <c r="G48" s="13"/>
      <c r="H48" s="60"/>
      <c r="I48" s="13"/>
      <c r="J48" s="60"/>
      <c r="K48" s="60"/>
      <c r="L48" s="60"/>
      <c r="M48" s="13"/>
    </row>
    <row r="49" spans="1:13" s="27" customFormat="1" ht="27" x14ac:dyDescent="0.25">
      <c r="A49" s="39">
        <v>3</v>
      </c>
      <c r="B49" s="70"/>
      <c r="C49" s="82" t="s">
        <v>210</v>
      </c>
      <c r="D49" s="62" t="s">
        <v>56</v>
      </c>
      <c r="E49" s="13"/>
      <c r="F49" s="44">
        <v>3.2</v>
      </c>
      <c r="G49" s="13"/>
      <c r="H49" s="13"/>
      <c r="I49" s="13"/>
      <c r="J49" s="13"/>
      <c r="K49" s="13"/>
      <c r="L49" s="13"/>
      <c r="M49" s="13"/>
    </row>
    <row r="50" spans="1:13" s="50" customFormat="1" x14ac:dyDescent="0.2">
      <c r="A50" s="39"/>
      <c r="B50" s="48"/>
      <c r="C50" s="46" t="s">
        <v>47</v>
      </c>
      <c r="D50" s="39" t="s">
        <v>48</v>
      </c>
      <c r="E50" s="39">
        <v>5.18</v>
      </c>
      <c r="F50" s="44">
        <f>F49*E50</f>
        <v>16.576000000000001</v>
      </c>
      <c r="G50" s="89"/>
      <c r="H50" s="89"/>
      <c r="I50" s="13"/>
      <c r="J50" s="13"/>
      <c r="K50" s="89"/>
      <c r="L50" s="89"/>
      <c r="M50" s="13"/>
    </row>
    <row r="51" spans="1:13" s="50" customFormat="1" x14ac:dyDescent="0.2">
      <c r="A51" s="39"/>
      <c r="B51" s="48"/>
      <c r="C51" s="46" t="s">
        <v>122</v>
      </c>
      <c r="D51" s="39" t="s">
        <v>58</v>
      </c>
      <c r="E51" s="39">
        <f>0.096</f>
        <v>9.6000000000000002E-2</v>
      </c>
      <c r="F51" s="44">
        <f>F49*E51</f>
        <v>0.30720000000000003</v>
      </c>
      <c r="G51" s="89"/>
      <c r="H51" s="89"/>
      <c r="I51" s="13"/>
      <c r="J51" s="13"/>
      <c r="K51" s="13"/>
      <c r="L51" s="13"/>
      <c r="M51" s="13"/>
    </row>
    <row r="52" spans="1:13" s="27" customFormat="1" x14ac:dyDescent="0.2">
      <c r="A52" s="39"/>
      <c r="B52" s="70"/>
      <c r="C52" s="46" t="s">
        <v>59</v>
      </c>
      <c r="D52" s="39" t="s">
        <v>60</v>
      </c>
      <c r="E52" s="39">
        <v>0.23100000000000001</v>
      </c>
      <c r="F52" s="13">
        <f>E52*F49</f>
        <v>0.73920000000000008</v>
      </c>
      <c r="G52" s="13"/>
      <c r="H52" s="13"/>
      <c r="I52" s="13"/>
      <c r="J52" s="89"/>
      <c r="K52" s="13"/>
      <c r="L52" s="13"/>
      <c r="M52" s="13"/>
    </row>
    <row r="53" spans="1:13" s="3" customFormat="1" x14ac:dyDescent="0.25">
      <c r="A53" s="62"/>
      <c r="B53" s="84"/>
      <c r="C53" s="85" t="s">
        <v>209</v>
      </c>
      <c r="D53" s="86" t="s">
        <v>56</v>
      </c>
      <c r="E53" s="94">
        <v>1.0149999999999999</v>
      </c>
      <c r="F53" s="87">
        <f>E53*F49</f>
        <v>3.2479999999999998</v>
      </c>
      <c r="G53" s="13"/>
      <c r="H53" s="60"/>
      <c r="I53" s="13"/>
      <c r="J53" s="60"/>
      <c r="K53" s="60"/>
      <c r="L53" s="60"/>
      <c r="M53" s="13"/>
    </row>
    <row r="54" spans="1:13" s="3" customFormat="1" x14ac:dyDescent="0.25">
      <c r="A54" s="68"/>
      <c r="B54" s="68"/>
      <c r="C54" s="68" t="s">
        <v>123</v>
      </c>
      <c r="D54" s="62" t="s">
        <v>56</v>
      </c>
      <c r="E54" s="62">
        <f>2.66*0.01</f>
        <v>2.6600000000000002E-2</v>
      </c>
      <c r="F54" s="13">
        <f>E54*F49</f>
        <v>8.5120000000000015E-2</v>
      </c>
      <c r="G54" s="60"/>
      <c r="H54" s="60"/>
      <c r="I54" s="67"/>
      <c r="J54" s="67"/>
      <c r="K54" s="67"/>
      <c r="L54" s="67"/>
      <c r="M54" s="13"/>
    </row>
    <row r="55" spans="1:13" s="3" customFormat="1" x14ac:dyDescent="0.25">
      <c r="A55" s="68"/>
      <c r="B55" s="68"/>
      <c r="C55" s="68" t="s">
        <v>124</v>
      </c>
      <c r="D55" s="62" t="s">
        <v>110</v>
      </c>
      <c r="E55" s="62">
        <v>0.82</v>
      </c>
      <c r="F55" s="13">
        <f>E55*F49</f>
        <v>2.6240000000000001</v>
      </c>
      <c r="G55" s="60"/>
      <c r="H55" s="60"/>
      <c r="I55" s="67"/>
      <c r="J55" s="67"/>
      <c r="K55" s="67"/>
      <c r="L55" s="67"/>
      <c r="M55" s="13"/>
    </row>
    <row r="56" spans="1:13" s="3" customFormat="1" ht="27" x14ac:dyDescent="0.25">
      <c r="A56" s="68"/>
      <c r="B56" s="68"/>
      <c r="C56" s="63" t="s">
        <v>125</v>
      </c>
      <c r="D56" s="62" t="s">
        <v>56</v>
      </c>
      <c r="E56" s="68">
        <f>0.07*0.01</f>
        <v>7.000000000000001E-4</v>
      </c>
      <c r="F56" s="13">
        <f>E56*F49</f>
        <v>2.2400000000000002E-3</v>
      </c>
      <c r="G56" s="60"/>
      <c r="H56" s="60"/>
      <c r="I56" s="67"/>
      <c r="J56" s="67"/>
      <c r="K56" s="67"/>
      <c r="L56" s="67"/>
      <c r="M56" s="13"/>
    </row>
    <row r="57" spans="1:13" s="3" customFormat="1" ht="27" x14ac:dyDescent="0.25">
      <c r="A57" s="68"/>
      <c r="B57" s="68"/>
      <c r="C57" s="63" t="s">
        <v>126</v>
      </c>
      <c r="D57" s="62" t="s">
        <v>56</v>
      </c>
      <c r="E57" s="68">
        <f>0.08*0.01</f>
        <v>8.0000000000000004E-4</v>
      </c>
      <c r="F57" s="13">
        <f>E57*F49</f>
        <v>2.5600000000000002E-3</v>
      </c>
      <c r="G57" s="60"/>
      <c r="H57" s="60"/>
      <c r="I57" s="67"/>
      <c r="J57" s="67"/>
      <c r="K57" s="67"/>
      <c r="L57" s="67"/>
      <c r="M57" s="13"/>
    </row>
    <row r="58" spans="1:13" s="3" customFormat="1" x14ac:dyDescent="0.25">
      <c r="A58" s="68"/>
      <c r="B58" s="68"/>
      <c r="C58" s="63" t="s">
        <v>127</v>
      </c>
      <c r="D58" s="62" t="s">
        <v>56</v>
      </c>
      <c r="E58" s="68">
        <f>0.08*0.01</f>
        <v>8.0000000000000004E-4</v>
      </c>
      <c r="F58" s="13">
        <f>E58*F49</f>
        <v>2.5600000000000002E-3</v>
      </c>
      <c r="G58" s="60"/>
      <c r="H58" s="60"/>
      <c r="I58" s="67"/>
      <c r="J58" s="67"/>
      <c r="K58" s="67"/>
      <c r="L58" s="67"/>
      <c r="M58" s="13"/>
    </row>
    <row r="59" spans="1:13" s="3" customFormat="1" x14ac:dyDescent="0.25">
      <c r="A59" s="68"/>
      <c r="B59" s="68"/>
      <c r="C59" s="63" t="s">
        <v>128</v>
      </c>
      <c r="D59" s="62" t="s">
        <v>56</v>
      </c>
      <c r="E59" s="68">
        <v>1.7399999999999999E-2</v>
      </c>
      <c r="F59" s="13">
        <f>E59*F49</f>
        <v>5.568E-2</v>
      </c>
      <c r="G59" s="60"/>
      <c r="H59" s="60"/>
      <c r="I59" s="67"/>
      <c r="J59" s="67"/>
      <c r="K59" s="67"/>
      <c r="L59" s="67"/>
      <c r="M59" s="13"/>
    </row>
    <row r="60" spans="1:13" s="3" customFormat="1" x14ac:dyDescent="0.25">
      <c r="A60" s="62"/>
      <c r="B60" s="84"/>
      <c r="C60" s="68" t="s">
        <v>120</v>
      </c>
      <c r="D60" s="62" t="s">
        <v>92</v>
      </c>
      <c r="E60" s="95">
        <v>0.49</v>
      </c>
      <c r="F60" s="87">
        <f>E60*F49</f>
        <v>1.5680000000000001</v>
      </c>
      <c r="G60" s="13"/>
      <c r="H60" s="60"/>
      <c r="I60" s="13"/>
      <c r="J60" s="60"/>
      <c r="K60" s="60"/>
      <c r="L60" s="60"/>
      <c r="M60" s="13"/>
    </row>
    <row r="61" spans="1:13" s="3" customFormat="1" x14ac:dyDescent="0.25">
      <c r="A61" s="62"/>
      <c r="B61" s="84"/>
      <c r="C61" s="85" t="s">
        <v>89</v>
      </c>
      <c r="D61" s="86" t="s">
        <v>90</v>
      </c>
      <c r="E61" s="86">
        <v>0.61199999999999999</v>
      </c>
      <c r="F61" s="87">
        <f>E61*F49</f>
        <v>1.9584000000000001</v>
      </c>
      <c r="G61" s="13"/>
      <c r="H61" s="60"/>
      <c r="I61" s="13"/>
      <c r="J61" s="60"/>
      <c r="K61" s="60"/>
      <c r="L61" s="60"/>
      <c r="M61" s="13"/>
    </row>
    <row r="62" spans="1:13" s="27" customFormat="1" ht="27" x14ac:dyDescent="0.25">
      <c r="A62" s="39">
        <v>4</v>
      </c>
      <c r="B62" s="70"/>
      <c r="C62" s="82" t="s">
        <v>211</v>
      </c>
      <c r="D62" s="62" t="s">
        <v>56</v>
      </c>
      <c r="E62" s="13"/>
      <c r="F62" s="13">
        <v>1.5</v>
      </c>
      <c r="G62" s="13"/>
      <c r="H62" s="13"/>
      <c r="I62" s="13"/>
      <c r="J62" s="13"/>
      <c r="K62" s="13"/>
      <c r="L62" s="13"/>
      <c r="M62" s="13"/>
    </row>
    <row r="63" spans="1:13" s="50" customFormat="1" x14ac:dyDescent="0.2">
      <c r="A63" s="39"/>
      <c r="B63" s="48"/>
      <c r="C63" s="46" t="s">
        <v>47</v>
      </c>
      <c r="D63" s="39" t="s">
        <v>48</v>
      </c>
      <c r="E63" s="39">
        <v>5.18</v>
      </c>
      <c r="F63" s="44">
        <f>F62*E63</f>
        <v>7.77</v>
      </c>
      <c r="G63" s="89"/>
      <c r="H63" s="89"/>
      <c r="I63" s="13"/>
      <c r="J63" s="13"/>
      <c r="K63" s="89"/>
      <c r="L63" s="89"/>
      <c r="M63" s="13"/>
    </row>
    <row r="64" spans="1:13" s="50" customFormat="1" x14ac:dyDescent="0.2">
      <c r="A64" s="39"/>
      <c r="B64" s="48"/>
      <c r="C64" s="46" t="s">
        <v>122</v>
      </c>
      <c r="D64" s="39" t="s">
        <v>58</v>
      </c>
      <c r="E64" s="39">
        <f>0.096</f>
        <v>9.6000000000000002E-2</v>
      </c>
      <c r="F64" s="44">
        <f>F62*E64</f>
        <v>0.14400000000000002</v>
      </c>
      <c r="G64" s="89"/>
      <c r="H64" s="89"/>
      <c r="I64" s="13"/>
      <c r="J64" s="13"/>
      <c r="K64" s="13"/>
      <c r="L64" s="13"/>
      <c r="M64" s="13"/>
    </row>
    <row r="65" spans="1:13" s="27" customFormat="1" x14ac:dyDescent="0.2">
      <c r="A65" s="39"/>
      <c r="B65" s="70"/>
      <c r="C65" s="46" t="s">
        <v>59</v>
      </c>
      <c r="D65" s="39" t="s">
        <v>60</v>
      </c>
      <c r="E65" s="39">
        <v>0.23100000000000001</v>
      </c>
      <c r="F65" s="13">
        <f>E65*F62</f>
        <v>0.34650000000000003</v>
      </c>
      <c r="G65" s="13"/>
      <c r="H65" s="13"/>
      <c r="I65" s="13"/>
      <c r="J65" s="89"/>
      <c r="K65" s="13"/>
      <c r="L65" s="13"/>
      <c r="M65" s="13"/>
    </row>
    <row r="66" spans="1:13" s="3" customFormat="1" x14ac:dyDescent="0.25">
      <c r="A66" s="62"/>
      <c r="B66" s="84"/>
      <c r="C66" s="85" t="s">
        <v>209</v>
      </c>
      <c r="D66" s="86" t="s">
        <v>56</v>
      </c>
      <c r="E66" s="94">
        <v>1.0149999999999999</v>
      </c>
      <c r="F66" s="87">
        <f>E66*F62</f>
        <v>1.5225</v>
      </c>
      <c r="G66" s="13"/>
      <c r="H66" s="60"/>
      <c r="I66" s="13"/>
      <c r="J66" s="60"/>
      <c r="K66" s="60"/>
      <c r="L66" s="60"/>
      <c r="M66" s="13"/>
    </row>
    <row r="67" spans="1:13" s="3" customFormat="1" x14ac:dyDescent="0.25">
      <c r="A67" s="68"/>
      <c r="B67" s="68"/>
      <c r="C67" s="68" t="s">
        <v>123</v>
      </c>
      <c r="D67" s="62" t="s">
        <v>56</v>
      </c>
      <c r="E67" s="62">
        <f>2.66*0.01</f>
        <v>2.6600000000000002E-2</v>
      </c>
      <c r="F67" s="13">
        <f>E67*F62</f>
        <v>3.9900000000000005E-2</v>
      </c>
      <c r="G67" s="60"/>
      <c r="H67" s="60"/>
      <c r="I67" s="67"/>
      <c r="J67" s="67"/>
      <c r="K67" s="67"/>
      <c r="L67" s="67"/>
      <c r="M67" s="13"/>
    </row>
    <row r="68" spans="1:13" s="3" customFormat="1" x14ac:dyDescent="0.25">
      <c r="A68" s="68"/>
      <c r="B68" s="68"/>
      <c r="C68" s="68" t="s">
        <v>124</v>
      </c>
      <c r="D68" s="62" t="s">
        <v>110</v>
      </c>
      <c r="E68" s="62">
        <v>0.82</v>
      </c>
      <c r="F68" s="13">
        <f>E68*F62</f>
        <v>1.23</v>
      </c>
      <c r="G68" s="60"/>
      <c r="H68" s="60"/>
      <c r="I68" s="67"/>
      <c r="J68" s="67"/>
      <c r="K68" s="67"/>
      <c r="L68" s="67"/>
      <c r="M68" s="13"/>
    </row>
    <row r="69" spans="1:13" s="3" customFormat="1" ht="27" x14ac:dyDescent="0.25">
      <c r="A69" s="68"/>
      <c r="B69" s="68"/>
      <c r="C69" s="63" t="s">
        <v>125</v>
      </c>
      <c r="D69" s="62" t="s">
        <v>56</v>
      </c>
      <c r="E69" s="68">
        <f>0.07*0.01</f>
        <v>7.000000000000001E-4</v>
      </c>
      <c r="F69" s="13">
        <f>E69*F62</f>
        <v>1.0500000000000002E-3</v>
      </c>
      <c r="G69" s="60"/>
      <c r="H69" s="60"/>
      <c r="I69" s="67"/>
      <c r="J69" s="67"/>
      <c r="K69" s="67"/>
      <c r="L69" s="67"/>
      <c r="M69" s="13"/>
    </row>
    <row r="70" spans="1:13" s="3" customFormat="1" ht="27" x14ac:dyDescent="0.25">
      <c r="A70" s="68"/>
      <c r="B70" s="68"/>
      <c r="C70" s="63" t="s">
        <v>126</v>
      </c>
      <c r="D70" s="62" t="s">
        <v>56</v>
      </c>
      <c r="E70" s="68">
        <f>0.08*0.01</f>
        <v>8.0000000000000004E-4</v>
      </c>
      <c r="F70" s="13">
        <f>E70*F62</f>
        <v>1.2000000000000001E-3</v>
      </c>
      <c r="G70" s="60"/>
      <c r="H70" s="60"/>
      <c r="I70" s="67"/>
      <c r="J70" s="67"/>
      <c r="K70" s="67"/>
      <c r="L70" s="67"/>
      <c r="M70" s="13"/>
    </row>
    <row r="71" spans="1:13" s="3" customFormat="1" x14ac:dyDescent="0.25">
      <c r="A71" s="68"/>
      <c r="B71" s="68"/>
      <c r="C71" s="63" t="s">
        <v>127</v>
      </c>
      <c r="D71" s="62" t="s">
        <v>56</v>
      </c>
      <c r="E71" s="68">
        <f>0.08*0.01</f>
        <v>8.0000000000000004E-4</v>
      </c>
      <c r="F71" s="13">
        <f>E71*F62</f>
        <v>1.2000000000000001E-3</v>
      </c>
      <c r="G71" s="60"/>
      <c r="H71" s="60"/>
      <c r="I71" s="67"/>
      <c r="J71" s="67"/>
      <c r="K71" s="67"/>
      <c r="L71" s="67"/>
      <c r="M71" s="13"/>
    </row>
    <row r="72" spans="1:13" s="3" customFormat="1" x14ac:dyDescent="0.25">
      <c r="A72" s="68"/>
      <c r="B72" s="68"/>
      <c r="C72" s="63" t="s">
        <v>128</v>
      </c>
      <c r="D72" s="62" t="s">
        <v>56</v>
      </c>
      <c r="E72" s="68">
        <v>1.7399999999999999E-2</v>
      </c>
      <c r="F72" s="13">
        <f>E72*F62</f>
        <v>2.6099999999999998E-2</v>
      </c>
      <c r="G72" s="60"/>
      <c r="H72" s="60"/>
      <c r="I72" s="67"/>
      <c r="J72" s="67"/>
      <c r="K72" s="67"/>
      <c r="L72" s="67"/>
      <c r="M72" s="13"/>
    </row>
    <row r="73" spans="1:13" s="3" customFormat="1" x14ac:dyDescent="0.25">
      <c r="A73" s="62"/>
      <c r="B73" s="84"/>
      <c r="C73" s="68" t="s">
        <v>120</v>
      </c>
      <c r="D73" s="62" t="s">
        <v>92</v>
      </c>
      <c r="E73" s="95">
        <v>0.49</v>
      </c>
      <c r="F73" s="87">
        <f>E73*F62</f>
        <v>0.73499999999999999</v>
      </c>
      <c r="G73" s="13"/>
      <c r="H73" s="60"/>
      <c r="I73" s="13"/>
      <c r="J73" s="60"/>
      <c r="K73" s="60"/>
      <c r="L73" s="60"/>
      <c r="M73" s="13"/>
    </row>
    <row r="74" spans="1:13" s="3" customFormat="1" x14ac:dyDescent="0.25">
      <c r="A74" s="62"/>
      <c r="B74" s="84"/>
      <c r="C74" s="85" t="s">
        <v>89</v>
      </c>
      <c r="D74" s="86" t="s">
        <v>90</v>
      </c>
      <c r="E74" s="86">
        <v>0.61199999999999999</v>
      </c>
      <c r="F74" s="87">
        <f>E74*F62</f>
        <v>0.91799999999999993</v>
      </c>
      <c r="G74" s="13"/>
      <c r="H74" s="60"/>
      <c r="I74" s="13"/>
      <c r="J74" s="60"/>
      <c r="K74" s="60"/>
      <c r="L74" s="60"/>
      <c r="M74" s="13"/>
    </row>
    <row r="75" spans="1:13" s="27" customFormat="1" x14ac:dyDescent="0.25">
      <c r="A75" s="39">
        <v>5</v>
      </c>
      <c r="B75" s="70"/>
      <c r="C75" s="93" t="s">
        <v>109</v>
      </c>
      <c r="D75" s="62" t="s">
        <v>110</v>
      </c>
      <c r="E75" s="13"/>
      <c r="F75" s="13">
        <v>25</v>
      </c>
      <c r="G75" s="13"/>
      <c r="H75" s="13"/>
      <c r="I75" s="13"/>
      <c r="J75" s="13"/>
      <c r="K75" s="13"/>
      <c r="L75" s="13"/>
      <c r="M75" s="13"/>
    </row>
    <row r="76" spans="1:13" s="50" customFormat="1" x14ac:dyDescent="0.2">
      <c r="A76" s="39"/>
      <c r="B76" s="48"/>
      <c r="C76" s="46" t="s">
        <v>47</v>
      </c>
      <c r="D76" s="39" t="s">
        <v>48</v>
      </c>
      <c r="E76" s="39">
        <v>0.56399999999999995</v>
      </c>
      <c r="F76" s="44">
        <f>F75*E76</f>
        <v>14.099999999999998</v>
      </c>
      <c r="G76" s="89"/>
      <c r="H76" s="89"/>
      <c r="I76" s="13"/>
      <c r="J76" s="13"/>
      <c r="K76" s="89"/>
      <c r="L76" s="89"/>
      <c r="M76" s="13"/>
    </row>
    <row r="77" spans="1:13" s="27" customFormat="1" x14ac:dyDescent="0.2">
      <c r="A77" s="39"/>
      <c r="B77" s="70"/>
      <c r="C77" s="46" t="s">
        <v>59</v>
      </c>
      <c r="D77" s="39" t="s">
        <v>60</v>
      </c>
      <c r="E77" s="39">
        <v>4.0899999999999999E-2</v>
      </c>
      <c r="F77" s="13">
        <f>E77*F75</f>
        <v>1.0225</v>
      </c>
      <c r="G77" s="13"/>
      <c r="H77" s="13"/>
      <c r="I77" s="13"/>
      <c r="J77" s="89"/>
      <c r="K77" s="13"/>
      <c r="L77" s="13"/>
      <c r="M77" s="13"/>
    </row>
    <row r="78" spans="1:13" x14ac:dyDescent="0.25">
      <c r="A78" s="77"/>
      <c r="B78" s="77"/>
      <c r="C78" s="77" t="s">
        <v>111</v>
      </c>
      <c r="D78" s="78" t="s">
        <v>50</v>
      </c>
      <c r="E78" s="77">
        <f>0.19*0.01</f>
        <v>1.9E-3</v>
      </c>
      <c r="F78" s="13">
        <f>E78*F75</f>
        <v>4.7500000000000001E-2</v>
      </c>
      <c r="G78" s="107"/>
      <c r="H78" s="60"/>
      <c r="I78" s="223"/>
      <c r="J78" s="223"/>
      <c r="K78" s="223"/>
      <c r="L78" s="223"/>
      <c r="M78" s="13"/>
    </row>
    <row r="79" spans="1:13" x14ac:dyDescent="0.25">
      <c r="A79" s="77"/>
      <c r="B79" s="77"/>
      <c r="C79" s="77" t="s">
        <v>112</v>
      </c>
      <c r="D79" s="78" t="s">
        <v>50</v>
      </c>
      <c r="E79" s="77">
        <f>0.45*0.01</f>
        <v>4.5000000000000005E-3</v>
      </c>
      <c r="F79" s="13">
        <f>E79*F75</f>
        <v>0.11250000000000002</v>
      </c>
      <c r="G79" s="109"/>
      <c r="H79" s="60"/>
      <c r="I79" s="223"/>
      <c r="J79" s="223"/>
      <c r="K79" s="223"/>
      <c r="L79" s="223"/>
      <c r="M79" s="13"/>
    </row>
    <row r="80" spans="1:13" x14ac:dyDescent="0.25">
      <c r="A80" s="77"/>
      <c r="B80" s="77"/>
      <c r="C80" s="77" t="s">
        <v>113</v>
      </c>
      <c r="D80" s="78" t="s">
        <v>56</v>
      </c>
      <c r="E80" s="77">
        <f>0.75*0.01</f>
        <v>7.4999999999999997E-3</v>
      </c>
      <c r="F80" s="13">
        <f>E80*F75</f>
        <v>0.1875</v>
      </c>
      <c r="G80" s="60"/>
      <c r="H80" s="60"/>
      <c r="I80" s="223"/>
      <c r="J80" s="223"/>
      <c r="K80" s="223"/>
      <c r="L80" s="223"/>
      <c r="M80" s="13"/>
    </row>
    <row r="81" spans="1:256" s="3" customFormat="1" x14ac:dyDescent="0.25">
      <c r="A81" s="62"/>
      <c r="B81" s="84"/>
      <c r="C81" s="85" t="s">
        <v>89</v>
      </c>
      <c r="D81" s="86" t="s">
        <v>90</v>
      </c>
      <c r="E81" s="86">
        <v>0.215</v>
      </c>
      <c r="F81" s="87">
        <f>E81*F75</f>
        <v>5.375</v>
      </c>
      <c r="G81" s="13"/>
      <c r="H81" s="60"/>
      <c r="I81" s="13"/>
      <c r="J81" s="60"/>
      <c r="K81" s="60"/>
      <c r="L81" s="60"/>
      <c r="M81" s="13"/>
    </row>
    <row r="82" spans="1:256" s="35" customFormat="1" ht="40.5" x14ac:dyDescent="0.2">
      <c r="A82" s="39">
        <v>6</v>
      </c>
      <c r="B82" s="18"/>
      <c r="C82" s="83" t="s">
        <v>97</v>
      </c>
      <c r="D82" s="42" t="s">
        <v>56</v>
      </c>
      <c r="E82" s="42"/>
      <c r="F82" s="69">
        <v>8</v>
      </c>
      <c r="G82" s="13"/>
      <c r="H82" s="13"/>
      <c r="I82" s="13"/>
      <c r="J82" s="13"/>
      <c r="K82" s="13"/>
      <c r="L82" s="13"/>
      <c r="M82" s="13"/>
    </row>
    <row r="83" spans="1:256" s="50" customFormat="1" x14ac:dyDescent="0.2">
      <c r="A83" s="39"/>
      <c r="B83" s="48"/>
      <c r="C83" s="46" t="s">
        <v>47</v>
      </c>
      <c r="D83" s="39" t="s">
        <v>48</v>
      </c>
      <c r="E83" s="39">
        <f>15*0.01</f>
        <v>0.15</v>
      </c>
      <c r="F83" s="13">
        <f>F82*E83</f>
        <v>1.2</v>
      </c>
      <c r="G83" s="89"/>
      <c r="H83" s="89"/>
      <c r="I83" s="13"/>
      <c r="J83" s="13"/>
      <c r="K83" s="89"/>
      <c r="L83" s="89"/>
      <c r="M83" s="13"/>
    </row>
    <row r="84" spans="1:256" s="35" customFormat="1" ht="40.5" x14ac:dyDescent="0.2">
      <c r="A84" s="39"/>
      <c r="B84" s="18"/>
      <c r="C84" s="46" t="s">
        <v>98</v>
      </c>
      <c r="D84" s="39" t="s">
        <v>58</v>
      </c>
      <c r="E84" s="39">
        <f>2.16*0.01</f>
        <v>2.1600000000000001E-2</v>
      </c>
      <c r="F84" s="13">
        <f>E84*F82</f>
        <v>0.17280000000000001</v>
      </c>
      <c r="G84" s="13"/>
      <c r="H84" s="13"/>
      <c r="I84" s="13"/>
      <c r="J84" s="13"/>
      <c r="K84" s="13"/>
      <c r="L84" s="10"/>
      <c r="M84" s="13"/>
    </row>
    <row r="85" spans="1:256" s="35" customFormat="1" ht="30" customHeight="1" x14ac:dyDescent="0.2">
      <c r="A85" s="39"/>
      <c r="B85" s="18"/>
      <c r="C85" s="46" t="s">
        <v>99</v>
      </c>
      <c r="D85" s="39" t="s">
        <v>58</v>
      </c>
      <c r="E85" s="39">
        <f>2.73*0.01</f>
        <v>2.7300000000000001E-2</v>
      </c>
      <c r="F85" s="13">
        <f>E85*F82</f>
        <v>0.21840000000000001</v>
      </c>
      <c r="G85" s="13"/>
      <c r="H85" s="13"/>
      <c r="I85" s="13"/>
      <c r="J85" s="13"/>
      <c r="K85" s="13"/>
      <c r="L85" s="10"/>
      <c r="M85" s="13"/>
    </row>
    <row r="86" spans="1:256" s="35" customFormat="1" x14ac:dyDescent="0.2">
      <c r="A86" s="39"/>
      <c r="B86" s="18"/>
      <c r="C86" s="46" t="s">
        <v>100</v>
      </c>
      <c r="D86" s="39" t="s">
        <v>58</v>
      </c>
      <c r="E86" s="39">
        <f>0.97*0.01</f>
        <v>9.7000000000000003E-3</v>
      </c>
      <c r="F86" s="13">
        <f>E86*F82</f>
        <v>7.7600000000000002E-2</v>
      </c>
      <c r="G86" s="13"/>
      <c r="H86" s="13"/>
      <c r="I86" s="13"/>
      <c r="J86" s="13"/>
      <c r="K86" s="13"/>
      <c r="L86" s="10"/>
      <c r="M86" s="13"/>
    </row>
    <row r="87" spans="1:256" s="35" customFormat="1" x14ac:dyDescent="0.2">
      <c r="A87" s="39"/>
      <c r="B87" s="18"/>
      <c r="C87" s="46" t="s">
        <v>101</v>
      </c>
      <c r="D87" s="39"/>
      <c r="E87" s="39"/>
      <c r="F87" s="13"/>
      <c r="G87" s="13"/>
      <c r="H87" s="13"/>
      <c r="I87" s="13"/>
      <c r="J87" s="13"/>
      <c r="K87" s="13"/>
      <c r="L87" s="10"/>
      <c r="M87" s="13"/>
    </row>
    <row r="88" spans="1:256" s="3" customFormat="1" x14ac:dyDescent="0.25">
      <c r="A88" s="171"/>
      <c r="B88" s="171"/>
      <c r="C88" s="180" t="s">
        <v>132</v>
      </c>
      <c r="D88" s="171" t="s">
        <v>56</v>
      </c>
      <c r="E88" s="179">
        <v>1</v>
      </c>
      <c r="F88" s="96">
        <f>E88*F82</f>
        <v>8</v>
      </c>
      <c r="G88" s="96"/>
      <c r="H88" s="10"/>
      <c r="I88" s="96"/>
      <c r="J88" s="96"/>
      <c r="K88" s="96"/>
      <c r="L88" s="96"/>
      <c r="M88" s="96"/>
    </row>
    <row r="89" spans="1:256" s="35" customFormat="1" x14ac:dyDescent="0.2">
      <c r="A89" s="39"/>
      <c r="B89" s="121"/>
      <c r="C89" s="88" t="s">
        <v>103</v>
      </c>
      <c r="D89" s="171" t="s">
        <v>56</v>
      </c>
      <c r="E89" s="179">
        <f>7*0.01</f>
        <v>7.0000000000000007E-2</v>
      </c>
      <c r="F89" s="96">
        <f>E89*F82</f>
        <v>0.56000000000000005</v>
      </c>
      <c r="G89" s="13"/>
      <c r="H89" s="13"/>
      <c r="I89" s="13"/>
      <c r="J89" s="13"/>
      <c r="K89" s="13"/>
      <c r="L89" s="13"/>
      <c r="M89" s="13"/>
    </row>
    <row r="90" spans="1:256" s="101" customFormat="1" ht="57.75" customHeight="1" x14ac:dyDescent="0.2">
      <c r="A90" s="104">
        <v>7</v>
      </c>
      <c r="B90" s="98"/>
      <c r="C90" s="99" t="s">
        <v>133</v>
      </c>
      <c r="D90" s="97" t="s">
        <v>56</v>
      </c>
      <c r="E90" s="97"/>
      <c r="F90" s="97">
        <v>12</v>
      </c>
      <c r="G90" s="218"/>
      <c r="H90" s="218"/>
      <c r="I90" s="218"/>
      <c r="J90" s="218"/>
      <c r="K90" s="218"/>
      <c r="L90" s="218"/>
      <c r="M90" s="218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  <c r="IR90" s="100"/>
      <c r="IS90" s="100"/>
      <c r="IT90" s="100"/>
      <c r="IU90" s="100"/>
      <c r="IV90" s="100"/>
    </row>
    <row r="91" spans="1:256" s="101" customFormat="1" x14ac:dyDescent="0.2">
      <c r="A91" s="97"/>
      <c r="B91" s="98"/>
      <c r="C91" s="99" t="s">
        <v>47</v>
      </c>
      <c r="D91" s="97" t="s">
        <v>48</v>
      </c>
      <c r="E91" s="97">
        <f>20*0.001</f>
        <v>0.02</v>
      </c>
      <c r="F91" s="97">
        <f>F90*E91</f>
        <v>0.24</v>
      </c>
      <c r="G91" s="219"/>
      <c r="H91" s="219"/>
      <c r="I91" s="218"/>
      <c r="J91" s="218"/>
      <c r="K91" s="218"/>
      <c r="L91" s="219"/>
      <c r="M91" s="218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</row>
    <row r="92" spans="1:256" s="101" customFormat="1" x14ac:dyDescent="0.2">
      <c r="A92" s="97"/>
      <c r="B92" s="98"/>
      <c r="C92" s="99" t="s">
        <v>57</v>
      </c>
      <c r="D92" s="97" t="s">
        <v>58</v>
      </c>
      <c r="E92" s="97">
        <f>44.8*0.001</f>
        <v>4.48E-2</v>
      </c>
      <c r="F92" s="97">
        <f>E92*F90</f>
        <v>0.53759999999999997</v>
      </c>
      <c r="G92" s="218"/>
      <c r="H92" s="218"/>
      <c r="I92" s="218"/>
      <c r="J92" s="218"/>
      <c r="K92" s="218"/>
      <c r="L92" s="218"/>
      <c r="M92" s="218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00"/>
      <c r="IV92" s="100"/>
    </row>
    <row r="93" spans="1:256" s="101" customFormat="1" x14ac:dyDescent="0.2">
      <c r="A93" s="97"/>
      <c r="B93" s="98"/>
      <c r="C93" s="99" t="s">
        <v>59</v>
      </c>
      <c r="D93" s="97" t="s">
        <v>60</v>
      </c>
      <c r="E93" s="97">
        <f>2.1*0.001</f>
        <v>2.1000000000000003E-3</v>
      </c>
      <c r="F93" s="97">
        <f>E93*F90</f>
        <v>2.5200000000000004E-2</v>
      </c>
      <c r="G93" s="218"/>
      <c r="H93" s="218"/>
      <c r="I93" s="218"/>
      <c r="J93" s="218"/>
      <c r="K93" s="218"/>
      <c r="L93" s="218"/>
      <c r="M93" s="218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0"/>
      <c r="IG93" s="100"/>
      <c r="IH93" s="100"/>
      <c r="II93" s="100"/>
      <c r="IJ93" s="100"/>
      <c r="IK93" s="100"/>
      <c r="IL93" s="100"/>
      <c r="IM93" s="100"/>
      <c r="IN93" s="100"/>
      <c r="IO93" s="100"/>
      <c r="IP93" s="100"/>
      <c r="IQ93" s="100"/>
      <c r="IR93" s="100"/>
      <c r="IS93" s="100"/>
      <c r="IT93" s="100"/>
      <c r="IU93" s="100"/>
      <c r="IV93" s="100"/>
    </row>
    <row r="94" spans="1:256" s="101" customFormat="1" x14ac:dyDescent="0.2">
      <c r="A94" s="97"/>
      <c r="B94" s="98"/>
      <c r="C94" s="99" t="s">
        <v>61</v>
      </c>
      <c r="D94" s="97" t="s">
        <v>56</v>
      </c>
      <c r="E94" s="97">
        <f>0.05*0.001</f>
        <v>5.0000000000000002E-5</v>
      </c>
      <c r="F94" s="97">
        <f>E94*F90</f>
        <v>6.0000000000000006E-4</v>
      </c>
      <c r="G94" s="218"/>
      <c r="H94" s="218"/>
      <c r="I94" s="218"/>
      <c r="J94" s="218"/>
      <c r="K94" s="218"/>
      <c r="L94" s="218"/>
      <c r="M94" s="218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0"/>
      <c r="IG94" s="100"/>
      <c r="IH94" s="100"/>
      <c r="II94" s="100"/>
      <c r="IJ94" s="100"/>
      <c r="IK94" s="100"/>
      <c r="IL94" s="100"/>
      <c r="IM94" s="100"/>
      <c r="IN94" s="100"/>
      <c r="IO94" s="100"/>
      <c r="IP94" s="100"/>
      <c r="IQ94" s="100"/>
      <c r="IR94" s="100"/>
      <c r="IS94" s="100"/>
      <c r="IT94" s="100"/>
      <c r="IU94" s="100"/>
      <c r="IV94" s="100"/>
    </row>
    <row r="95" spans="1:256" ht="27" x14ac:dyDescent="0.2">
      <c r="A95" s="39">
        <v>8</v>
      </c>
      <c r="B95" s="70"/>
      <c r="C95" s="151" t="s">
        <v>134</v>
      </c>
      <c r="D95" s="39" t="s">
        <v>50</v>
      </c>
      <c r="E95" s="39"/>
      <c r="F95" s="44">
        <v>21</v>
      </c>
      <c r="G95" s="13"/>
      <c r="H95" s="13"/>
      <c r="I95" s="13"/>
      <c r="J95" s="89"/>
      <c r="K95" s="13"/>
      <c r="L95" s="13"/>
      <c r="M95" s="13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x14ac:dyDescent="0.2">
      <c r="A96" s="39">
        <v>9</v>
      </c>
      <c r="B96" s="48"/>
      <c r="C96" s="41" t="s">
        <v>66</v>
      </c>
      <c r="D96" s="42" t="s">
        <v>56</v>
      </c>
      <c r="E96" s="42"/>
      <c r="F96" s="69">
        <v>18</v>
      </c>
      <c r="G96" s="13"/>
      <c r="H96" s="13"/>
      <c r="I96" s="13"/>
      <c r="J96" s="13"/>
      <c r="K96" s="13"/>
      <c r="L96" s="13"/>
      <c r="M96" s="13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256" x14ac:dyDescent="0.2">
      <c r="A97" s="39"/>
      <c r="B97" s="48"/>
      <c r="C97" s="46" t="s">
        <v>47</v>
      </c>
      <c r="D97" s="39" t="s">
        <v>48</v>
      </c>
      <c r="E97" s="39">
        <f>3.23*0.001</f>
        <v>3.2300000000000002E-3</v>
      </c>
      <c r="F97" s="13">
        <f>E97*F96</f>
        <v>5.8140000000000004E-2</v>
      </c>
      <c r="G97" s="89"/>
      <c r="H97" s="89"/>
      <c r="I97" s="13"/>
      <c r="J97" s="13"/>
      <c r="K97" s="89"/>
      <c r="L97" s="89"/>
      <c r="M97" s="13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</row>
    <row r="98" spans="1:256" x14ac:dyDescent="0.2">
      <c r="A98" s="39"/>
      <c r="B98" s="45"/>
      <c r="C98" s="9" t="s">
        <v>63</v>
      </c>
      <c r="D98" s="39" t="s">
        <v>58</v>
      </c>
      <c r="E98" s="39">
        <f>3.62*0.001</f>
        <v>3.6200000000000004E-3</v>
      </c>
      <c r="F98" s="13">
        <f>E98*F96</f>
        <v>6.516000000000001E-2</v>
      </c>
      <c r="G98" s="13"/>
      <c r="H98" s="13"/>
      <c r="I98" s="13"/>
      <c r="J98" s="13"/>
      <c r="K98" s="13"/>
      <c r="L98" s="13"/>
      <c r="M98" s="13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</row>
    <row r="99" spans="1:256" x14ac:dyDescent="0.2">
      <c r="A99" s="39"/>
      <c r="B99" s="49"/>
      <c r="C99" s="46" t="s">
        <v>59</v>
      </c>
      <c r="D99" s="39" t="s">
        <v>60</v>
      </c>
      <c r="E99" s="39">
        <f>0.18*0.001</f>
        <v>1.7999999999999998E-4</v>
      </c>
      <c r="F99" s="71">
        <f>E99*F96</f>
        <v>3.2399999999999998E-3</v>
      </c>
      <c r="G99" s="13"/>
      <c r="H99" s="13"/>
      <c r="I99" s="13"/>
      <c r="J99" s="13"/>
      <c r="K99" s="13"/>
      <c r="L99" s="13"/>
      <c r="M99" s="13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256" x14ac:dyDescent="0.2">
      <c r="A100" s="39"/>
      <c r="B100" s="49"/>
      <c r="C100" s="46" t="s">
        <v>61</v>
      </c>
      <c r="D100" s="39" t="s">
        <v>56</v>
      </c>
      <c r="E100" s="39">
        <f>0.04*0.001</f>
        <v>4.0000000000000003E-5</v>
      </c>
      <c r="F100" s="71">
        <f>E100*F96</f>
        <v>7.2000000000000005E-4</v>
      </c>
      <c r="G100" s="13"/>
      <c r="H100" s="13"/>
      <c r="I100" s="13"/>
      <c r="J100" s="13"/>
      <c r="K100" s="13"/>
      <c r="L100" s="13"/>
      <c r="M100" s="13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:256" s="35" customFormat="1" ht="40.5" x14ac:dyDescent="0.2">
      <c r="A101" s="39">
        <v>10</v>
      </c>
      <c r="B101" s="18"/>
      <c r="C101" s="83" t="s">
        <v>97</v>
      </c>
      <c r="D101" s="42" t="s">
        <v>56</v>
      </c>
      <c r="E101" s="42"/>
      <c r="F101" s="69">
        <v>65.3</v>
      </c>
      <c r="G101" s="13"/>
      <c r="H101" s="13"/>
      <c r="I101" s="13"/>
      <c r="J101" s="13"/>
      <c r="K101" s="13"/>
      <c r="L101" s="13"/>
      <c r="M101" s="13"/>
    </row>
    <row r="102" spans="1:256" s="50" customFormat="1" x14ac:dyDescent="0.2">
      <c r="A102" s="39"/>
      <c r="B102" s="48"/>
      <c r="C102" s="46" t="s">
        <v>47</v>
      </c>
      <c r="D102" s="39" t="s">
        <v>48</v>
      </c>
      <c r="E102" s="39">
        <f>15*0.01</f>
        <v>0.15</v>
      </c>
      <c r="F102" s="13">
        <f>F101*E102</f>
        <v>9.7949999999999999</v>
      </c>
      <c r="G102" s="89"/>
      <c r="H102" s="89"/>
      <c r="I102" s="13"/>
      <c r="J102" s="13"/>
      <c r="K102" s="89"/>
      <c r="L102" s="89"/>
      <c r="M102" s="13"/>
    </row>
    <row r="103" spans="1:256" s="35" customFormat="1" ht="40.5" x14ac:dyDescent="0.2">
      <c r="A103" s="39"/>
      <c r="B103" s="18"/>
      <c r="C103" s="46" t="s">
        <v>98</v>
      </c>
      <c r="D103" s="39" t="s">
        <v>58</v>
      </c>
      <c r="E103" s="39">
        <f>2.16*0.01</f>
        <v>2.1600000000000001E-2</v>
      </c>
      <c r="F103" s="13">
        <f>E103*F101</f>
        <v>1.41048</v>
      </c>
      <c r="G103" s="13"/>
      <c r="H103" s="13"/>
      <c r="I103" s="13"/>
      <c r="J103" s="13"/>
      <c r="K103" s="13"/>
      <c r="L103" s="10"/>
      <c r="M103" s="13"/>
    </row>
    <row r="104" spans="1:256" s="35" customFormat="1" ht="30" customHeight="1" x14ac:dyDescent="0.2">
      <c r="A104" s="39"/>
      <c r="B104" s="18"/>
      <c r="C104" s="46" t="s">
        <v>99</v>
      </c>
      <c r="D104" s="39" t="s">
        <v>58</v>
      </c>
      <c r="E104" s="39">
        <f>2.73*0.01</f>
        <v>2.7300000000000001E-2</v>
      </c>
      <c r="F104" s="13">
        <f>E104*F101</f>
        <v>1.7826900000000001</v>
      </c>
      <c r="G104" s="13"/>
      <c r="H104" s="13"/>
      <c r="I104" s="13"/>
      <c r="J104" s="13"/>
      <c r="K104" s="13"/>
      <c r="L104" s="10"/>
      <c r="M104" s="13"/>
    </row>
    <row r="105" spans="1:256" s="35" customFormat="1" x14ac:dyDescent="0.2">
      <c r="A105" s="39"/>
      <c r="B105" s="18"/>
      <c r="C105" s="46" t="s">
        <v>100</v>
      </c>
      <c r="D105" s="39" t="s">
        <v>58</v>
      </c>
      <c r="E105" s="39">
        <f>0.97*0.01</f>
        <v>9.7000000000000003E-3</v>
      </c>
      <c r="F105" s="13">
        <f>E105*F101</f>
        <v>0.63341000000000003</v>
      </c>
      <c r="G105" s="13"/>
      <c r="H105" s="13"/>
      <c r="I105" s="13"/>
      <c r="J105" s="13"/>
      <c r="K105" s="13"/>
      <c r="L105" s="10"/>
      <c r="M105" s="13"/>
    </row>
    <row r="106" spans="1:256" s="35" customFormat="1" x14ac:dyDescent="0.2">
      <c r="A106" s="39"/>
      <c r="B106" s="18"/>
      <c r="C106" s="46" t="s">
        <v>101</v>
      </c>
      <c r="D106" s="39"/>
      <c r="E106" s="39"/>
      <c r="F106" s="13"/>
      <c r="G106" s="13"/>
      <c r="H106" s="13"/>
      <c r="I106" s="13"/>
      <c r="J106" s="13"/>
      <c r="K106" s="13"/>
      <c r="L106" s="10"/>
      <c r="M106" s="13"/>
    </row>
    <row r="107" spans="1:256" s="3" customFormat="1" x14ac:dyDescent="0.25">
      <c r="A107" s="171"/>
      <c r="B107" s="171"/>
      <c r="C107" s="9" t="s">
        <v>102</v>
      </c>
      <c r="D107" s="171" t="s">
        <v>56</v>
      </c>
      <c r="E107" s="179">
        <f>122*0.01</f>
        <v>1.22</v>
      </c>
      <c r="F107" s="96">
        <f>E107*F101</f>
        <v>79.665999999999997</v>
      </c>
      <c r="G107" s="96"/>
      <c r="H107" s="10"/>
      <c r="I107" s="96"/>
      <c r="J107" s="96"/>
      <c r="K107" s="96"/>
      <c r="L107" s="96"/>
      <c r="M107" s="96"/>
    </row>
    <row r="108" spans="1:256" s="35" customFormat="1" x14ac:dyDescent="0.2">
      <c r="A108" s="39"/>
      <c r="B108" s="121"/>
      <c r="C108" s="88" t="s">
        <v>103</v>
      </c>
      <c r="D108" s="171" t="s">
        <v>56</v>
      </c>
      <c r="E108" s="179">
        <f>7*0.01</f>
        <v>7.0000000000000007E-2</v>
      </c>
      <c r="F108" s="96">
        <f>E108*F101</f>
        <v>4.5710000000000006</v>
      </c>
      <c r="G108" s="13"/>
      <c r="H108" s="13"/>
      <c r="I108" s="13"/>
      <c r="J108" s="13"/>
      <c r="K108" s="13"/>
      <c r="L108" s="13"/>
      <c r="M108" s="13"/>
    </row>
    <row r="109" spans="1:256" s="27" customFormat="1" ht="15.75" x14ac:dyDescent="0.2">
      <c r="A109" s="39"/>
      <c r="B109" s="52"/>
      <c r="C109" s="53" t="s">
        <v>135</v>
      </c>
      <c r="D109" s="21" t="s">
        <v>129</v>
      </c>
      <c r="E109" s="42"/>
      <c r="F109" s="43">
        <v>1.54</v>
      </c>
      <c r="G109" s="13"/>
      <c r="H109" s="14"/>
      <c r="I109" s="13"/>
      <c r="J109" s="13"/>
      <c r="K109" s="13"/>
      <c r="L109" s="13"/>
      <c r="M109" s="13"/>
    </row>
    <row r="110" spans="1:256" s="27" customFormat="1" ht="46.5" customHeight="1" x14ac:dyDescent="0.2">
      <c r="A110" s="39">
        <v>5</v>
      </c>
      <c r="B110" s="74"/>
      <c r="C110" s="83" t="s">
        <v>136</v>
      </c>
      <c r="D110" s="42" t="s">
        <v>110</v>
      </c>
      <c r="E110" s="42"/>
      <c r="F110" s="79">
        <v>7</v>
      </c>
      <c r="G110" s="13"/>
      <c r="H110" s="13"/>
      <c r="I110" s="13"/>
      <c r="J110" s="13"/>
      <c r="K110" s="13"/>
      <c r="L110" s="13"/>
      <c r="M110" s="13"/>
      <c r="O110" s="56"/>
    </row>
    <row r="111" spans="1:256" s="50" customFormat="1" x14ac:dyDescent="0.2">
      <c r="A111" s="39"/>
      <c r="B111" s="48"/>
      <c r="C111" s="46" t="s">
        <v>47</v>
      </c>
      <c r="D111" s="39" t="s">
        <v>48</v>
      </c>
      <c r="E111" s="39">
        <f>9.3*0.01</f>
        <v>9.3000000000000013E-2</v>
      </c>
      <c r="F111" s="39">
        <f>F110*E111</f>
        <v>0.65100000000000013</v>
      </c>
      <c r="G111" s="89"/>
      <c r="H111" s="89"/>
      <c r="I111" s="13"/>
      <c r="J111" s="13"/>
      <c r="K111" s="89"/>
      <c r="L111" s="89"/>
      <c r="M111" s="13"/>
    </row>
    <row r="112" spans="1:256" s="35" customFormat="1" x14ac:dyDescent="0.2">
      <c r="A112" s="39"/>
      <c r="B112" s="45"/>
      <c r="C112" s="9" t="s">
        <v>59</v>
      </c>
      <c r="D112" s="39" t="s">
        <v>60</v>
      </c>
      <c r="E112" s="39">
        <f>0.7*0.01</f>
        <v>6.9999999999999993E-3</v>
      </c>
      <c r="F112" s="13">
        <f>E112*F110</f>
        <v>4.8999999999999995E-2</v>
      </c>
      <c r="G112" s="13"/>
      <c r="H112" s="13"/>
      <c r="I112" s="13"/>
      <c r="J112" s="13"/>
      <c r="K112" s="13"/>
      <c r="L112" s="13"/>
      <c r="M112" s="13"/>
      <c r="N112" s="27"/>
    </row>
    <row r="113" spans="1:215" x14ac:dyDescent="0.25">
      <c r="A113" s="77"/>
      <c r="B113" s="77"/>
      <c r="C113" s="77" t="s">
        <v>137</v>
      </c>
      <c r="D113" s="78" t="s">
        <v>92</v>
      </c>
      <c r="E113" s="78">
        <f>0.38</f>
        <v>0.38</v>
      </c>
      <c r="F113" s="77">
        <f>E113*F110</f>
        <v>2.66</v>
      </c>
      <c r="G113" s="109"/>
      <c r="H113" s="110"/>
      <c r="I113" s="223"/>
      <c r="J113" s="223"/>
      <c r="K113" s="223"/>
      <c r="L113" s="223"/>
      <c r="M113" s="13"/>
    </row>
    <row r="114" spans="1:215" x14ac:dyDescent="0.25">
      <c r="A114" s="77"/>
      <c r="B114" s="77"/>
      <c r="C114" s="77" t="s">
        <v>138</v>
      </c>
      <c r="D114" s="78" t="s">
        <v>92</v>
      </c>
      <c r="E114" s="78">
        <f>0.2*0.01</f>
        <v>2E-3</v>
      </c>
      <c r="F114" s="77">
        <f>E114*F110</f>
        <v>1.4E-2</v>
      </c>
      <c r="G114" s="109"/>
      <c r="H114" s="110"/>
      <c r="I114" s="223"/>
      <c r="J114" s="223"/>
      <c r="K114" s="223"/>
      <c r="L114" s="223"/>
      <c r="M114" s="13"/>
    </row>
    <row r="115" spans="1:215" x14ac:dyDescent="0.25">
      <c r="A115" s="77"/>
      <c r="B115" s="77"/>
      <c r="C115" s="77" t="s">
        <v>139</v>
      </c>
      <c r="D115" s="78" t="s">
        <v>56</v>
      </c>
      <c r="E115" s="78">
        <f>0.06*0.01</f>
        <v>5.9999999999999995E-4</v>
      </c>
      <c r="F115" s="77">
        <f>E115*F110</f>
        <v>4.1999999999999997E-3</v>
      </c>
      <c r="G115" s="109"/>
      <c r="H115" s="110"/>
      <c r="I115" s="223"/>
      <c r="J115" s="223"/>
      <c r="K115" s="223"/>
      <c r="L115" s="223"/>
      <c r="M115" s="13"/>
    </row>
    <row r="116" spans="1:215" s="2" customFormat="1" x14ac:dyDescent="0.25">
      <c r="A116" s="77"/>
      <c r="B116" s="77"/>
      <c r="C116" s="77" t="s">
        <v>96</v>
      </c>
      <c r="D116" s="78" t="s">
        <v>60</v>
      </c>
      <c r="E116" s="78">
        <f>0.02*0.01</f>
        <v>2.0000000000000001E-4</v>
      </c>
      <c r="F116" s="159">
        <f>E116*F110</f>
        <v>1.4E-3</v>
      </c>
      <c r="G116" s="109"/>
      <c r="H116" s="109"/>
      <c r="I116" s="223"/>
      <c r="J116" s="223"/>
      <c r="K116" s="223"/>
      <c r="L116" s="223"/>
      <c r="M116" s="13"/>
    </row>
    <row r="117" spans="1:215" s="61" customFormat="1" x14ac:dyDescent="0.25">
      <c r="A117" s="148"/>
      <c r="B117" s="148"/>
      <c r="C117" s="57" t="s">
        <v>51</v>
      </c>
      <c r="D117" s="58"/>
      <c r="E117" s="59"/>
      <c r="F117" s="148"/>
      <c r="G117" s="60"/>
      <c r="H117" s="10"/>
      <c r="I117" s="60"/>
      <c r="J117" s="10"/>
      <c r="K117" s="60"/>
      <c r="L117" s="10"/>
      <c r="M117" s="10"/>
    </row>
    <row r="118" spans="1:215" s="66" customFormat="1" x14ac:dyDescent="0.25">
      <c r="A118" s="62"/>
      <c r="B118" s="62"/>
      <c r="C118" s="63" t="s">
        <v>245</v>
      </c>
      <c r="D118" s="60"/>
      <c r="E118" s="62"/>
      <c r="F118" s="60"/>
      <c r="G118" s="60"/>
      <c r="H118" s="60"/>
      <c r="I118" s="60"/>
      <c r="J118" s="60"/>
      <c r="K118" s="60"/>
      <c r="L118" s="60"/>
      <c r="M118" s="6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</row>
    <row r="119" spans="1:215" s="66" customFormat="1" x14ac:dyDescent="0.25">
      <c r="A119" s="62"/>
      <c r="B119" s="62"/>
      <c r="C119" s="63" t="s">
        <v>52</v>
      </c>
      <c r="D119" s="60"/>
      <c r="E119" s="62"/>
      <c r="F119" s="60"/>
      <c r="G119" s="60"/>
      <c r="H119" s="60"/>
      <c r="I119" s="60"/>
      <c r="J119" s="60"/>
      <c r="K119" s="60"/>
      <c r="L119" s="60"/>
      <c r="M119" s="6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</row>
    <row r="120" spans="1:215" s="66" customFormat="1" x14ac:dyDescent="0.25">
      <c r="A120" s="62"/>
      <c r="B120" s="62"/>
      <c r="C120" s="63" t="s">
        <v>246</v>
      </c>
      <c r="D120" s="60"/>
      <c r="E120" s="62"/>
      <c r="F120" s="60"/>
      <c r="G120" s="60"/>
      <c r="H120" s="60"/>
      <c r="I120" s="60"/>
      <c r="J120" s="60"/>
      <c r="K120" s="60"/>
      <c r="L120" s="60"/>
      <c r="M120" s="6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</row>
    <row r="121" spans="1:215" s="66" customFormat="1" x14ac:dyDescent="0.25">
      <c r="A121" s="62"/>
      <c r="B121" s="62"/>
      <c r="C121" s="68" t="s">
        <v>51</v>
      </c>
      <c r="D121" s="62"/>
      <c r="E121" s="62"/>
      <c r="F121" s="62"/>
      <c r="G121" s="67"/>
      <c r="H121" s="60"/>
      <c r="I121" s="60"/>
      <c r="J121" s="60"/>
      <c r="K121" s="60"/>
      <c r="L121" s="60"/>
      <c r="M121" s="6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</row>
    <row r="125" spans="1:215" ht="36.75" customHeight="1" x14ac:dyDescent="0.2">
      <c r="A125" s="235" t="s">
        <v>249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</row>
    <row r="126" spans="1:215" ht="12.75" x14ac:dyDescent="0.2">
      <c r="A126" s="236" t="s">
        <v>250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</row>
  </sheetData>
  <mergeCells count="14">
    <mergeCell ref="A125:M125"/>
    <mergeCell ref="A126:M126"/>
    <mergeCell ref="M6:M7"/>
    <mergeCell ref="C3:F3"/>
    <mergeCell ref="A4:L4"/>
    <mergeCell ref="C5:F5"/>
    <mergeCell ref="A6:A7"/>
    <mergeCell ref="B6:B7"/>
    <mergeCell ref="C6:C7"/>
    <mergeCell ref="D6:D7"/>
    <mergeCell ref="E6:F6"/>
    <mergeCell ref="G6:H6"/>
    <mergeCell ref="I6:J6"/>
    <mergeCell ref="K6:L6"/>
  </mergeCells>
  <conditionalFormatting sqref="A8:HY8 A10:IT12 A17:IT20 A13:IQ16 F21:F23 M21:M23 H21:H23 G21 A24:F31 H24:IT31 G24:G29 G31 C39:D43 C38 A38:B47 E38:IU47 A48:IU48 A49:IT74 A90:IT100 A75:IU81 A101:IU101 A102:IS106 A33:IT36 A109:IQ109">
    <cfRule type="cellIs" dxfId="48" priority="36" stopIfTrue="1" operator="equal">
      <formula>8223.307275</formula>
    </cfRule>
  </conditionalFormatting>
  <conditionalFormatting sqref="A110:IU112 A113:IQ116">
    <cfRule type="cellIs" dxfId="47" priority="29" stopIfTrue="1" operator="equal">
      <formula>8223.307275</formula>
    </cfRule>
  </conditionalFormatting>
  <conditionalFormatting sqref="M113:M115 H113:H115 A110:IU112">
    <cfRule type="cellIs" dxfId="46" priority="28" stopIfTrue="1" operator="equal">
      <formula>8223.307275</formula>
    </cfRule>
  </conditionalFormatting>
  <conditionalFormatting sqref="M116">
    <cfRule type="cellIs" dxfId="45" priority="27" stopIfTrue="1" operator="equal">
      <formula>8223.307275</formula>
    </cfRule>
  </conditionalFormatting>
  <conditionalFormatting sqref="IR117 A117:IQ121">
    <cfRule type="cellIs" dxfId="44" priority="23" stopIfTrue="1" operator="equal">
      <formula>8223.307275</formula>
    </cfRule>
  </conditionalFormatting>
  <conditionalFormatting sqref="A107:IU107">
    <cfRule type="cellIs" dxfId="43" priority="16" stopIfTrue="1" operator="equal">
      <formula>8223.307275</formula>
    </cfRule>
  </conditionalFormatting>
  <conditionalFormatting sqref="A108:C108 G108:IS108">
    <cfRule type="cellIs" dxfId="42" priority="12" stopIfTrue="1" operator="equal">
      <formula>8223.307275</formula>
    </cfRule>
  </conditionalFormatting>
  <conditionalFormatting sqref="D108">
    <cfRule type="cellIs" dxfId="41" priority="11" stopIfTrue="1" operator="equal">
      <formula>8223.307275</formula>
    </cfRule>
  </conditionalFormatting>
  <conditionalFormatting sqref="E108">
    <cfRule type="cellIs" dxfId="40" priority="10" stopIfTrue="1" operator="equal">
      <formula>8223.307275</formula>
    </cfRule>
  </conditionalFormatting>
  <conditionalFormatting sqref="F108">
    <cfRule type="cellIs" dxfId="39" priority="9" stopIfTrue="1" operator="equal">
      <formula>8223.307275</formula>
    </cfRule>
  </conditionalFormatting>
  <conditionalFormatting sqref="A82:IU82 A83:IS87">
    <cfRule type="cellIs" dxfId="38" priority="7" stopIfTrue="1" operator="equal">
      <formula>8223.307275</formula>
    </cfRule>
  </conditionalFormatting>
  <conditionalFormatting sqref="A88:B88 D88:IU88">
    <cfRule type="cellIs" dxfId="37" priority="6" stopIfTrue="1" operator="equal">
      <formula>8223.307275</formula>
    </cfRule>
  </conditionalFormatting>
  <conditionalFormatting sqref="A89:C89 G89:IS89">
    <cfRule type="cellIs" dxfId="36" priority="5" stopIfTrue="1" operator="equal">
      <formula>8223.307275</formula>
    </cfRule>
  </conditionalFormatting>
  <conditionalFormatting sqref="D89">
    <cfRule type="cellIs" dxfId="35" priority="4" stopIfTrue="1" operator="equal">
      <formula>8223.307275</formula>
    </cfRule>
  </conditionalFormatting>
  <conditionalFormatting sqref="E89">
    <cfRule type="cellIs" dxfId="34" priority="3" stopIfTrue="1" operator="equal">
      <formula>8223.307275</formula>
    </cfRule>
  </conditionalFormatting>
  <conditionalFormatting sqref="F89">
    <cfRule type="cellIs" dxfId="33" priority="2" stopIfTrue="1" operator="equal">
      <formula>8223.307275</formula>
    </cfRule>
  </conditionalFormatting>
  <conditionalFormatting sqref="C88">
    <cfRule type="cellIs" dxfId="32" priority="1" stopIfTrue="1" operator="equal">
      <formula>8223.307275</formula>
    </cfRule>
  </conditionalFormatting>
  <pageMargins left="0.11811023622047245" right="0.11811023622047245" top="0.6692913385826772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6.7109375" customWidth="1"/>
    <col min="3" max="3" width="34.28515625" style="2" customWidth="1"/>
    <col min="4" max="4" width="7.85546875" customWidth="1"/>
    <col min="5" max="5" width="6.5703125" bestFit="1" customWidth="1"/>
    <col min="6" max="6" width="11.5703125" style="160" bestFit="1" customWidth="1"/>
    <col min="7" max="7" width="7.85546875" style="163" customWidth="1"/>
    <col min="8" max="8" width="9.28515625" bestFit="1" customWidth="1"/>
    <col min="9" max="9" width="9.28515625" style="160" bestFit="1" customWidth="1"/>
    <col min="10" max="10" width="8.7109375" bestFit="1" customWidth="1"/>
    <col min="11" max="11" width="6.85546875" style="163" bestFit="1" customWidth="1"/>
    <col min="12" max="12" width="7.7109375" bestFit="1" customWidth="1"/>
    <col min="13" max="13" width="9.7109375" bestFit="1" customWidth="1"/>
  </cols>
  <sheetData>
    <row r="1" spans="1:13" ht="15.75" x14ac:dyDescent="0.25">
      <c r="A1" s="75" t="s">
        <v>0</v>
      </c>
    </row>
    <row r="2" spans="1:13" ht="15.75" x14ac:dyDescent="0.25">
      <c r="A2" s="75" t="s">
        <v>1</v>
      </c>
    </row>
    <row r="3" spans="1:13" s="27" customFormat="1" ht="15" x14ac:dyDescent="0.2">
      <c r="A3" s="26"/>
      <c r="C3" s="216"/>
      <c r="D3" s="216"/>
      <c r="E3" s="216"/>
      <c r="F3" s="216"/>
      <c r="G3" s="161"/>
      <c r="H3" s="28"/>
      <c r="I3" s="161"/>
      <c r="J3" s="28"/>
      <c r="K3" s="161"/>
      <c r="L3" s="29"/>
    </row>
    <row r="4" spans="1:13" s="27" customFormat="1" ht="15.75" x14ac:dyDescent="0.2">
      <c r="A4" s="210" t="s">
        <v>140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3" s="27" customFormat="1" ht="14.25" x14ac:dyDescent="0.2">
      <c r="A5" s="30"/>
      <c r="B5" s="31"/>
      <c r="C5" s="211" t="s">
        <v>141</v>
      </c>
      <c r="D5" s="211"/>
      <c r="E5" s="211"/>
      <c r="F5" s="211"/>
      <c r="G5" s="196"/>
      <c r="I5" s="162"/>
      <c r="J5" s="33"/>
      <c r="K5" s="162"/>
      <c r="L5" s="34"/>
      <c r="M5" s="30"/>
    </row>
    <row r="6" spans="1:13" s="35" customFormat="1" x14ac:dyDescent="0.2">
      <c r="A6" s="208" t="s">
        <v>2</v>
      </c>
      <c r="B6" s="212" t="s">
        <v>35</v>
      </c>
      <c r="C6" s="208" t="s">
        <v>36</v>
      </c>
      <c r="D6" s="208" t="s">
        <v>37</v>
      </c>
      <c r="E6" s="214" t="s">
        <v>38</v>
      </c>
      <c r="F6" s="215"/>
      <c r="G6" s="208" t="s">
        <v>39</v>
      </c>
      <c r="H6" s="208"/>
      <c r="I6" s="208" t="s">
        <v>40</v>
      </c>
      <c r="J6" s="208"/>
      <c r="K6" s="208" t="s">
        <v>41</v>
      </c>
      <c r="L6" s="208"/>
      <c r="M6" s="209" t="s">
        <v>42</v>
      </c>
    </row>
    <row r="7" spans="1:13" s="35" customFormat="1" ht="30" customHeight="1" x14ac:dyDescent="0.2">
      <c r="A7" s="208"/>
      <c r="B7" s="213"/>
      <c r="C7" s="208"/>
      <c r="D7" s="208"/>
      <c r="E7" s="19" t="s">
        <v>43</v>
      </c>
      <c r="F7" s="19" t="s">
        <v>32</v>
      </c>
      <c r="G7" s="19" t="s">
        <v>44</v>
      </c>
      <c r="H7" s="36" t="s">
        <v>42</v>
      </c>
      <c r="I7" s="37" t="s">
        <v>44</v>
      </c>
      <c r="J7" s="19" t="s">
        <v>42</v>
      </c>
      <c r="K7" s="19" t="s">
        <v>44</v>
      </c>
      <c r="L7" s="38" t="s">
        <v>42</v>
      </c>
      <c r="M7" s="209"/>
    </row>
    <row r="8" spans="1:13" s="35" customFormat="1" x14ac:dyDescent="0.2">
      <c r="A8" s="139">
        <v>1</v>
      </c>
      <c r="B8" s="140">
        <v>2</v>
      </c>
      <c r="C8" s="139">
        <v>3</v>
      </c>
      <c r="D8" s="140">
        <v>4</v>
      </c>
      <c r="E8" s="139">
        <v>5</v>
      </c>
      <c r="F8" s="140">
        <v>6</v>
      </c>
      <c r="G8" s="141">
        <v>7</v>
      </c>
      <c r="H8" s="140">
        <v>8</v>
      </c>
      <c r="I8" s="139">
        <v>9</v>
      </c>
      <c r="J8" s="140">
        <v>10</v>
      </c>
      <c r="K8" s="139">
        <v>11</v>
      </c>
      <c r="L8" s="141">
        <v>12</v>
      </c>
      <c r="M8" s="140" t="s">
        <v>45</v>
      </c>
    </row>
    <row r="9" spans="1:13" s="4" customFormat="1" ht="42" customHeight="1" x14ac:dyDescent="0.25">
      <c r="A9" s="62">
        <v>1</v>
      </c>
      <c r="B9" s="122"/>
      <c r="C9" s="9" t="s">
        <v>142</v>
      </c>
      <c r="D9" s="62" t="s">
        <v>143</v>
      </c>
      <c r="E9" s="68"/>
      <c r="F9" s="54">
        <v>2.34</v>
      </c>
      <c r="G9" s="60"/>
      <c r="H9" s="67"/>
      <c r="I9" s="13"/>
      <c r="J9" s="67"/>
      <c r="K9" s="60"/>
      <c r="L9" s="67"/>
      <c r="M9" s="67"/>
    </row>
    <row r="10" spans="1:13" s="50" customFormat="1" x14ac:dyDescent="0.2">
      <c r="A10" s="39"/>
      <c r="B10" s="48"/>
      <c r="C10" s="46" t="s">
        <v>47</v>
      </c>
      <c r="D10" s="39" t="s">
        <v>48</v>
      </c>
      <c r="E10" s="39">
        <v>15</v>
      </c>
      <c r="F10" s="39">
        <f>F9*E10</f>
        <v>35.099999999999994</v>
      </c>
      <c r="G10" s="13"/>
      <c r="H10" s="89"/>
      <c r="I10" s="13"/>
      <c r="J10" s="13"/>
      <c r="K10" s="13"/>
      <c r="L10" s="89"/>
      <c r="M10" s="13"/>
    </row>
    <row r="11" spans="1:13" s="116" customFormat="1" x14ac:dyDescent="0.2">
      <c r="A11" s="112"/>
      <c r="B11" s="113"/>
      <c r="C11" s="114" t="s">
        <v>83</v>
      </c>
      <c r="D11" s="112" t="s">
        <v>58</v>
      </c>
      <c r="E11" s="113">
        <v>2.16</v>
      </c>
      <c r="F11" s="13">
        <f>E11*F9</f>
        <v>5.0544000000000002</v>
      </c>
      <c r="G11" s="10"/>
      <c r="H11" s="13"/>
      <c r="I11" s="10"/>
      <c r="J11" s="13"/>
      <c r="K11" s="13"/>
      <c r="L11" s="13"/>
      <c r="M11" s="13"/>
    </row>
    <row r="12" spans="1:13" s="27" customFormat="1" x14ac:dyDescent="0.2">
      <c r="A12" s="39"/>
      <c r="B12" s="49"/>
      <c r="C12" s="114" t="s">
        <v>144</v>
      </c>
      <c r="D12" s="123" t="s">
        <v>58</v>
      </c>
      <c r="E12" s="124">
        <v>2.73</v>
      </c>
      <c r="F12" s="13">
        <f>E12*F9</f>
        <v>6.3881999999999994</v>
      </c>
      <c r="G12" s="13"/>
      <c r="H12" s="13"/>
      <c r="I12" s="13"/>
      <c r="J12" s="13"/>
      <c r="K12" s="13"/>
      <c r="L12" s="13"/>
      <c r="M12" s="13"/>
    </row>
    <row r="13" spans="1:13" s="27" customFormat="1" x14ac:dyDescent="0.2">
      <c r="A13" s="39"/>
      <c r="B13" s="49"/>
      <c r="C13" s="46" t="s">
        <v>100</v>
      </c>
      <c r="D13" s="123" t="s">
        <v>58</v>
      </c>
      <c r="E13" s="13">
        <v>0.97</v>
      </c>
      <c r="F13" s="13">
        <f>E13*F9</f>
        <v>2.2697999999999996</v>
      </c>
      <c r="G13" s="13"/>
      <c r="H13" s="13"/>
      <c r="I13" s="13"/>
      <c r="J13" s="13"/>
      <c r="K13" s="13"/>
      <c r="L13" s="13"/>
      <c r="M13" s="13"/>
    </row>
    <row r="14" spans="1:13" s="27" customFormat="1" x14ac:dyDescent="0.2">
      <c r="A14" s="39"/>
      <c r="B14" s="49"/>
      <c r="C14" s="46" t="s">
        <v>146</v>
      </c>
      <c r="D14" s="39" t="s">
        <v>56</v>
      </c>
      <c r="E14" s="39">
        <v>122</v>
      </c>
      <c r="F14" s="54">
        <f>E14*F9</f>
        <v>285.47999999999996</v>
      </c>
      <c r="G14" s="13"/>
      <c r="H14" s="13"/>
      <c r="I14" s="13"/>
      <c r="J14" s="13"/>
      <c r="K14" s="13"/>
      <c r="L14" s="13"/>
      <c r="M14" s="13"/>
    </row>
    <row r="15" spans="1:13" s="27" customFormat="1" x14ac:dyDescent="0.2">
      <c r="A15" s="39"/>
      <c r="B15" s="49"/>
      <c r="C15" s="46" t="s">
        <v>103</v>
      </c>
      <c r="D15" s="39" t="s">
        <v>56</v>
      </c>
      <c r="E15" s="39">
        <v>7</v>
      </c>
      <c r="F15" s="44">
        <f>E15*F9</f>
        <v>16.38</v>
      </c>
      <c r="G15" s="13"/>
      <c r="H15" s="13"/>
      <c r="I15" s="13"/>
      <c r="J15" s="13"/>
      <c r="K15" s="13"/>
      <c r="L15" s="13"/>
      <c r="M15" s="13"/>
    </row>
    <row r="16" spans="1:13" s="27" customFormat="1" ht="27" x14ac:dyDescent="0.2">
      <c r="A16" s="39">
        <v>2</v>
      </c>
      <c r="B16" s="18"/>
      <c r="C16" s="150" t="s">
        <v>147</v>
      </c>
      <c r="D16" s="42" t="s">
        <v>110</v>
      </c>
      <c r="E16" s="42"/>
      <c r="F16" s="79">
        <v>3348</v>
      </c>
      <c r="G16" s="13"/>
      <c r="H16" s="13"/>
      <c r="I16" s="13"/>
      <c r="J16" s="13"/>
      <c r="K16" s="13"/>
      <c r="L16" s="13"/>
      <c r="M16" s="13"/>
    </row>
    <row r="17" spans="1:256" s="50" customFormat="1" x14ac:dyDescent="0.2">
      <c r="A17" s="39"/>
      <c r="B17" s="48"/>
      <c r="C17" s="46" t="s">
        <v>47</v>
      </c>
      <c r="D17" s="39" t="s">
        <v>48</v>
      </c>
      <c r="E17" s="39">
        <f>0.001*42.9</f>
        <v>4.2900000000000001E-2</v>
      </c>
      <c r="F17" s="44">
        <f>F16*E17</f>
        <v>143.6292</v>
      </c>
      <c r="G17" s="13"/>
      <c r="H17" s="13"/>
      <c r="I17" s="13"/>
      <c r="J17" s="13"/>
      <c r="K17" s="13"/>
      <c r="L17" s="13"/>
      <c r="M17" s="13"/>
    </row>
    <row r="18" spans="1:256" s="50" customFormat="1" x14ac:dyDescent="0.25">
      <c r="A18" s="39"/>
      <c r="B18" s="48"/>
      <c r="C18" s="46" t="s">
        <v>83</v>
      </c>
      <c r="D18" s="39" t="s">
        <v>48</v>
      </c>
      <c r="E18" s="108">
        <f>(2.69)*0.001</f>
        <v>2.6900000000000001E-3</v>
      </c>
      <c r="F18" s="44">
        <f>E18*F16</f>
        <v>9.006120000000001</v>
      </c>
      <c r="G18" s="13"/>
      <c r="H18" s="13"/>
      <c r="I18" s="225"/>
      <c r="J18" s="10"/>
      <c r="K18" s="226"/>
      <c r="L18" s="13"/>
      <c r="M18" s="13"/>
    </row>
    <row r="19" spans="1:256" s="27" customFormat="1" x14ac:dyDescent="0.2">
      <c r="A19" s="39"/>
      <c r="B19" s="49"/>
      <c r="C19" s="114" t="s">
        <v>144</v>
      </c>
      <c r="D19" s="123" t="s">
        <v>58</v>
      </c>
      <c r="E19" s="125">
        <f>0.41*0.001</f>
        <v>4.0999999999999999E-4</v>
      </c>
      <c r="F19" s="13">
        <f>E19*F16</f>
        <v>1.3726799999999999</v>
      </c>
      <c r="G19" s="13"/>
      <c r="H19" s="13"/>
      <c r="I19" s="13"/>
      <c r="J19" s="13"/>
      <c r="K19" s="13"/>
      <c r="L19" s="13"/>
      <c r="M19" s="13"/>
    </row>
    <row r="20" spans="1:256" s="27" customFormat="1" x14ac:dyDescent="0.25">
      <c r="A20" s="39"/>
      <c r="B20" s="49"/>
      <c r="C20" s="114" t="s">
        <v>148</v>
      </c>
      <c r="D20" s="123" t="s">
        <v>58</v>
      </c>
      <c r="E20" s="71">
        <f>(7.6)*0.001</f>
        <v>7.6E-3</v>
      </c>
      <c r="F20" s="13">
        <f>E20*F16</f>
        <v>25.444800000000001</v>
      </c>
      <c r="G20" s="13"/>
      <c r="H20" s="13"/>
      <c r="I20" s="225"/>
      <c r="J20" s="96"/>
      <c r="K20" s="226"/>
      <c r="L20" s="13"/>
      <c r="M20" s="13"/>
    </row>
    <row r="21" spans="1:256" s="27" customFormat="1" x14ac:dyDescent="0.25">
      <c r="A21" s="39"/>
      <c r="B21" s="49"/>
      <c r="C21" s="114" t="s">
        <v>149</v>
      </c>
      <c r="D21" s="123" t="s">
        <v>58</v>
      </c>
      <c r="E21" s="71">
        <f>(7.4)*0.001</f>
        <v>7.4000000000000003E-3</v>
      </c>
      <c r="F21" s="13">
        <f>E21*F16</f>
        <v>24.775200000000002</v>
      </c>
      <c r="G21" s="13"/>
      <c r="H21" s="13"/>
      <c r="I21" s="225"/>
      <c r="J21" s="96"/>
      <c r="K21" s="226"/>
      <c r="L21" s="13"/>
      <c r="M21" s="13"/>
    </row>
    <row r="22" spans="1:256" s="27" customFormat="1" x14ac:dyDescent="0.2">
      <c r="A22" s="39"/>
      <c r="B22" s="49"/>
      <c r="C22" s="114" t="s">
        <v>230</v>
      </c>
      <c r="D22" s="123" t="s">
        <v>58</v>
      </c>
      <c r="E22" s="71">
        <f>(1.48)*0.001</f>
        <v>1.48E-3</v>
      </c>
      <c r="F22" s="13">
        <f>E22*F16</f>
        <v>4.9550400000000003</v>
      </c>
      <c r="G22" s="13"/>
      <c r="H22" s="13"/>
      <c r="I22" s="13"/>
      <c r="J22" s="13"/>
      <c r="K22" s="13"/>
      <c r="L22" s="13"/>
      <c r="M22" s="13"/>
    </row>
    <row r="23" spans="1:256" s="27" customFormat="1" ht="15.75" x14ac:dyDescent="0.2">
      <c r="A23" s="39"/>
      <c r="B23" s="49"/>
      <c r="C23" s="9" t="s">
        <v>150</v>
      </c>
      <c r="D23" s="39" t="s">
        <v>129</v>
      </c>
      <c r="E23" s="71">
        <f>(149+12.4*(7-12))*0.001</f>
        <v>8.7000000000000008E-2</v>
      </c>
      <c r="F23" s="13">
        <f>E23*F16</f>
        <v>291.27600000000001</v>
      </c>
      <c r="G23" s="13"/>
      <c r="H23" s="13"/>
      <c r="I23" s="13"/>
      <c r="J23" s="13"/>
      <c r="K23" s="13"/>
      <c r="L23" s="13"/>
      <c r="M23" s="13"/>
    </row>
    <row r="24" spans="1:256" s="27" customFormat="1" ht="15.75" x14ac:dyDescent="0.2">
      <c r="A24" s="39"/>
      <c r="B24" s="49"/>
      <c r="C24" s="9" t="s">
        <v>103</v>
      </c>
      <c r="D24" s="39" t="s">
        <v>129</v>
      </c>
      <c r="E24" s="71">
        <f>(11)*0.001</f>
        <v>1.0999999999999999E-2</v>
      </c>
      <c r="F24" s="13">
        <f>E24*F16</f>
        <v>36.827999999999996</v>
      </c>
      <c r="G24" s="13"/>
      <c r="H24" s="13"/>
      <c r="I24" s="13"/>
      <c r="J24" s="13"/>
      <c r="K24" s="13"/>
      <c r="L24" s="13"/>
      <c r="M24" s="13"/>
    </row>
    <row r="25" spans="1:256" s="27" customFormat="1" ht="40.5" x14ac:dyDescent="0.2">
      <c r="A25" s="39">
        <v>3</v>
      </c>
      <c r="B25" s="18"/>
      <c r="C25" s="117" t="s">
        <v>214</v>
      </c>
      <c r="D25" s="42" t="s">
        <v>110</v>
      </c>
      <c r="E25" s="42"/>
      <c r="F25" s="79">
        <v>3100</v>
      </c>
      <c r="G25" s="13"/>
      <c r="H25" s="13"/>
      <c r="I25" s="13"/>
      <c r="J25" s="13"/>
      <c r="K25" s="13"/>
      <c r="L25" s="13"/>
      <c r="M25" s="13"/>
    </row>
    <row r="26" spans="1:256" s="27" customFormat="1" x14ac:dyDescent="0.2">
      <c r="A26" s="39"/>
      <c r="B26" s="48"/>
      <c r="C26" s="46" t="s">
        <v>47</v>
      </c>
      <c r="D26" s="39" t="s">
        <v>48</v>
      </c>
      <c r="E26" s="39">
        <f>0.0191</f>
        <v>1.9099999999999999E-2</v>
      </c>
      <c r="F26" s="80">
        <f>F25*E26</f>
        <v>59.209999999999994</v>
      </c>
      <c r="G26" s="13"/>
      <c r="H26" s="89"/>
      <c r="I26" s="13"/>
      <c r="J26" s="13"/>
      <c r="K26" s="13"/>
      <c r="L26" s="89"/>
      <c r="M26" s="13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s="27" customFormat="1" x14ac:dyDescent="0.2">
      <c r="A27" s="39"/>
      <c r="B27" s="48"/>
      <c r="C27" s="46" t="s">
        <v>151</v>
      </c>
      <c r="D27" s="39" t="s">
        <v>58</v>
      </c>
      <c r="E27" s="39">
        <f>9.5*0.001</f>
        <v>9.4999999999999998E-3</v>
      </c>
      <c r="F27" s="80">
        <f>E27*F25</f>
        <v>29.45</v>
      </c>
      <c r="G27" s="13"/>
      <c r="H27" s="89"/>
      <c r="I27" s="13"/>
      <c r="J27" s="13"/>
      <c r="K27" s="13"/>
      <c r="L27" s="13"/>
      <c r="M27" s="13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s="27" customFormat="1" ht="27" x14ac:dyDescent="0.2">
      <c r="A28" s="39"/>
      <c r="B28" s="48"/>
      <c r="C28" s="46" t="s">
        <v>152</v>
      </c>
      <c r="D28" s="39" t="s">
        <v>58</v>
      </c>
      <c r="E28" s="39">
        <f>0.0095</f>
        <v>9.4999999999999998E-3</v>
      </c>
      <c r="F28" s="80">
        <f>E28*F25</f>
        <v>29.45</v>
      </c>
      <c r="G28" s="13"/>
      <c r="H28" s="89"/>
      <c r="I28" s="13"/>
      <c r="J28" s="13"/>
      <c r="K28" s="13"/>
      <c r="L28" s="13"/>
      <c r="M28" s="13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s="27" customFormat="1" x14ac:dyDescent="0.2">
      <c r="A29" s="39"/>
      <c r="B29" s="48"/>
      <c r="C29" s="46" t="s">
        <v>153</v>
      </c>
      <c r="D29" s="39" t="s">
        <v>58</v>
      </c>
      <c r="E29" s="39">
        <f>0.0095</f>
        <v>9.4999999999999998E-3</v>
      </c>
      <c r="F29" s="80">
        <f>E29*F25</f>
        <v>29.45</v>
      </c>
      <c r="G29" s="13"/>
      <c r="H29" s="89"/>
      <c r="I29" s="13"/>
      <c r="J29" s="13"/>
      <c r="K29" s="13"/>
      <c r="L29" s="13"/>
      <c r="M29" s="13"/>
      <c r="N29" s="50"/>
      <c r="O29" s="126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s="27" customFormat="1" ht="40.5" x14ac:dyDescent="0.2">
      <c r="A30" s="39"/>
      <c r="B30" s="48"/>
      <c r="C30" s="146" t="s">
        <v>154</v>
      </c>
      <c r="D30" s="39" t="s">
        <v>58</v>
      </c>
      <c r="E30" s="39">
        <f>0.0095</f>
        <v>9.4999999999999998E-3</v>
      </c>
      <c r="F30" s="80">
        <f>E30*F25</f>
        <v>29.45</v>
      </c>
      <c r="G30" s="13"/>
      <c r="H30" s="89"/>
      <c r="I30" s="13"/>
      <c r="J30" s="13"/>
      <c r="K30" s="13"/>
      <c r="L30" s="13"/>
      <c r="M30" s="13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s="27" customFormat="1" x14ac:dyDescent="0.2">
      <c r="A31" s="39"/>
      <c r="B31" s="48"/>
      <c r="C31" s="46" t="s">
        <v>155</v>
      </c>
      <c r="D31" s="39" t="s">
        <v>58</v>
      </c>
      <c r="E31" s="39">
        <f>0.0186</f>
        <v>1.8599999999999998E-2</v>
      </c>
      <c r="F31" s="80">
        <f>E31*F25</f>
        <v>57.66</v>
      </c>
      <c r="G31" s="13"/>
      <c r="H31" s="89"/>
      <c r="I31" s="13"/>
      <c r="J31" s="13"/>
      <c r="K31" s="13"/>
      <c r="L31" s="13"/>
      <c r="M31" s="13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s="27" customFormat="1" ht="27" x14ac:dyDescent="0.25">
      <c r="A32" s="68"/>
      <c r="B32" s="49"/>
      <c r="C32" s="146" t="s">
        <v>231</v>
      </c>
      <c r="D32" s="123" t="s">
        <v>58</v>
      </c>
      <c r="E32" s="39">
        <f>0.019</f>
        <v>1.9E-2</v>
      </c>
      <c r="F32" s="80">
        <f>E32*F25</f>
        <v>58.9</v>
      </c>
      <c r="G32" s="13"/>
      <c r="H32" s="89"/>
      <c r="I32" s="13"/>
      <c r="J32" s="13"/>
      <c r="K32" s="13"/>
      <c r="L32" s="13"/>
      <c r="M32" s="1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7" customFormat="1" x14ac:dyDescent="0.2">
      <c r="A33" s="39"/>
      <c r="B33" s="49"/>
      <c r="C33" s="46" t="s">
        <v>59</v>
      </c>
      <c r="D33" s="39" t="s">
        <v>60</v>
      </c>
      <c r="E33" s="108">
        <v>2.63E-2</v>
      </c>
      <c r="F33" s="13">
        <f>E33*F25</f>
        <v>81.53</v>
      </c>
      <c r="G33" s="13"/>
      <c r="H33" s="13"/>
      <c r="I33" s="13"/>
      <c r="J33" s="13"/>
      <c r="K33" s="13"/>
      <c r="L33" s="13"/>
      <c r="M33" s="13"/>
    </row>
    <row r="34" spans="1:256" s="27" customFormat="1" x14ac:dyDescent="0.2">
      <c r="A34" s="128"/>
      <c r="B34" s="39"/>
      <c r="C34" s="46" t="s">
        <v>232</v>
      </c>
      <c r="D34" s="39" t="s">
        <v>56</v>
      </c>
      <c r="E34" s="39">
        <f>184*0.001</f>
        <v>0.184</v>
      </c>
      <c r="F34" s="54">
        <f>F25*E34</f>
        <v>570.4</v>
      </c>
      <c r="G34" s="13"/>
      <c r="H34" s="13"/>
      <c r="I34" s="13"/>
      <c r="J34" s="13"/>
      <c r="K34" s="13"/>
      <c r="L34" s="13"/>
      <c r="M34" s="13"/>
      <c r="N34" s="12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7" customFormat="1" ht="32.25" customHeight="1" x14ac:dyDescent="0.2">
      <c r="A35" s="39">
        <v>4</v>
      </c>
      <c r="B35" s="18"/>
      <c r="C35" s="111" t="s">
        <v>216</v>
      </c>
      <c r="D35" s="42" t="s">
        <v>110</v>
      </c>
      <c r="E35" s="42"/>
      <c r="F35" s="79">
        <v>3100</v>
      </c>
      <c r="G35" s="13"/>
      <c r="H35" s="13"/>
      <c r="I35" s="13"/>
      <c r="J35" s="13"/>
      <c r="K35" s="13"/>
      <c r="L35" s="13"/>
      <c r="M35" s="13"/>
      <c r="P35" s="29"/>
    </row>
    <row r="36" spans="1:256" s="27" customFormat="1" x14ac:dyDescent="0.2">
      <c r="A36" s="39"/>
      <c r="B36" s="48"/>
      <c r="C36" s="46" t="s">
        <v>47</v>
      </c>
      <c r="D36" s="39" t="s">
        <v>48</v>
      </c>
      <c r="E36" s="39">
        <f>11.7*0.001</f>
        <v>1.17E-2</v>
      </c>
      <c r="F36" s="80">
        <f>F35*E36</f>
        <v>36.270000000000003</v>
      </c>
      <c r="G36" s="13"/>
      <c r="H36" s="89"/>
      <c r="I36" s="13"/>
      <c r="J36" s="13"/>
      <c r="K36" s="13"/>
      <c r="L36" s="89"/>
      <c r="M36" s="13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27" customFormat="1" x14ac:dyDescent="0.25">
      <c r="A37" s="128"/>
      <c r="B37" s="68"/>
      <c r="C37" s="68" t="s">
        <v>156</v>
      </c>
      <c r="D37" s="62" t="s">
        <v>50</v>
      </c>
      <c r="E37" s="62"/>
      <c r="F37" s="39">
        <v>14.7</v>
      </c>
      <c r="G37" s="60"/>
      <c r="H37" s="13"/>
      <c r="I37" s="13"/>
      <c r="J37" s="60"/>
      <c r="K37" s="60"/>
      <c r="L37" s="60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7" customFormat="1" ht="40.5" x14ac:dyDescent="0.25">
      <c r="A38" s="130">
        <v>5</v>
      </c>
      <c r="B38" s="68"/>
      <c r="C38" s="63" t="s">
        <v>238</v>
      </c>
      <c r="D38" s="62" t="s">
        <v>50</v>
      </c>
      <c r="E38" s="62"/>
      <c r="F38" s="39">
        <v>1</v>
      </c>
      <c r="G38" s="60"/>
      <c r="H38" s="13"/>
      <c r="I38" s="13"/>
      <c r="J38" s="60"/>
      <c r="K38" s="60"/>
      <c r="L38" s="60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7" customFormat="1" x14ac:dyDescent="0.2">
      <c r="A39" s="39">
        <v>6</v>
      </c>
      <c r="B39" s="18"/>
      <c r="C39" s="111" t="s">
        <v>243</v>
      </c>
      <c r="D39" s="42" t="s">
        <v>67</v>
      </c>
      <c r="E39" s="42"/>
      <c r="F39" s="131">
        <v>620</v>
      </c>
      <c r="G39" s="13"/>
      <c r="H39" s="13"/>
      <c r="I39" s="13"/>
      <c r="J39" s="13"/>
      <c r="K39" s="13"/>
      <c r="L39" s="13"/>
      <c r="M39" s="13"/>
      <c r="P39" s="29"/>
    </row>
    <row r="40" spans="1:256" s="27" customFormat="1" x14ac:dyDescent="0.2">
      <c r="A40" s="39"/>
      <c r="B40" s="48"/>
      <c r="C40" s="46" t="s">
        <v>47</v>
      </c>
      <c r="D40" s="39" t="s">
        <v>48</v>
      </c>
      <c r="E40" s="39">
        <f>7.7*0.01</f>
        <v>7.6999999999999999E-2</v>
      </c>
      <c r="F40" s="13">
        <f>F39*E40</f>
        <v>47.74</v>
      </c>
      <c r="G40" s="13"/>
      <c r="H40" s="89"/>
      <c r="I40" s="13"/>
      <c r="J40" s="13"/>
      <c r="K40" s="13"/>
      <c r="L40" s="89"/>
      <c r="M40" s="13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s="27" customFormat="1" x14ac:dyDescent="0.25">
      <c r="A41" s="68"/>
      <c r="B41" s="62"/>
      <c r="C41" s="68" t="s">
        <v>158</v>
      </c>
      <c r="D41" s="68" t="s">
        <v>58</v>
      </c>
      <c r="E41" s="39">
        <f>19.4*0.01</f>
        <v>0.19399999999999998</v>
      </c>
      <c r="F41" s="80">
        <f>F39*E41</f>
        <v>120.27999999999999</v>
      </c>
      <c r="G41" s="60"/>
      <c r="H41" s="67"/>
      <c r="I41" s="13"/>
      <c r="J41" s="13"/>
      <c r="K41" s="60"/>
      <c r="L41" s="13"/>
      <c r="M41" s="1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7" customFormat="1" ht="27" x14ac:dyDescent="0.25">
      <c r="A42" s="68"/>
      <c r="B42" s="62"/>
      <c r="C42" s="63" t="s">
        <v>159</v>
      </c>
      <c r="D42" s="49" t="s">
        <v>58</v>
      </c>
      <c r="E42" s="39">
        <f>2.42*0.01</f>
        <v>2.4199999999999999E-2</v>
      </c>
      <c r="F42" s="80">
        <f>E42*F39</f>
        <v>15.004</v>
      </c>
      <c r="G42" s="60"/>
      <c r="H42" s="67"/>
      <c r="I42" s="13"/>
      <c r="J42" s="13"/>
      <c r="K42" s="13"/>
      <c r="L42" s="13"/>
      <c r="M42" s="1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7" customFormat="1" x14ac:dyDescent="0.25">
      <c r="A43" s="68"/>
      <c r="B43" s="62"/>
      <c r="C43" s="63" t="s">
        <v>160</v>
      </c>
      <c r="D43" s="49" t="s">
        <v>58</v>
      </c>
      <c r="E43" s="39">
        <f>1.67*0.01</f>
        <v>1.67E-2</v>
      </c>
      <c r="F43" s="80">
        <f>E43*F39</f>
        <v>10.353999999999999</v>
      </c>
      <c r="G43" s="60"/>
      <c r="H43" s="67"/>
      <c r="I43" s="13"/>
      <c r="J43" s="13"/>
      <c r="K43" s="13"/>
      <c r="L43" s="13"/>
      <c r="M43" s="1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35" customFormat="1" x14ac:dyDescent="0.2">
      <c r="A44" s="39"/>
      <c r="B44" s="18"/>
      <c r="C44" s="46" t="s">
        <v>100</v>
      </c>
      <c r="D44" s="39" t="s">
        <v>58</v>
      </c>
      <c r="E44" s="39">
        <f>0.88*0.01</f>
        <v>8.8000000000000005E-3</v>
      </c>
      <c r="F44" s="13">
        <f>E44*F39</f>
        <v>5.4560000000000004</v>
      </c>
      <c r="G44" s="13"/>
      <c r="H44" s="13"/>
      <c r="I44" s="13"/>
      <c r="J44" s="13"/>
      <c r="K44" s="13"/>
      <c r="L44" s="10"/>
      <c r="M44" s="13"/>
    </row>
    <row r="45" spans="1:256" s="27" customFormat="1" x14ac:dyDescent="0.25">
      <c r="A45" s="68"/>
      <c r="B45" s="62"/>
      <c r="C45" s="63" t="s">
        <v>96</v>
      </c>
      <c r="D45" s="49" t="s">
        <v>161</v>
      </c>
      <c r="E45" s="39">
        <f>6.37*0.01</f>
        <v>6.3700000000000007E-2</v>
      </c>
      <c r="F45" s="80">
        <f>E45*F39</f>
        <v>39.494000000000007</v>
      </c>
      <c r="G45" s="60"/>
      <c r="H45" s="67"/>
      <c r="I45" s="13"/>
      <c r="J45" s="13"/>
      <c r="K45" s="13"/>
      <c r="L45" s="10"/>
      <c r="M45" s="1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x14ac:dyDescent="0.25">
      <c r="A46" s="68"/>
      <c r="B46" s="68"/>
      <c r="C46" s="68" t="s">
        <v>162</v>
      </c>
      <c r="D46" s="62" t="s">
        <v>50</v>
      </c>
      <c r="E46" s="62">
        <f>0.06*0.01</f>
        <v>5.9999999999999995E-4</v>
      </c>
      <c r="F46" s="39">
        <f>E46*F39</f>
        <v>0.37199999999999994</v>
      </c>
      <c r="G46" s="60"/>
      <c r="H46" s="67"/>
      <c r="I46" s="13"/>
      <c r="J46" s="67"/>
      <c r="K46" s="60"/>
      <c r="L46" s="67"/>
      <c r="M46" s="13"/>
    </row>
    <row r="47" spans="1:256" s="4" customFormat="1" x14ac:dyDescent="0.25">
      <c r="A47" s="68"/>
      <c r="B47" s="68"/>
      <c r="C47" s="68" t="s">
        <v>103</v>
      </c>
      <c r="D47" s="62" t="s">
        <v>56</v>
      </c>
      <c r="E47" s="62">
        <f>6.2*0.01</f>
        <v>6.2000000000000006E-2</v>
      </c>
      <c r="F47" s="39">
        <f>E47*F39</f>
        <v>38.440000000000005</v>
      </c>
      <c r="G47" s="60"/>
      <c r="H47" s="67"/>
      <c r="I47" s="13"/>
      <c r="J47" s="67"/>
      <c r="K47" s="60"/>
      <c r="L47" s="67"/>
      <c r="M47" s="13"/>
    </row>
    <row r="48" spans="1:256" s="4" customFormat="1" x14ac:dyDescent="0.25">
      <c r="A48" s="68"/>
      <c r="B48" s="68"/>
      <c r="C48" s="68" t="s">
        <v>163</v>
      </c>
      <c r="D48" s="62" t="s">
        <v>56</v>
      </c>
      <c r="E48" s="62">
        <f>1*0.01</f>
        <v>0.01</v>
      </c>
      <c r="F48" s="39">
        <f>E48*F39</f>
        <v>6.2</v>
      </c>
      <c r="G48" s="60"/>
      <c r="H48" s="67"/>
      <c r="I48" s="13"/>
      <c r="J48" s="67"/>
      <c r="K48" s="60"/>
      <c r="L48" s="67"/>
      <c r="M48" s="13"/>
    </row>
    <row r="49" spans="1:256" s="4" customFormat="1" x14ac:dyDescent="0.25">
      <c r="A49" s="68"/>
      <c r="B49" s="68"/>
      <c r="C49" s="68" t="s">
        <v>164</v>
      </c>
      <c r="D49" s="62" t="s">
        <v>50</v>
      </c>
      <c r="E49" s="62">
        <f>0.07*0.01</f>
        <v>7.000000000000001E-4</v>
      </c>
      <c r="F49" s="39">
        <f>E49*F39</f>
        <v>0.43400000000000005</v>
      </c>
      <c r="G49" s="60"/>
      <c r="H49" s="67"/>
      <c r="I49" s="13"/>
      <c r="J49" s="67"/>
      <c r="K49" s="60"/>
      <c r="L49" s="67"/>
      <c r="M49" s="13"/>
    </row>
    <row r="50" spans="1:256" s="4" customFormat="1" x14ac:dyDescent="0.25">
      <c r="A50" s="68"/>
      <c r="B50" s="68"/>
      <c r="C50" s="181" t="s">
        <v>96</v>
      </c>
      <c r="D50" s="62" t="s">
        <v>161</v>
      </c>
      <c r="E50" s="62">
        <f>1.78*0.01</f>
        <v>1.78E-2</v>
      </c>
      <c r="F50" s="39">
        <f>E50*F39</f>
        <v>11.036</v>
      </c>
      <c r="G50" s="60"/>
      <c r="H50" s="67"/>
      <c r="I50" s="13"/>
      <c r="J50" s="67"/>
      <c r="K50" s="60"/>
      <c r="L50" s="67"/>
      <c r="M50" s="13"/>
    </row>
    <row r="51" spans="1:256" s="27" customFormat="1" x14ac:dyDescent="0.2">
      <c r="A51" s="39">
        <v>7</v>
      </c>
      <c r="B51" s="18"/>
      <c r="C51" s="111" t="s">
        <v>157</v>
      </c>
      <c r="D51" s="42" t="s">
        <v>67</v>
      </c>
      <c r="E51" s="42"/>
      <c r="F51" s="131">
        <v>620</v>
      </c>
      <c r="G51" s="13"/>
      <c r="H51" s="13"/>
      <c r="I51" s="13"/>
      <c r="J51" s="13"/>
      <c r="K51" s="13"/>
      <c r="L51" s="13"/>
      <c r="M51" s="13"/>
      <c r="P51" s="29"/>
    </row>
    <row r="52" spans="1:256" s="27" customFormat="1" x14ac:dyDescent="0.2">
      <c r="A52" s="39"/>
      <c r="B52" s="48"/>
      <c r="C52" s="46" t="s">
        <v>47</v>
      </c>
      <c r="D52" s="39" t="s">
        <v>48</v>
      </c>
      <c r="E52" s="39">
        <f>7.7*0.01</f>
        <v>7.6999999999999999E-2</v>
      </c>
      <c r="F52" s="13">
        <f>F51*E52</f>
        <v>47.74</v>
      </c>
      <c r="G52" s="13"/>
      <c r="H52" s="89"/>
      <c r="I52" s="13"/>
      <c r="J52" s="13"/>
      <c r="K52" s="13"/>
      <c r="L52" s="89"/>
      <c r="M52" s="13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27" customFormat="1" x14ac:dyDescent="0.25">
      <c r="A53" s="68"/>
      <c r="B53" s="62"/>
      <c r="C53" s="68" t="s">
        <v>158</v>
      </c>
      <c r="D53" s="68" t="s">
        <v>58</v>
      </c>
      <c r="E53" s="39">
        <f>19.4*0.01</f>
        <v>0.19399999999999998</v>
      </c>
      <c r="F53" s="80">
        <f>F51*E53</f>
        <v>120.27999999999999</v>
      </c>
      <c r="G53" s="60"/>
      <c r="H53" s="67"/>
      <c r="I53" s="13"/>
      <c r="J53" s="13"/>
      <c r="K53" s="60"/>
      <c r="L53" s="13"/>
      <c r="M53" s="1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7" customFormat="1" ht="27" x14ac:dyDescent="0.25">
      <c r="A54" s="68"/>
      <c r="B54" s="62"/>
      <c r="C54" s="63" t="s">
        <v>159</v>
      </c>
      <c r="D54" s="49" t="s">
        <v>58</v>
      </c>
      <c r="E54" s="39">
        <f>2.42*0.01</f>
        <v>2.4199999999999999E-2</v>
      </c>
      <c r="F54" s="80">
        <f>E54*F51</f>
        <v>15.004</v>
      </c>
      <c r="G54" s="60"/>
      <c r="H54" s="67"/>
      <c r="I54" s="13"/>
      <c r="J54" s="13"/>
      <c r="K54" s="13"/>
      <c r="L54" s="13"/>
      <c r="M54" s="1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7" customFormat="1" x14ac:dyDescent="0.25">
      <c r="A55" s="68"/>
      <c r="B55" s="18"/>
      <c r="C55" s="63" t="s">
        <v>160</v>
      </c>
      <c r="D55" s="49" t="s">
        <v>58</v>
      </c>
      <c r="E55" s="39">
        <f>1.67*0.01</f>
        <v>1.67E-2</v>
      </c>
      <c r="F55" s="80">
        <f>E55*F51</f>
        <v>10.353999999999999</v>
      </c>
      <c r="G55" s="60"/>
      <c r="H55" s="67"/>
      <c r="I55" s="13"/>
      <c r="J55" s="13"/>
      <c r="K55" s="13"/>
      <c r="L55" s="13"/>
      <c r="M55" s="1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35" customFormat="1" x14ac:dyDescent="0.2">
      <c r="A56" s="39"/>
      <c r="B56" s="18"/>
      <c r="C56" s="46" t="s">
        <v>100</v>
      </c>
      <c r="D56" s="39" t="s">
        <v>58</v>
      </c>
      <c r="E56" s="39">
        <f>0.88*0.01</f>
        <v>8.8000000000000005E-3</v>
      </c>
      <c r="F56" s="13">
        <f>E56*F51</f>
        <v>5.4560000000000004</v>
      </c>
      <c r="G56" s="13"/>
      <c r="H56" s="13"/>
      <c r="I56" s="13"/>
      <c r="J56" s="13"/>
      <c r="K56" s="13"/>
      <c r="L56" s="10"/>
      <c r="M56" s="13"/>
    </row>
    <row r="57" spans="1:256" s="27" customFormat="1" x14ac:dyDescent="0.25">
      <c r="A57" s="68"/>
      <c r="B57" s="62"/>
      <c r="C57" s="63" t="s">
        <v>96</v>
      </c>
      <c r="D57" s="49" t="s">
        <v>161</v>
      </c>
      <c r="E57" s="39">
        <f>6.37*0.01</f>
        <v>6.3700000000000007E-2</v>
      </c>
      <c r="F57" s="80">
        <f>E57*F51</f>
        <v>39.494000000000007</v>
      </c>
      <c r="G57" s="60"/>
      <c r="H57" s="67"/>
      <c r="I57" s="13"/>
      <c r="J57" s="13"/>
      <c r="K57" s="13"/>
      <c r="L57" s="10"/>
      <c r="M57" s="1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x14ac:dyDescent="0.25">
      <c r="A58" s="68"/>
      <c r="B58" s="68"/>
      <c r="C58" s="68" t="s">
        <v>162</v>
      </c>
      <c r="D58" s="62" t="s">
        <v>50</v>
      </c>
      <c r="E58" s="62">
        <f>0.06*0.01</f>
        <v>5.9999999999999995E-4</v>
      </c>
      <c r="F58" s="39">
        <f>E58*F51</f>
        <v>0.37199999999999994</v>
      </c>
      <c r="G58" s="60"/>
      <c r="H58" s="67"/>
      <c r="I58" s="13"/>
      <c r="J58" s="67"/>
      <c r="K58" s="60"/>
      <c r="L58" s="67"/>
      <c r="M58" s="13"/>
    </row>
    <row r="59" spans="1:256" s="4" customFormat="1" x14ac:dyDescent="0.25">
      <c r="A59" s="68"/>
      <c r="B59" s="68"/>
      <c r="C59" s="68" t="s">
        <v>103</v>
      </c>
      <c r="D59" s="62" t="s">
        <v>56</v>
      </c>
      <c r="E59" s="62">
        <f>6.2*0.01</f>
        <v>6.2000000000000006E-2</v>
      </c>
      <c r="F59" s="39">
        <f>E59*F51</f>
        <v>38.440000000000005</v>
      </c>
      <c r="G59" s="60"/>
      <c r="H59" s="67"/>
      <c r="I59" s="13"/>
      <c r="J59" s="67"/>
      <c r="K59" s="60"/>
      <c r="L59" s="67"/>
      <c r="M59" s="13"/>
    </row>
    <row r="60" spans="1:256" s="4" customFormat="1" x14ac:dyDescent="0.25">
      <c r="A60" s="68"/>
      <c r="B60" s="68"/>
      <c r="C60" s="68" t="s">
        <v>163</v>
      </c>
      <c r="D60" s="62" t="s">
        <v>56</v>
      </c>
      <c r="E60" s="62">
        <f>1*0.01</f>
        <v>0.01</v>
      </c>
      <c r="F60" s="39">
        <f>E60*F51</f>
        <v>6.2</v>
      </c>
      <c r="G60" s="60"/>
      <c r="H60" s="67"/>
      <c r="I60" s="13"/>
      <c r="J60" s="67"/>
      <c r="K60" s="60"/>
      <c r="L60" s="67"/>
      <c r="M60" s="13"/>
    </row>
    <row r="61" spans="1:256" s="4" customFormat="1" x14ac:dyDescent="0.25">
      <c r="A61" s="68"/>
      <c r="B61" s="68"/>
      <c r="C61" s="68" t="s">
        <v>164</v>
      </c>
      <c r="D61" s="62" t="s">
        <v>50</v>
      </c>
      <c r="E61" s="62">
        <f>0.07*0.01</f>
        <v>7.000000000000001E-4</v>
      </c>
      <c r="F61" s="39">
        <f>E61*F51</f>
        <v>0.43400000000000005</v>
      </c>
      <c r="G61" s="60"/>
      <c r="H61" s="67"/>
      <c r="I61" s="13"/>
      <c r="J61" s="67"/>
      <c r="K61" s="60"/>
      <c r="L61" s="67"/>
      <c r="M61" s="13"/>
    </row>
    <row r="62" spans="1:256" s="4" customFormat="1" x14ac:dyDescent="0.25">
      <c r="A62" s="68"/>
      <c r="B62" s="68"/>
      <c r="C62" s="181" t="s">
        <v>96</v>
      </c>
      <c r="D62" s="62" t="s">
        <v>161</v>
      </c>
      <c r="E62" s="62">
        <f>1.78*0.01</f>
        <v>1.78E-2</v>
      </c>
      <c r="F62" s="39">
        <f>E62*F51</f>
        <v>11.036</v>
      </c>
      <c r="G62" s="60"/>
      <c r="H62" s="67"/>
      <c r="I62" s="13"/>
      <c r="J62" s="67"/>
      <c r="K62" s="60"/>
      <c r="L62" s="67"/>
      <c r="M62" s="13"/>
    </row>
    <row r="63" spans="1:256" s="187" customFormat="1" ht="40.5" x14ac:dyDescent="0.3">
      <c r="A63" s="39">
        <v>8</v>
      </c>
      <c r="B63" s="182"/>
      <c r="C63" s="183" t="s">
        <v>239</v>
      </c>
      <c r="D63" s="39" t="s">
        <v>206</v>
      </c>
      <c r="E63" s="184"/>
      <c r="F63" s="185">
        <v>0.14599999999999999</v>
      </c>
      <c r="G63" s="227"/>
      <c r="H63" s="228"/>
      <c r="I63" s="227"/>
      <c r="J63" s="228"/>
      <c r="K63" s="227"/>
      <c r="L63" s="228"/>
      <c r="M63" s="10"/>
      <c r="N63" s="186"/>
      <c r="O63" s="186"/>
      <c r="P63" s="186"/>
      <c r="Q63" s="186"/>
      <c r="R63" s="186"/>
      <c r="S63" s="186"/>
      <c r="T63" s="186"/>
      <c r="U63" s="186"/>
      <c r="V63" s="186"/>
    </row>
    <row r="64" spans="1:256" s="187" customFormat="1" ht="15.75" x14ac:dyDescent="0.3">
      <c r="A64" s="39"/>
      <c r="B64" s="182"/>
      <c r="C64" s="180" t="s">
        <v>166</v>
      </c>
      <c r="D64" s="62" t="s">
        <v>48</v>
      </c>
      <c r="E64" s="188">
        <v>31.7</v>
      </c>
      <c r="F64" s="185">
        <f>E64*F63</f>
        <v>4.6281999999999996</v>
      </c>
      <c r="G64" s="229"/>
      <c r="H64" s="185"/>
      <c r="I64" s="229"/>
      <c r="J64" s="218"/>
      <c r="K64" s="227"/>
      <c r="L64" s="228"/>
      <c r="M64" s="189"/>
      <c r="N64" s="186"/>
      <c r="O64" s="186"/>
      <c r="P64" s="186"/>
      <c r="Q64" s="186"/>
      <c r="R64" s="186"/>
      <c r="S64" s="186"/>
      <c r="T64" s="186"/>
      <c r="U64" s="186"/>
      <c r="V64" s="186"/>
    </row>
    <row r="65" spans="1:215" s="116" customFormat="1" x14ac:dyDescent="0.2">
      <c r="A65" s="112"/>
      <c r="B65" s="113"/>
      <c r="C65" s="114" t="s">
        <v>226</v>
      </c>
      <c r="D65" s="112" t="s">
        <v>58</v>
      </c>
      <c r="E65" s="113">
        <v>3.51</v>
      </c>
      <c r="F65" s="13">
        <f>E65*F63</f>
        <v>0.51245999999999992</v>
      </c>
      <c r="G65" s="10"/>
      <c r="H65" s="13"/>
      <c r="I65" s="10"/>
      <c r="J65" s="13"/>
      <c r="K65" s="13"/>
      <c r="L65" s="13"/>
      <c r="M65" s="189"/>
    </row>
    <row r="66" spans="1:215" s="187" customFormat="1" ht="15.75" x14ac:dyDescent="0.3">
      <c r="A66" s="39"/>
      <c r="B66" s="62"/>
      <c r="C66" s="180" t="s">
        <v>168</v>
      </c>
      <c r="D66" s="62" t="s">
        <v>169</v>
      </c>
      <c r="E66" s="188">
        <v>11</v>
      </c>
      <c r="F66" s="185">
        <f>E66*F63</f>
        <v>1.6059999999999999</v>
      </c>
      <c r="G66" s="229"/>
      <c r="H66" s="185"/>
      <c r="I66" s="229"/>
      <c r="J66" s="13"/>
      <c r="K66" s="229"/>
      <c r="L66" s="185"/>
      <c r="M66" s="189"/>
      <c r="N66" s="186"/>
      <c r="O66" s="186"/>
      <c r="P66" s="186"/>
      <c r="Q66" s="186"/>
      <c r="R66" s="186"/>
      <c r="S66" s="186"/>
      <c r="T66" s="186"/>
      <c r="U66" s="186"/>
      <c r="V66" s="186"/>
    </row>
    <row r="67" spans="1:215" s="187" customFormat="1" ht="27" x14ac:dyDescent="0.3">
      <c r="A67" s="39"/>
      <c r="B67" s="190"/>
      <c r="C67" s="46" t="s">
        <v>225</v>
      </c>
      <c r="D67" s="194" t="s">
        <v>169</v>
      </c>
      <c r="E67" s="13">
        <v>0.45</v>
      </c>
      <c r="F67" s="185">
        <f>E67*F63</f>
        <v>6.5699999999999995E-2</v>
      </c>
      <c r="G67" s="229"/>
      <c r="H67" s="185"/>
      <c r="I67" s="229"/>
      <c r="J67" s="13"/>
      <c r="K67" s="229"/>
      <c r="L67" s="185"/>
      <c r="M67" s="189"/>
      <c r="N67" s="186"/>
      <c r="O67" s="186"/>
      <c r="P67" s="186"/>
      <c r="Q67" s="186"/>
      <c r="R67" s="186"/>
      <c r="S67" s="186"/>
      <c r="T67" s="186"/>
      <c r="U67" s="186"/>
      <c r="V67" s="186"/>
    </row>
    <row r="68" spans="1:215" s="35" customFormat="1" x14ac:dyDescent="0.2">
      <c r="A68" s="39"/>
      <c r="B68" s="18"/>
      <c r="C68" s="46" t="s">
        <v>100</v>
      </c>
      <c r="D68" s="39" t="s">
        <v>58</v>
      </c>
      <c r="E68" s="44">
        <v>0.97</v>
      </c>
      <c r="F68" s="13">
        <f>E68*F63</f>
        <v>0.14162</v>
      </c>
      <c r="G68" s="13"/>
      <c r="H68" s="13"/>
      <c r="I68" s="13"/>
      <c r="J68" s="13"/>
      <c r="K68" s="13"/>
      <c r="L68" s="10"/>
      <c r="M68" s="189"/>
    </row>
    <row r="69" spans="1:215" s="187" customFormat="1" ht="16.5" x14ac:dyDescent="0.3">
      <c r="A69" s="39"/>
      <c r="B69" s="62"/>
      <c r="C69" s="46" t="s">
        <v>167</v>
      </c>
      <c r="D69" s="62" t="s">
        <v>129</v>
      </c>
      <c r="E69" s="188">
        <v>124</v>
      </c>
      <c r="F69" s="13">
        <f>E69*F63</f>
        <v>18.103999999999999</v>
      </c>
      <c r="G69" s="229"/>
      <c r="H69" s="185"/>
      <c r="I69" s="218"/>
      <c r="J69" s="218"/>
      <c r="K69" s="218"/>
      <c r="L69" s="218"/>
      <c r="M69" s="189"/>
      <c r="N69" s="186"/>
      <c r="O69" s="186"/>
      <c r="P69" s="186"/>
      <c r="Q69" s="186"/>
      <c r="R69" s="186"/>
      <c r="S69" s="186"/>
      <c r="T69" s="186"/>
      <c r="U69" s="186"/>
      <c r="V69" s="186"/>
    </row>
    <row r="70" spans="1:215" s="4" customFormat="1" x14ac:dyDescent="0.25">
      <c r="A70" s="68"/>
      <c r="B70" s="68"/>
      <c r="C70" s="68" t="s">
        <v>103</v>
      </c>
      <c r="D70" s="62" t="s">
        <v>56</v>
      </c>
      <c r="E70" s="44">
        <v>7</v>
      </c>
      <c r="F70" s="13">
        <f>E70*F63</f>
        <v>1.022</v>
      </c>
      <c r="G70" s="60"/>
      <c r="H70" s="67"/>
      <c r="I70" s="13"/>
      <c r="J70" s="67"/>
      <c r="K70" s="60"/>
      <c r="L70" s="67"/>
      <c r="M70" s="189"/>
    </row>
    <row r="71" spans="1:215" s="61" customFormat="1" x14ac:dyDescent="0.25">
      <c r="A71" s="194"/>
      <c r="B71" s="194"/>
      <c r="C71" s="46" t="s">
        <v>51</v>
      </c>
      <c r="D71" s="39"/>
      <c r="E71" s="191"/>
      <c r="F71" s="194"/>
      <c r="G71" s="60"/>
      <c r="H71" s="10"/>
      <c r="I71" s="13"/>
      <c r="J71" s="10"/>
      <c r="K71" s="60"/>
      <c r="L71" s="10"/>
      <c r="M71" s="10"/>
    </row>
    <row r="72" spans="1:215" s="66" customFormat="1" x14ac:dyDescent="0.25">
      <c r="A72" s="62"/>
      <c r="B72" s="62"/>
      <c r="C72" s="63" t="s">
        <v>245</v>
      </c>
      <c r="D72" s="60"/>
      <c r="E72" s="62"/>
      <c r="F72" s="13"/>
      <c r="G72" s="60"/>
      <c r="H72" s="60"/>
      <c r="I72" s="13"/>
      <c r="J72" s="60"/>
      <c r="K72" s="60"/>
      <c r="L72" s="60"/>
      <c r="M72" s="67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</row>
    <row r="73" spans="1:215" s="66" customFormat="1" x14ac:dyDescent="0.25">
      <c r="A73" s="62"/>
      <c r="B73" s="62"/>
      <c r="C73" s="63" t="s">
        <v>52</v>
      </c>
      <c r="D73" s="60"/>
      <c r="E73" s="62"/>
      <c r="F73" s="13"/>
      <c r="G73" s="60"/>
      <c r="H73" s="60"/>
      <c r="I73" s="13"/>
      <c r="J73" s="60"/>
      <c r="K73" s="60"/>
      <c r="L73" s="60"/>
      <c r="M73" s="6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</row>
    <row r="74" spans="1:215" s="66" customFormat="1" x14ac:dyDescent="0.25">
      <c r="A74" s="62"/>
      <c r="B74" s="62"/>
      <c r="C74" s="63" t="s">
        <v>247</v>
      </c>
      <c r="D74" s="60"/>
      <c r="E74" s="62"/>
      <c r="F74" s="13"/>
      <c r="G74" s="60"/>
      <c r="H74" s="60"/>
      <c r="I74" s="13"/>
      <c r="J74" s="60"/>
      <c r="K74" s="60"/>
      <c r="L74" s="60"/>
      <c r="M74" s="6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</row>
    <row r="75" spans="1:215" s="66" customFormat="1" x14ac:dyDescent="0.25">
      <c r="A75" s="62"/>
      <c r="B75" s="62"/>
      <c r="C75" s="68" t="s">
        <v>51</v>
      </c>
      <c r="D75" s="62"/>
      <c r="E75" s="62"/>
      <c r="F75" s="39"/>
      <c r="G75" s="60"/>
      <c r="H75" s="60"/>
      <c r="I75" s="13"/>
      <c r="J75" s="60"/>
      <c r="K75" s="60"/>
      <c r="L75" s="60"/>
      <c r="M75" s="67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</row>
    <row r="79" spans="1:215" ht="35.25" customHeight="1" x14ac:dyDescent="0.2">
      <c r="A79" s="235" t="s">
        <v>249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</row>
    <row r="80" spans="1:215" ht="12.75" x14ac:dyDescent="0.2">
      <c r="A80" s="236" t="s">
        <v>250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</row>
  </sheetData>
  <mergeCells count="14">
    <mergeCell ref="A79:M79"/>
    <mergeCell ref="A80:M80"/>
    <mergeCell ref="I6:J6"/>
    <mergeCell ref="K6:L6"/>
    <mergeCell ref="M6:M7"/>
    <mergeCell ref="C3:F3"/>
    <mergeCell ref="A4:L4"/>
    <mergeCell ref="C5:F5"/>
    <mergeCell ref="A6:A7"/>
    <mergeCell ref="B6:B7"/>
    <mergeCell ref="C6:C7"/>
    <mergeCell ref="D6:D7"/>
    <mergeCell ref="E6:F6"/>
    <mergeCell ref="G6:H6"/>
  </mergeCells>
  <conditionalFormatting sqref="IR71 A71:IQ75 A39:IN40 A8:HY8 A46:IT50 F41:F43 J41:J43 L41:M43 F45 A44:IS44 J45:M45 A51:IN52 F53:F55 J53:J55 L53:M55 F57 A56:IS56 J57:M57 A9:IT38 A58:IT70">
    <cfRule type="cellIs" dxfId="31" priority="2" stopIfTrue="1" operator="equal">
      <formula>8223.307275</formula>
    </cfRule>
  </conditionalFormatting>
  <conditionalFormatting sqref="B55">
    <cfRule type="cellIs" dxfId="30" priority="1" stopIfTrue="1" operator="equal">
      <formula>8223.307275</formula>
    </cfRule>
  </conditionalFormatting>
  <pageMargins left="0.11811023622047245" right="0.11811023622047245" top="0.6692913385826772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9.28515625" bestFit="1" customWidth="1"/>
    <col min="3" max="3" width="25.42578125" style="2" customWidth="1"/>
    <col min="4" max="4" width="9.28515625" bestFit="1" customWidth="1"/>
    <col min="5" max="5" width="9.85546875" style="160" bestFit="1" customWidth="1"/>
    <col min="6" max="6" width="9.42578125" bestFit="1" customWidth="1"/>
    <col min="7" max="7" width="9.28515625" style="166" bestFit="1" customWidth="1"/>
    <col min="8" max="8" width="9.28515625" bestFit="1" customWidth="1"/>
    <col min="9" max="9" width="9.28515625" style="166" bestFit="1" customWidth="1"/>
    <col min="10" max="10" width="9.42578125" bestFit="1" customWidth="1"/>
    <col min="11" max="11" width="9.28515625" style="166" bestFit="1" customWidth="1"/>
    <col min="12" max="12" width="9.28515625" bestFit="1" customWidth="1"/>
    <col min="13" max="13" width="10.140625" bestFit="1" customWidth="1"/>
  </cols>
  <sheetData>
    <row r="1" spans="1:256" ht="15.75" x14ac:dyDescent="0.25">
      <c r="A1" s="75" t="s">
        <v>0</v>
      </c>
    </row>
    <row r="2" spans="1:256" ht="15.75" x14ac:dyDescent="0.25">
      <c r="A2" s="75" t="s">
        <v>1</v>
      </c>
    </row>
    <row r="3" spans="1:256" s="27" customFormat="1" ht="15.75" x14ac:dyDescent="0.2">
      <c r="A3" s="210" t="s">
        <v>170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256" s="27" customFormat="1" ht="14.25" customHeight="1" x14ac:dyDescent="0.2">
      <c r="A4" s="30"/>
      <c r="B4" s="31"/>
      <c r="C4" s="211" t="s">
        <v>25</v>
      </c>
      <c r="D4" s="211"/>
      <c r="E4" s="211"/>
      <c r="F4" s="211"/>
      <c r="G4" s="211"/>
      <c r="I4" s="167"/>
      <c r="J4" s="33"/>
      <c r="K4" s="167"/>
      <c r="L4" s="34"/>
      <c r="M4" s="30"/>
    </row>
    <row r="5" spans="1:256" s="35" customFormat="1" x14ac:dyDescent="0.2">
      <c r="A5" s="208" t="s">
        <v>2</v>
      </c>
      <c r="B5" s="212" t="s">
        <v>35</v>
      </c>
      <c r="C5" s="208" t="s">
        <v>36</v>
      </c>
      <c r="D5" s="208" t="s">
        <v>37</v>
      </c>
      <c r="E5" s="214" t="s">
        <v>38</v>
      </c>
      <c r="F5" s="215"/>
      <c r="G5" s="208" t="s">
        <v>39</v>
      </c>
      <c r="H5" s="208"/>
      <c r="I5" s="208" t="s">
        <v>40</v>
      </c>
      <c r="J5" s="208"/>
      <c r="K5" s="208" t="s">
        <v>41</v>
      </c>
      <c r="L5" s="208"/>
      <c r="M5" s="209" t="s">
        <v>42</v>
      </c>
    </row>
    <row r="6" spans="1:256" s="35" customFormat="1" ht="27" x14ac:dyDescent="0.2">
      <c r="A6" s="208"/>
      <c r="B6" s="213"/>
      <c r="C6" s="208"/>
      <c r="D6" s="208"/>
      <c r="E6" s="19" t="s">
        <v>43</v>
      </c>
      <c r="F6" s="19" t="s">
        <v>32</v>
      </c>
      <c r="G6" s="168" t="s">
        <v>44</v>
      </c>
      <c r="H6" s="36" t="s">
        <v>42</v>
      </c>
      <c r="I6" s="168" t="s">
        <v>44</v>
      </c>
      <c r="J6" s="19" t="s">
        <v>42</v>
      </c>
      <c r="K6" s="168" t="s">
        <v>44</v>
      </c>
      <c r="L6" s="38" t="s">
        <v>42</v>
      </c>
      <c r="M6" s="209"/>
    </row>
    <row r="7" spans="1:256" s="35" customFormat="1" x14ac:dyDescent="0.2">
      <c r="A7" s="139">
        <v>1</v>
      </c>
      <c r="B7" s="140">
        <v>2</v>
      </c>
      <c r="C7" s="139">
        <v>3</v>
      </c>
      <c r="D7" s="140">
        <v>4</v>
      </c>
      <c r="E7" s="139">
        <v>5</v>
      </c>
      <c r="F7" s="140">
        <v>6</v>
      </c>
      <c r="G7" s="169">
        <v>7</v>
      </c>
      <c r="H7" s="140">
        <v>8</v>
      </c>
      <c r="I7" s="169">
        <v>9</v>
      </c>
      <c r="J7" s="140">
        <v>10</v>
      </c>
      <c r="K7" s="169">
        <v>11</v>
      </c>
      <c r="L7" s="141">
        <v>12</v>
      </c>
      <c r="M7" s="140" t="s">
        <v>45</v>
      </c>
    </row>
    <row r="8" spans="1:256" s="101" customFormat="1" ht="57.75" customHeight="1" x14ac:dyDescent="0.2">
      <c r="A8" s="104">
        <v>1</v>
      </c>
      <c r="B8" s="98"/>
      <c r="C8" s="46" t="s">
        <v>55</v>
      </c>
      <c r="D8" s="97" t="s">
        <v>56</v>
      </c>
      <c r="E8" s="97"/>
      <c r="F8" s="103">
        <v>90.8</v>
      </c>
      <c r="G8" s="218"/>
      <c r="H8" s="218"/>
      <c r="I8" s="218"/>
      <c r="J8" s="218"/>
      <c r="K8" s="218"/>
      <c r="L8" s="218"/>
      <c r="M8" s="21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101" customFormat="1" x14ac:dyDescent="0.2">
      <c r="A9" s="97"/>
      <c r="B9" s="98"/>
      <c r="C9" s="99" t="s">
        <v>47</v>
      </c>
      <c r="D9" s="97" t="s">
        <v>48</v>
      </c>
      <c r="E9" s="97">
        <f>20*0.001</f>
        <v>0.02</v>
      </c>
      <c r="F9" s="97">
        <f>F8*E9</f>
        <v>1.8160000000000001</v>
      </c>
      <c r="G9" s="218"/>
      <c r="H9" s="219"/>
      <c r="I9" s="218"/>
      <c r="J9" s="218"/>
      <c r="K9" s="218"/>
      <c r="L9" s="219"/>
      <c r="M9" s="218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s="101" customFormat="1" x14ac:dyDescent="0.2">
      <c r="A10" s="97"/>
      <c r="B10" s="98"/>
      <c r="C10" s="99" t="s">
        <v>57</v>
      </c>
      <c r="D10" s="97" t="s">
        <v>58</v>
      </c>
      <c r="E10" s="97">
        <f>44.8*0.001</f>
        <v>4.48E-2</v>
      </c>
      <c r="F10" s="97">
        <f>E10*F8</f>
        <v>4.0678399999999995</v>
      </c>
      <c r="G10" s="218"/>
      <c r="H10" s="218"/>
      <c r="I10" s="218"/>
      <c r="J10" s="218"/>
      <c r="K10" s="218"/>
      <c r="L10" s="218"/>
      <c r="M10" s="21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101" customFormat="1" x14ac:dyDescent="0.2">
      <c r="A11" s="97"/>
      <c r="B11" s="98"/>
      <c r="C11" s="99" t="s">
        <v>59</v>
      </c>
      <c r="D11" s="97" t="s">
        <v>60</v>
      </c>
      <c r="E11" s="97">
        <f>2.1*0.001</f>
        <v>2.1000000000000003E-3</v>
      </c>
      <c r="F11" s="97">
        <f>E11*F8</f>
        <v>0.19068000000000002</v>
      </c>
      <c r="G11" s="218"/>
      <c r="H11" s="218"/>
      <c r="I11" s="218"/>
      <c r="J11" s="218"/>
      <c r="K11" s="218"/>
      <c r="L11" s="218"/>
      <c r="M11" s="218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101" customFormat="1" x14ac:dyDescent="0.2">
      <c r="A12" s="97"/>
      <c r="B12" s="98"/>
      <c r="C12" s="99" t="s">
        <v>61</v>
      </c>
      <c r="D12" s="97" t="s">
        <v>56</v>
      </c>
      <c r="E12" s="97">
        <f>0.05*0.001</f>
        <v>5.0000000000000002E-5</v>
      </c>
      <c r="F12" s="97">
        <f>E12*F8</f>
        <v>4.5399999999999998E-3</v>
      </c>
      <c r="G12" s="218"/>
      <c r="H12" s="218"/>
      <c r="I12" s="218"/>
      <c r="J12" s="218"/>
      <c r="K12" s="218"/>
      <c r="L12" s="218"/>
      <c r="M12" s="218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27" x14ac:dyDescent="0.2">
      <c r="A13" s="39">
        <v>2</v>
      </c>
      <c r="B13" s="70"/>
      <c r="C13" s="151" t="s">
        <v>78</v>
      </c>
      <c r="D13" s="39" t="s">
        <v>50</v>
      </c>
      <c r="E13" s="39"/>
      <c r="F13" s="44">
        <v>164</v>
      </c>
      <c r="G13" s="13"/>
      <c r="H13" s="13"/>
      <c r="I13" s="13"/>
      <c r="J13" s="89"/>
      <c r="K13" s="13"/>
      <c r="L13" s="13"/>
      <c r="M13" s="1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x14ac:dyDescent="0.2">
      <c r="A14" s="39">
        <v>3</v>
      </c>
      <c r="B14" s="48"/>
      <c r="C14" s="41" t="s">
        <v>66</v>
      </c>
      <c r="D14" s="42" t="s">
        <v>56</v>
      </c>
      <c r="E14" s="42"/>
      <c r="F14" s="69">
        <v>164</v>
      </c>
      <c r="G14" s="13"/>
      <c r="H14" s="13"/>
      <c r="I14" s="13"/>
      <c r="J14" s="13"/>
      <c r="K14" s="13"/>
      <c r="L14" s="13"/>
      <c r="M14" s="1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x14ac:dyDescent="0.2">
      <c r="A15" s="39"/>
      <c r="B15" s="48"/>
      <c r="C15" s="46" t="s">
        <v>47</v>
      </c>
      <c r="D15" s="39" t="s">
        <v>48</v>
      </c>
      <c r="E15" s="39">
        <f>3.23*0.001</f>
        <v>3.2300000000000002E-3</v>
      </c>
      <c r="F15" s="13">
        <f>E15*F14</f>
        <v>0.52972000000000008</v>
      </c>
      <c r="G15" s="13"/>
      <c r="H15" s="89"/>
      <c r="I15" s="13"/>
      <c r="J15" s="13"/>
      <c r="K15" s="13"/>
      <c r="L15" s="89"/>
      <c r="M15" s="13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x14ac:dyDescent="0.2">
      <c r="A16" s="39"/>
      <c r="B16" s="45"/>
      <c r="C16" s="9" t="s">
        <v>63</v>
      </c>
      <c r="D16" s="39" t="s">
        <v>58</v>
      </c>
      <c r="E16" s="39">
        <f>3.62*0.001</f>
        <v>3.6200000000000004E-3</v>
      </c>
      <c r="F16" s="13">
        <f>E16*F14</f>
        <v>0.5936800000000001</v>
      </c>
      <c r="G16" s="13"/>
      <c r="H16" s="13"/>
      <c r="I16" s="13"/>
      <c r="J16" s="13"/>
      <c r="K16" s="13"/>
      <c r="L16" s="13"/>
      <c r="M16" s="1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x14ac:dyDescent="0.2">
      <c r="A17" s="39"/>
      <c r="B17" s="49"/>
      <c r="C17" s="46" t="s">
        <v>59</v>
      </c>
      <c r="D17" s="39" t="s">
        <v>60</v>
      </c>
      <c r="E17" s="39">
        <f>0.18*0.001</f>
        <v>1.7999999999999998E-4</v>
      </c>
      <c r="F17" s="71">
        <f>E17*F14</f>
        <v>2.9519999999999998E-2</v>
      </c>
      <c r="G17" s="13"/>
      <c r="H17" s="13"/>
      <c r="I17" s="13"/>
      <c r="J17" s="13"/>
      <c r="K17" s="13"/>
      <c r="L17" s="13"/>
      <c r="M17" s="1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x14ac:dyDescent="0.2">
      <c r="A18" s="39"/>
      <c r="B18" s="49"/>
      <c r="C18" s="46" t="s">
        <v>61</v>
      </c>
      <c r="D18" s="39" t="s">
        <v>56</v>
      </c>
      <c r="E18" s="39">
        <f>0.04*0.001</f>
        <v>4.0000000000000003E-5</v>
      </c>
      <c r="F18" s="71">
        <f>E18*F14</f>
        <v>6.5600000000000007E-3</v>
      </c>
      <c r="G18" s="13"/>
      <c r="H18" s="13"/>
      <c r="I18" s="13"/>
      <c r="J18" s="13"/>
      <c r="K18" s="13"/>
      <c r="L18" s="13"/>
      <c r="M18" s="13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27" x14ac:dyDescent="0.25">
      <c r="A19" s="39">
        <v>4</v>
      </c>
      <c r="B19" s="72"/>
      <c r="C19" s="73" t="s">
        <v>64</v>
      </c>
      <c r="D19" s="42" t="s">
        <v>56</v>
      </c>
      <c r="E19" s="42"/>
      <c r="F19" s="69">
        <v>9</v>
      </c>
      <c r="G19" s="13"/>
      <c r="H19" s="13"/>
      <c r="I19" s="13"/>
      <c r="J19" s="13"/>
      <c r="K19" s="13"/>
      <c r="L19" s="13"/>
      <c r="M19" s="13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x14ac:dyDescent="0.2">
      <c r="A20" s="39"/>
      <c r="B20" s="49"/>
      <c r="C20" s="46" t="s">
        <v>47</v>
      </c>
      <c r="D20" s="39" t="s">
        <v>48</v>
      </c>
      <c r="E20" s="39">
        <v>3.88</v>
      </c>
      <c r="F20" s="39">
        <f>F19*E20</f>
        <v>34.92</v>
      </c>
      <c r="G20" s="13"/>
      <c r="H20" s="89"/>
      <c r="I20" s="13"/>
      <c r="J20" s="13"/>
      <c r="K20" s="13"/>
      <c r="L20" s="89"/>
      <c r="M20" s="13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4" customFormat="1" ht="27" x14ac:dyDescent="0.2">
      <c r="A21" s="39">
        <v>5</v>
      </c>
      <c r="B21" s="74"/>
      <c r="C21" s="55" t="s">
        <v>65</v>
      </c>
      <c r="D21" s="42" t="s">
        <v>56</v>
      </c>
      <c r="E21" s="42"/>
      <c r="F21" s="69">
        <f>F19</f>
        <v>9</v>
      </c>
      <c r="G21" s="13"/>
      <c r="H21" s="13"/>
      <c r="I21" s="13"/>
      <c r="J21" s="13"/>
      <c r="K21" s="13"/>
      <c r="L21" s="13"/>
      <c r="M21" s="1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</row>
    <row r="22" spans="1:256" s="4" customFormat="1" x14ac:dyDescent="0.2">
      <c r="A22" s="39"/>
      <c r="B22" s="48"/>
      <c r="C22" s="46" t="s">
        <v>47</v>
      </c>
      <c r="D22" s="39" t="s">
        <v>48</v>
      </c>
      <c r="E22" s="39">
        <f>154*0.01</f>
        <v>1.54</v>
      </c>
      <c r="F22" s="39">
        <f>F21*E22</f>
        <v>13.86</v>
      </c>
      <c r="G22" s="13"/>
      <c r="H22" s="89"/>
      <c r="I22" s="13"/>
      <c r="J22" s="13"/>
      <c r="K22" s="13"/>
      <c r="L22" s="89"/>
      <c r="M22" s="13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</row>
    <row r="23" spans="1:256" ht="40.5" x14ac:dyDescent="0.2">
      <c r="A23" s="39">
        <v>6</v>
      </c>
      <c r="B23" s="70"/>
      <c r="C23" s="151" t="s">
        <v>62</v>
      </c>
      <c r="D23" s="39" t="s">
        <v>50</v>
      </c>
      <c r="E23" s="39"/>
      <c r="F23" s="44">
        <f>F21*1.95</f>
        <v>17.55</v>
      </c>
      <c r="G23" s="13"/>
      <c r="H23" s="13"/>
      <c r="I23" s="13"/>
      <c r="J23" s="89"/>
      <c r="K23" s="13"/>
      <c r="L23" s="13"/>
      <c r="M23" s="1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27" customFormat="1" x14ac:dyDescent="0.2">
      <c r="A24" s="39"/>
      <c r="B24" s="49"/>
      <c r="C24" s="19" t="s">
        <v>171</v>
      </c>
      <c r="D24" s="39"/>
      <c r="E24" s="39"/>
      <c r="F24" s="44"/>
      <c r="G24" s="13"/>
      <c r="H24" s="13"/>
      <c r="I24" s="13"/>
      <c r="J24" s="13"/>
      <c r="K24" s="13"/>
      <c r="L24" s="13"/>
      <c r="M24" s="13"/>
    </row>
    <row r="25" spans="1:256" s="27" customFormat="1" ht="27" x14ac:dyDescent="0.2">
      <c r="A25" s="39">
        <v>8</v>
      </c>
      <c r="B25" s="18"/>
      <c r="C25" s="9" t="s">
        <v>208</v>
      </c>
      <c r="D25" s="39" t="s">
        <v>56</v>
      </c>
      <c r="E25" s="39"/>
      <c r="F25" s="194">
        <v>0.5</v>
      </c>
      <c r="G25" s="13"/>
      <c r="H25" s="10"/>
      <c r="I25" s="13"/>
      <c r="J25" s="13"/>
      <c r="K25" s="13"/>
      <c r="L25" s="13"/>
      <c r="M25" s="13"/>
    </row>
    <row r="26" spans="1:256" s="50" customFormat="1" x14ac:dyDescent="0.2">
      <c r="A26" s="39"/>
      <c r="B26" s="48"/>
      <c r="C26" s="46" t="s">
        <v>47</v>
      </c>
      <c r="D26" s="39" t="s">
        <v>48</v>
      </c>
      <c r="E26" s="13">
        <v>1.8</v>
      </c>
      <c r="F26" s="13">
        <f>E26*F25</f>
        <v>0.9</v>
      </c>
      <c r="G26" s="13"/>
      <c r="H26" s="89"/>
      <c r="I26" s="13"/>
      <c r="J26" s="13"/>
      <c r="K26" s="13"/>
      <c r="L26" s="89"/>
      <c r="M26" s="13"/>
    </row>
    <row r="27" spans="1:256" s="50" customFormat="1" x14ac:dyDescent="0.25">
      <c r="A27" s="39"/>
      <c r="B27" s="48"/>
      <c r="C27" s="46" t="s">
        <v>117</v>
      </c>
      <c r="D27" s="39" t="s">
        <v>56</v>
      </c>
      <c r="E27" s="13">
        <v>1.1000000000000001</v>
      </c>
      <c r="F27" s="13">
        <f>E27*F25</f>
        <v>0.55000000000000004</v>
      </c>
      <c r="G27" s="13"/>
      <c r="H27" s="60"/>
      <c r="I27" s="13"/>
      <c r="J27" s="13"/>
      <c r="K27" s="13"/>
      <c r="L27" s="89"/>
      <c r="M27" s="13"/>
    </row>
    <row r="28" spans="1:256" ht="40.5" x14ac:dyDescent="0.25">
      <c r="A28" s="51">
        <v>9</v>
      </c>
      <c r="B28" s="76"/>
      <c r="C28" s="83" t="s">
        <v>172</v>
      </c>
      <c r="D28" s="78" t="s">
        <v>67</v>
      </c>
      <c r="E28" s="23"/>
      <c r="F28" s="78">
        <v>6</v>
      </c>
      <c r="G28" s="109"/>
      <c r="H28" s="223"/>
      <c r="I28" s="109"/>
      <c r="J28" s="223"/>
      <c r="K28" s="109"/>
      <c r="L28" s="230"/>
      <c r="M28" s="230"/>
    </row>
    <row r="29" spans="1:256" x14ac:dyDescent="0.2">
      <c r="A29" s="39"/>
      <c r="B29" s="48"/>
      <c r="C29" s="46" t="s">
        <v>47</v>
      </c>
      <c r="D29" s="39" t="s">
        <v>48</v>
      </c>
      <c r="E29" s="39">
        <f>12.8</f>
        <v>12.8</v>
      </c>
      <c r="F29" s="13">
        <f>E29*F28</f>
        <v>76.800000000000011</v>
      </c>
      <c r="G29" s="13"/>
      <c r="H29" s="89"/>
      <c r="I29" s="13"/>
      <c r="J29" s="13"/>
      <c r="K29" s="13"/>
      <c r="L29" s="89"/>
      <c r="M29" s="13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s="2" customFormat="1" x14ac:dyDescent="0.25">
      <c r="A30" s="77"/>
      <c r="B30" s="77"/>
      <c r="C30" s="77" t="s">
        <v>68</v>
      </c>
      <c r="D30" s="77" t="s">
        <v>58</v>
      </c>
      <c r="E30" s="23">
        <f>0.47</f>
        <v>0.47</v>
      </c>
      <c r="F30" s="13">
        <f>E30*F28</f>
        <v>2.82</v>
      </c>
      <c r="G30" s="109"/>
      <c r="H30" s="223"/>
      <c r="I30" s="109"/>
      <c r="J30" s="13"/>
      <c r="K30" s="109"/>
      <c r="L30" s="13"/>
      <c r="M30" s="13"/>
    </row>
    <row r="31" spans="1:256" x14ac:dyDescent="0.2">
      <c r="A31" s="39"/>
      <c r="B31" s="49"/>
      <c r="C31" s="46" t="s">
        <v>59</v>
      </c>
      <c r="D31" s="39" t="s">
        <v>60</v>
      </c>
      <c r="E31" s="39">
        <f>0.45</f>
        <v>0.45</v>
      </c>
      <c r="F31" s="13">
        <f>E31*F28</f>
        <v>2.7</v>
      </c>
      <c r="G31" s="13"/>
      <c r="H31" s="13"/>
      <c r="I31" s="13"/>
      <c r="J31" s="13"/>
      <c r="K31" s="13"/>
      <c r="L31" s="13"/>
      <c r="M31" s="1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x14ac:dyDescent="0.2">
      <c r="A32" s="39"/>
      <c r="B32" s="49"/>
      <c r="C32" s="105" t="s">
        <v>173</v>
      </c>
      <c r="D32" s="39" t="s">
        <v>67</v>
      </c>
      <c r="E32" s="39">
        <v>1</v>
      </c>
      <c r="F32" s="13">
        <f>F28*E32</f>
        <v>6</v>
      </c>
      <c r="G32" s="13"/>
      <c r="H32" s="13"/>
      <c r="I32" s="13"/>
      <c r="J32" s="13"/>
      <c r="K32" s="13"/>
      <c r="L32" s="13"/>
      <c r="M32" s="13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x14ac:dyDescent="0.25">
      <c r="A33" s="39"/>
      <c r="B33" s="49"/>
      <c r="C33" s="105" t="s">
        <v>174</v>
      </c>
      <c r="D33" s="39" t="s">
        <v>50</v>
      </c>
      <c r="E33" s="39">
        <v>0.1</v>
      </c>
      <c r="F33" s="13">
        <f>F29*E33</f>
        <v>7.6800000000000015</v>
      </c>
      <c r="G33" s="13"/>
      <c r="H33" s="60"/>
      <c r="I33" s="13"/>
      <c r="J33" s="13"/>
      <c r="K33" s="13"/>
      <c r="L33" s="13"/>
      <c r="M33" s="13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27" customFormat="1" x14ac:dyDescent="0.2">
      <c r="A34" s="39"/>
      <c r="B34" s="49"/>
      <c r="C34" s="46" t="s">
        <v>96</v>
      </c>
      <c r="D34" s="39" t="s">
        <v>60</v>
      </c>
      <c r="E34" s="71">
        <v>6.06</v>
      </c>
      <c r="F34" s="13">
        <f>E34*F28</f>
        <v>36.36</v>
      </c>
      <c r="G34" s="13"/>
      <c r="H34" s="13"/>
      <c r="I34" s="13"/>
      <c r="J34" s="13"/>
      <c r="K34" s="13"/>
      <c r="L34" s="13"/>
      <c r="M34" s="13"/>
    </row>
    <row r="35" spans="1:256" s="27" customFormat="1" ht="35.25" customHeight="1" x14ac:dyDescent="0.25">
      <c r="A35" s="39">
        <v>10</v>
      </c>
      <c r="B35" s="70"/>
      <c r="C35" s="88" t="s">
        <v>109</v>
      </c>
      <c r="D35" s="62" t="s">
        <v>110</v>
      </c>
      <c r="E35" s="13"/>
      <c r="F35" s="54">
        <v>16</v>
      </c>
      <c r="G35" s="13"/>
      <c r="H35" s="13"/>
      <c r="I35" s="13"/>
      <c r="J35" s="13"/>
      <c r="K35" s="13"/>
      <c r="L35" s="13"/>
      <c r="M35" s="13"/>
    </row>
    <row r="36" spans="1:256" s="50" customFormat="1" x14ac:dyDescent="0.2">
      <c r="A36" s="39"/>
      <c r="B36" s="48"/>
      <c r="C36" s="46" t="s">
        <v>47</v>
      </c>
      <c r="D36" s="39" t="s">
        <v>48</v>
      </c>
      <c r="E36" s="39">
        <v>0.56399999999999995</v>
      </c>
      <c r="F36" s="44">
        <f>F35*E36</f>
        <v>9.0239999999999991</v>
      </c>
      <c r="G36" s="13"/>
      <c r="H36" s="89"/>
      <c r="I36" s="13"/>
      <c r="J36" s="13"/>
      <c r="K36" s="13"/>
      <c r="L36" s="89"/>
      <c r="M36" s="13"/>
    </row>
    <row r="37" spans="1:256" s="27" customFormat="1" x14ac:dyDescent="0.2">
      <c r="A37" s="39"/>
      <c r="B37" s="70"/>
      <c r="C37" s="46" t="s">
        <v>59</v>
      </c>
      <c r="D37" s="39" t="s">
        <v>60</v>
      </c>
      <c r="E37" s="39">
        <v>4.0899999999999999E-2</v>
      </c>
      <c r="F37" s="13">
        <f>E37*F35</f>
        <v>0.65439999999999998</v>
      </c>
      <c r="G37" s="13"/>
      <c r="H37" s="13"/>
      <c r="I37" s="13"/>
      <c r="J37" s="89"/>
      <c r="K37" s="13"/>
      <c r="L37" s="13"/>
      <c r="M37" s="13"/>
    </row>
    <row r="38" spans="1:256" s="4" customFormat="1" x14ac:dyDescent="0.25">
      <c r="A38" s="68"/>
      <c r="B38" s="68"/>
      <c r="C38" s="68" t="s">
        <v>111</v>
      </c>
      <c r="D38" s="62" t="s">
        <v>50</v>
      </c>
      <c r="E38" s="39">
        <f>0.16*0.01</f>
        <v>1.6000000000000001E-3</v>
      </c>
      <c r="F38" s="13">
        <f>E38*F35</f>
        <v>2.5600000000000001E-2</v>
      </c>
      <c r="G38" s="231"/>
      <c r="H38" s="60"/>
      <c r="I38" s="60"/>
      <c r="J38" s="67"/>
      <c r="K38" s="60"/>
      <c r="L38" s="67"/>
      <c r="M38" s="13"/>
    </row>
    <row r="39" spans="1:256" s="4" customFormat="1" x14ac:dyDescent="0.25">
      <c r="A39" s="68"/>
      <c r="B39" s="68"/>
      <c r="C39" s="68" t="s">
        <v>112</v>
      </c>
      <c r="D39" s="62" t="s">
        <v>50</v>
      </c>
      <c r="E39" s="39">
        <f>0.45*0.01</f>
        <v>4.5000000000000005E-3</v>
      </c>
      <c r="F39" s="13">
        <f>E39*F35</f>
        <v>7.2000000000000008E-2</v>
      </c>
      <c r="G39" s="60"/>
      <c r="H39" s="60"/>
      <c r="I39" s="60"/>
      <c r="J39" s="67"/>
      <c r="K39" s="60"/>
      <c r="L39" s="67"/>
      <c r="M39" s="13"/>
    </row>
    <row r="40" spans="1:256" s="4" customFormat="1" x14ac:dyDescent="0.25">
      <c r="A40" s="68"/>
      <c r="B40" s="68"/>
      <c r="C40" s="68" t="s">
        <v>113</v>
      </c>
      <c r="D40" s="62" t="s">
        <v>56</v>
      </c>
      <c r="E40" s="39">
        <f>0.75*0.01</f>
        <v>7.4999999999999997E-3</v>
      </c>
      <c r="F40" s="13">
        <f>E40*F35</f>
        <v>0.12</v>
      </c>
      <c r="G40" s="60"/>
      <c r="H40" s="60"/>
      <c r="I40" s="60"/>
      <c r="J40" s="67"/>
      <c r="K40" s="60"/>
      <c r="L40" s="67"/>
      <c r="M40" s="13"/>
    </row>
    <row r="41" spans="1:256" s="3" customFormat="1" x14ac:dyDescent="0.25">
      <c r="A41" s="62"/>
      <c r="B41" s="84"/>
      <c r="C41" s="85" t="s">
        <v>89</v>
      </c>
      <c r="D41" s="86" t="s">
        <v>90</v>
      </c>
      <c r="E41" s="90">
        <v>0.26500000000000001</v>
      </c>
      <c r="F41" s="87">
        <f>E41*F35</f>
        <v>4.24</v>
      </c>
      <c r="G41" s="13"/>
      <c r="H41" s="60"/>
      <c r="I41" s="13"/>
      <c r="J41" s="60"/>
      <c r="K41" s="60"/>
      <c r="L41" s="60"/>
      <c r="M41" s="13"/>
    </row>
    <row r="42" spans="1:256" s="35" customFormat="1" ht="60.75" customHeight="1" x14ac:dyDescent="0.2">
      <c r="A42" s="39">
        <v>11</v>
      </c>
      <c r="B42" s="18"/>
      <c r="C42" s="83" t="s">
        <v>97</v>
      </c>
      <c r="D42" s="42" t="s">
        <v>56</v>
      </c>
      <c r="E42" s="42"/>
      <c r="F42" s="69">
        <v>1.8</v>
      </c>
      <c r="G42" s="13"/>
      <c r="H42" s="13"/>
      <c r="I42" s="13"/>
      <c r="J42" s="13"/>
      <c r="K42" s="13"/>
      <c r="L42" s="13"/>
      <c r="M42" s="13"/>
    </row>
    <row r="43" spans="1:256" s="50" customFormat="1" x14ac:dyDescent="0.2">
      <c r="A43" s="39"/>
      <c r="B43" s="48"/>
      <c r="C43" s="46" t="s">
        <v>47</v>
      </c>
      <c r="D43" s="39" t="s">
        <v>48</v>
      </c>
      <c r="E43" s="39">
        <f>15*0.01</f>
        <v>0.15</v>
      </c>
      <c r="F43" s="13">
        <f>F42*E43</f>
        <v>0.27</v>
      </c>
      <c r="G43" s="13"/>
      <c r="H43" s="89"/>
      <c r="I43" s="13"/>
      <c r="J43" s="13"/>
      <c r="K43" s="13"/>
      <c r="L43" s="89"/>
      <c r="M43" s="13"/>
    </row>
    <row r="44" spans="1:256" s="35" customFormat="1" ht="40.5" x14ac:dyDescent="0.2">
      <c r="A44" s="39"/>
      <c r="B44" s="18"/>
      <c r="C44" s="46" t="s">
        <v>240</v>
      </c>
      <c r="D44" s="39" t="s">
        <v>58</v>
      </c>
      <c r="E44" s="39">
        <f>2.16*0.01</f>
        <v>2.1600000000000001E-2</v>
      </c>
      <c r="F44" s="13">
        <f>E44*F42</f>
        <v>3.8880000000000005E-2</v>
      </c>
      <c r="G44" s="13"/>
      <c r="H44" s="13"/>
      <c r="I44" s="13"/>
      <c r="J44" s="13"/>
      <c r="K44" s="13"/>
      <c r="L44" s="10"/>
      <c r="M44" s="13"/>
    </row>
    <row r="45" spans="1:256" s="35" customFormat="1" ht="40.5" x14ac:dyDescent="0.2">
      <c r="A45" s="39"/>
      <c r="B45" s="18"/>
      <c r="C45" s="46" t="s">
        <v>99</v>
      </c>
      <c r="D45" s="39" t="s">
        <v>58</v>
      </c>
      <c r="E45" s="39">
        <f>2.73*0.01</f>
        <v>2.7300000000000001E-2</v>
      </c>
      <c r="F45" s="13">
        <f>E45*F42</f>
        <v>4.9140000000000003E-2</v>
      </c>
      <c r="G45" s="13"/>
      <c r="H45" s="13"/>
      <c r="I45" s="13"/>
      <c r="J45" s="13"/>
      <c r="K45" s="13"/>
      <c r="L45" s="10"/>
      <c r="M45" s="13"/>
    </row>
    <row r="46" spans="1:256" s="35" customFormat="1" ht="18" customHeight="1" x14ac:dyDescent="0.2">
      <c r="A46" s="39"/>
      <c r="B46" s="18"/>
      <c r="C46" s="46" t="s">
        <v>100</v>
      </c>
      <c r="D46" s="39" t="s">
        <v>58</v>
      </c>
      <c r="E46" s="39">
        <f>0.97*0.01</f>
        <v>9.7000000000000003E-3</v>
      </c>
      <c r="F46" s="13">
        <f>E46*F42</f>
        <v>1.746E-2</v>
      </c>
      <c r="G46" s="13"/>
      <c r="H46" s="13"/>
      <c r="I46" s="13"/>
      <c r="J46" s="13"/>
      <c r="K46" s="13"/>
      <c r="L46" s="10"/>
      <c r="M46" s="13"/>
    </row>
    <row r="47" spans="1:256" s="35" customFormat="1" x14ac:dyDescent="0.2">
      <c r="A47" s="39"/>
      <c r="B47" s="18"/>
      <c r="C47" s="46" t="s">
        <v>101</v>
      </c>
      <c r="D47" s="39"/>
      <c r="E47" s="39"/>
      <c r="F47" s="13"/>
      <c r="G47" s="13"/>
      <c r="H47" s="13"/>
      <c r="I47" s="13"/>
      <c r="J47" s="13"/>
      <c r="K47" s="13"/>
      <c r="L47" s="10"/>
      <c r="M47" s="13"/>
    </row>
    <row r="48" spans="1:256" s="3" customFormat="1" x14ac:dyDescent="0.25">
      <c r="A48" s="194"/>
      <c r="B48" s="194"/>
      <c r="C48" s="9" t="s">
        <v>102</v>
      </c>
      <c r="D48" s="194" t="s">
        <v>56</v>
      </c>
      <c r="E48" s="179">
        <f>122*0.01</f>
        <v>1.22</v>
      </c>
      <c r="F48" s="96">
        <f>E48*F42</f>
        <v>2.1960000000000002</v>
      </c>
      <c r="G48" s="96"/>
      <c r="H48" s="10"/>
      <c r="I48" s="96"/>
      <c r="J48" s="96"/>
      <c r="K48" s="96"/>
      <c r="L48" s="96"/>
      <c r="M48" s="96"/>
    </row>
    <row r="49" spans="1:13" s="35" customFormat="1" x14ac:dyDescent="0.2">
      <c r="A49" s="39"/>
      <c r="B49" s="121"/>
      <c r="C49" s="88" t="s">
        <v>103</v>
      </c>
      <c r="D49" s="194" t="s">
        <v>56</v>
      </c>
      <c r="E49" s="179">
        <f>7*0.01</f>
        <v>7.0000000000000007E-2</v>
      </c>
      <c r="F49" s="96">
        <f>E49*F42</f>
        <v>0.12600000000000003</v>
      </c>
      <c r="G49" s="13"/>
      <c r="H49" s="13"/>
      <c r="I49" s="13"/>
      <c r="J49" s="13"/>
      <c r="K49" s="13"/>
      <c r="L49" s="13"/>
      <c r="M49" s="13"/>
    </row>
    <row r="50" spans="1:13" s="50" customFormat="1" x14ac:dyDescent="0.25">
      <c r="A50" s="39"/>
      <c r="B50" s="48"/>
      <c r="C50" s="132" t="s">
        <v>175</v>
      </c>
      <c r="D50" s="39"/>
      <c r="E50" s="13"/>
      <c r="F50" s="13"/>
      <c r="G50" s="13"/>
      <c r="H50" s="60"/>
      <c r="I50" s="13"/>
      <c r="J50" s="13"/>
      <c r="K50" s="13"/>
      <c r="L50" s="89"/>
      <c r="M50" s="13"/>
    </row>
    <row r="51" spans="1:13" s="4" customFormat="1" ht="44.25" customHeight="1" x14ac:dyDescent="0.25">
      <c r="A51" s="62">
        <v>1</v>
      </c>
      <c r="B51" s="121"/>
      <c r="C51" s="153" t="s">
        <v>176</v>
      </c>
      <c r="D51" s="62" t="s">
        <v>143</v>
      </c>
      <c r="E51" s="39"/>
      <c r="F51" s="64">
        <v>9.2999999999999999E-2</v>
      </c>
      <c r="G51" s="60"/>
      <c r="H51" s="67"/>
      <c r="I51" s="60"/>
      <c r="J51" s="67"/>
      <c r="K51" s="60"/>
      <c r="L51" s="67"/>
      <c r="M51" s="67"/>
    </row>
    <row r="52" spans="1:13" s="50" customFormat="1" x14ac:dyDescent="0.2">
      <c r="A52" s="39"/>
      <c r="B52" s="48"/>
      <c r="C52" s="46" t="s">
        <v>47</v>
      </c>
      <c r="D52" s="39" t="s">
        <v>48</v>
      </c>
      <c r="E52" s="39">
        <v>15</v>
      </c>
      <c r="F52" s="39">
        <f>F51*E52</f>
        <v>1.395</v>
      </c>
      <c r="G52" s="13"/>
      <c r="H52" s="89"/>
      <c r="I52" s="13"/>
      <c r="J52" s="13"/>
      <c r="K52" s="13"/>
      <c r="L52" s="89"/>
      <c r="M52" s="13"/>
    </row>
    <row r="53" spans="1:13" s="116" customFormat="1" ht="40.5" x14ac:dyDescent="0.2">
      <c r="A53" s="112"/>
      <c r="B53" s="164"/>
      <c r="C53" s="114" t="s">
        <v>98</v>
      </c>
      <c r="D53" s="112" t="s">
        <v>58</v>
      </c>
      <c r="E53" s="113">
        <v>2.16</v>
      </c>
      <c r="F53" s="13">
        <f>E53*F51</f>
        <v>0.20088</v>
      </c>
      <c r="G53" s="10"/>
      <c r="H53" s="13"/>
      <c r="I53" s="10"/>
      <c r="J53" s="13"/>
      <c r="K53" s="13"/>
      <c r="L53" s="13"/>
      <c r="M53" s="13"/>
    </row>
    <row r="54" spans="1:13" s="27" customFormat="1" x14ac:dyDescent="0.2">
      <c r="A54" s="39"/>
      <c r="B54" s="164"/>
      <c r="C54" s="114" t="s">
        <v>144</v>
      </c>
      <c r="D54" s="123" t="s">
        <v>58</v>
      </c>
      <c r="E54" s="124">
        <v>2.73</v>
      </c>
      <c r="F54" s="13">
        <f>E54*F51</f>
        <v>0.25389</v>
      </c>
      <c r="G54" s="13"/>
      <c r="H54" s="13"/>
      <c r="I54" s="13"/>
      <c r="J54" s="13"/>
      <c r="K54" s="13"/>
      <c r="L54" s="13"/>
      <c r="M54" s="13"/>
    </row>
    <row r="55" spans="1:13" s="27" customFormat="1" x14ac:dyDescent="0.2">
      <c r="A55" s="39"/>
      <c r="B55" s="164"/>
      <c r="C55" s="46" t="s">
        <v>145</v>
      </c>
      <c r="D55" s="39" t="s">
        <v>60</v>
      </c>
      <c r="E55" s="13">
        <v>0.97</v>
      </c>
      <c r="F55" s="13">
        <f>E55*F51</f>
        <v>9.0209999999999999E-2</v>
      </c>
      <c r="G55" s="13"/>
      <c r="H55" s="13"/>
      <c r="I55" s="13"/>
      <c r="J55" s="13"/>
      <c r="K55" s="13"/>
      <c r="L55" s="13"/>
      <c r="M55" s="13"/>
    </row>
    <row r="56" spans="1:13" s="27" customFormat="1" x14ac:dyDescent="0.2">
      <c r="A56" s="39"/>
      <c r="B56" s="49"/>
      <c r="C56" s="46" t="s">
        <v>146</v>
      </c>
      <c r="D56" s="39" t="s">
        <v>56</v>
      </c>
      <c r="E56" s="39">
        <v>122</v>
      </c>
      <c r="F56" s="54">
        <f>E56*F51</f>
        <v>11.346</v>
      </c>
      <c r="G56" s="13"/>
      <c r="H56" s="13"/>
      <c r="I56" s="13"/>
      <c r="J56" s="13"/>
      <c r="K56" s="13"/>
      <c r="L56" s="13"/>
      <c r="M56" s="13"/>
    </row>
    <row r="57" spans="1:13" s="27" customFormat="1" x14ac:dyDescent="0.2">
      <c r="A57" s="39"/>
      <c r="B57" s="49"/>
      <c r="C57" s="46" t="s">
        <v>103</v>
      </c>
      <c r="D57" s="39" t="s">
        <v>56</v>
      </c>
      <c r="E57" s="39">
        <v>7</v>
      </c>
      <c r="F57" s="44">
        <f>E57*F51</f>
        <v>0.65100000000000002</v>
      </c>
      <c r="G57" s="13"/>
      <c r="H57" s="13"/>
      <c r="I57" s="13"/>
      <c r="J57" s="13"/>
      <c r="K57" s="13"/>
      <c r="L57" s="13"/>
      <c r="M57" s="13"/>
    </row>
    <row r="58" spans="1:13" s="27" customFormat="1" ht="51" customHeight="1" x14ac:dyDescent="0.2">
      <c r="A58" s="39">
        <v>2</v>
      </c>
      <c r="B58" s="18"/>
      <c r="C58" s="9" t="s">
        <v>177</v>
      </c>
      <c r="D58" s="42" t="s">
        <v>110</v>
      </c>
      <c r="E58" s="42"/>
      <c r="F58" s="79">
        <v>133</v>
      </c>
      <c r="G58" s="13"/>
      <c r="H58" s="13"/>
      <c r="I58" s="13"/>
      <c r="J58" s="13"/>
      <c r="K58" s="13"/>
      <c r="L58" s="13"/>
      <c r="M58" s="13"/>
    </row>
    <row r="59" spans="1:13" s="50" customFormat="1" x14ac:dyDescent="0.2">
      <c r="A59" s="39"/>
      <c r="B59" s="48"/>
      <c r="C59" s="46" t="s">
        <v>47</v>
      </c>
      <c r="D59" s="39" t="s">
        <v>48</v>
      </c>
      <c r="E59" s="39">
        <f>0.001*49.2</f>
        <v>4.9200000000000001E-2</v>
      </c>
      <c r="F59" s="13">
        <f>F58*E59</f>
        <v>6.5436000000000005</v>
      </c>
      <c r="G59" s="13"/>
      <c r="H59" s="13"/>
      <c r="I59" s="13"/>
      <c r="J59" s="13"/>
      <c r="K59" s="13"/>
      <c r="L59" s="13"/>
      <c r="M59" s="13"/>
    </row>
    <row r="60" spans="1:13" s="50" customFormat="1" ht="40.5" x14ac:dyDescent="0.2">
      <c r="A60" s="39"/>
      <c r="B60" s="48"/>
      <c r="C60" s="46" t="s">
        <v>98</v>
      </c>
      <c r="D60" s="39" t="s">
        <v>48</v>
      </c>
      <c r="E60" s="71">
        <f>(2.69)*0.001</f>
        <v>2.6900000000000001E-3</v>
      </c>
      <c r="F60" s="13">
        <f>E60*F58</f>
        <v>0.35777000000000003</v>
      </c>
      <c r="G60" s="13"/>
      <c r="H60" s="13"/>
      <c r="I60" s="10"/>
      <c r="J60" s="13"/>
      <c r="K60" s="13"/>
      <c r="L60" s="13"/>
      <c r="M60" s="13"/>
    </row>
    <row r="61" spans="1:13" s="27" customFormat="1" ht="27" x14ac:dyDescent="0.2">
      <c r="A61" s="39"/>
      <c r="B61" s="49"/>
      <c r="C61" s="114" t="s">
        <v>233</v>
      </c>
      <c r="D61" s="123" t="s">
        <v>58</v>
      </c>
      <c r="E61" s="125">
        <f>0.41*0.001</f>
        <v>4.0999999999999999E-4</v>
      </c>
      <c r="F61" s="13">
        <f>E61*F58</f>
        <v>5.4530000000000002E-2</v>
      </c>
      <c r="G61" s="13"/>
      <c r="H61" s="13"/>
      <c r="I61" s="13"/>
      <c r="J61" s="13"/>
      <c r="K61" s="13"/>
      <c r="L61" s="13"/>
      <c r="M61" s="13"/>
    </row>
    <row r="62" spans="1:13" s="27" customFormat="1" ht="27" x14ac:dyDescent="0.25">
      <c r="A62" s="39"/>
      <c r="B62" s="49"/>
      <c r="C62" s="114" t="s">
        <v>234</v>
      </c>
      <c r="D62" s="123" t="s">
        <v>58</v>
      </c>
      <c r="E62" s="71">
        <f>(7.6)*0.001</f>
        <v>7.6E-3</v>
      </c>
      <c r="F62" s="13">
        <f>E62*F58</f>
        <v>1.0107999999999999</v>
      </c>
      <c r="G62" s="13"/>
      <c r="H62" s="13"/>
      <c r="I62" s="226"/>
      <c r="J62" s="96"/>
      <c r="K62" s="226"/>
      <c r="L62" s="13"/>
      <c r="M62" s="13"/>
    </row>
    <row r="63" spans="1:13" s="27" customFormat="1" ht="27" x14ac:dyDescent="0.25">
      <c r="A63" s="39"/>
      <c r="B63" s="49"/>
      <c r="C63" s="114" t="s">
        <v>235</v>
      </c>
      <c r="D63" s="123" t="s">
        <v>58</v>
      </c>
      <c r="E63" s="71">
        <f>(7.4)*0.001</f>
        <v>7.4000000000000003E-3</v>
      </c>
      <c r="F63" s="13">
        <f>E63*F58</f>
        <v>0.98420000000000007</v>
      </c>
      <c r="G63" s="13"/>
      <c r="H63" s="13"/>
      <c r="I63" s="226"/>
      <c r="J63" s="96"/>
      <c r="K63" s="226"/>
      <c r="L63" s="13"/>
      <c r="M63" s="13"/>
    </row>
    <row r="64" spans="1:13" s="27" customFormat="1" ht="27" x14ac:dyDescent="0.2">
      <c r="A64" s="39"/>
      <c r="B64" s="49"/>
      <c r="C64" s="46" t="s">
        <v>100</v>
      </c>
      <c r="D64" s="123" t="s">
        <v>58</v>
      </c>
      <c r="E64" s="71">
        <f>(1.48)*0.001</f>
        <v>1.48E-3</v>
      </c>
      <c r="F64" s="13">
        <f>E64*F58</f>
        <v>0.19683999999999999</v>
      </c>
      <c r="G64" s="13"/>
      <c r="H64" s="13"/>
      <c r="I64" s="13"/>
      <c r="J64" s="13"/>
      <c r="K64" s="13"/>
      <c r="L64" s="13"/>
      <c r="M64" s="13"/>
    </row>
    <row r="65" spans="1:256" s="27" customFormat="1" ht="15.75" x14ac:dyDescent="0.2">
      <c r="A65" s="39"/>
      <c r="B65" s="49"/>
      <c r="C65" s="9" t="s">
        <v>178</v>
      </c>
      <c r="D65" s="39" t="s">
        <v>129</v>
      </c>
      <c r="E65" s="71">
        <f>0.001*(149+12.4*3)</f>
        <v>0.1862</v>
      </c>
      <c r="F65" s="13">
        <f>E65*F58</f>
        <v>24.764600000000002</v>
      </c>
      <c r="G65" s="13"/>
      <c r="H65" s="13"/>
      <c r="I65" s="13"/>
      <c r="J65" s="13"/>
      <c r="K65" s="13"/>
      <c r="L65" s="13"/>
      <c r="M65" s="13"/>
    </row>
    <row r="66" spans="1:256" s="27" customFormat="1" ht="15.75" x14ac:dyDescent="0.2">
      <c r="A66" s="39"/>
      <c r="B66" s="49"/>
      <c r="C66" s="9" t="s">
        <v>103</v>
      </c>
      <c r="D66" s="39" t="s">
        <v>129</v>
      </c>
      <c r="E66" s="71">
        <f>(11)*0.001</f>
        <v>1.0999999999999999E-2</v>
      </c>
      <c r="F66" s="13">
        <f>E66*F58</f>
        <v>1.4629999999999999</v>
      </c>
      <c r="G66" s="13"/>
      <c r="H66" s="13"/>
      <c r="I66" s="13"/>
      <c r="J66" s="13"/>
      <c r="K66" s="13"/>
      <c r="L66" s="13"/>
      <c r="M66" s="13"/>
    </row>
    <row r="67" spans="1:256" s="27" customFormat="1" ht="40.5" x14ac:dyDescent="0.2">
      <c r="A67" s="39"/>
      <c r="B67" s="49"/>
      <c r="C67" s="19" t="s">
        <v>179</v>
      </c>
      <c r="D67" s="39"/>
      <c r="E67" s="71"/>
      <c r="F67" s="13"/>
      <c r="G67" s="13"/>
      <c r="H67" s="13"/>
      <c r="I67" s="13"/>
      <c r="J67" s="13"/>
      <c r="K67" s="13"/>
      <c r="L67" s="13"/>
      <c r="M67" s="13"/>
    </row>
    <row r="68" spans="1:256" s="27" customFormat="1" ht="54" x14ac:dyDescent="0.2">
      <c r="A68" s="39">
        <v>3</v>
      </c>
      <c r="B68" s="18"/>
      <c r="C68" s="117" t="s">
        <v>241</v>
      </c>
      <c r="D68" s="42" t="s">
        <v>110</v>
      </c>
      <c r="E68" s="42"/>
      <c r="F68" s="79">
        <v>133</v>
      </c>
      <c r="G68" s="13"/>
      <c r="H68" s="13"/>
      <c r="I68" s="13"/>
      <c r="J68" s="13"/>
      <c r="K68" s="13"/>
      <c r="L68" s="13"/>
      <c r="M68" s="13"/>
    </row>
    <row r="69" spans="1:256" s="27" customFormat="1" x14ac:dyDescent="0.2">
      <c r="A69" s="39"/>
      <c r="B69" s="48"/>
      <c r="C69" s="46" t="s">
        <v>47</v>
      </c>
      <c r="D69" s="39" t="s">
        <v>48</v>
      </c>
      <c r="E69" s="39">
        <f>0.0191</f>
        <v>1.9099999999999999E-2</v>
      </c>
      <c r="F69" s="80">
        <f>F68*E69</f>
        <v>2.5402999999999998</v>
      </c>
      <c r="G69" s="13"/>
      <c r="H69" s="89"/>
      <c r="I69" s="13"/>
      <c r="J69" s="13"/>
      <c r="K69" s="13"/>
      <c r="L69" s="89"/>
      <c r="M69" s="1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</row>
    <row r="70" spans="1:256" s="27" customFormat="1" ht="27" x14ac:dyDescent="0.2">
      <c r="A70" s="39"/>
      <c r="B70" s="121"/>
      <c r="C70" s="46" t="s">
        <v>151</v>
      </c>
      <c r="D70" s="39" t="s">
        <v>58</v>
      </c>
      <c r="E70" s="39">
        <f>9.5*0.001</f>
        <v>9.4999999999999998E-3</v>
      </c>
      <c r="F70" s="80">
        <f>E70*F68</f>
        <v>1.2635000000000001</v>
      </c>
      <c r="G70" s="13"/>
      <c r="H70" s="89"/>
      <c r="I70" s="13"/>
      <c r="J70" s="13"/>
      <c r="K70" s="13"/>
      <c r="L70" s="13"/>
      <c r="M70" s="13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</row>
    <row r="71" spans="1:256" s="27" customFormat="1" ht="40.5" x14ac:dyDescent="0.2">
      <c r="A71" s="39"/>
      <c r="B71" s="121"/>
      <c r="C71" s="46" t="s">
        <v>152</v>
      </c>
      <c r="D71" s="39" t="s">
        <v>58</v>
      </c>
      <c r="E71" s="39">
        <f>0.0095</f>
        <v>9.4999999999999998E-3</v>
      </c>
      <c r="F71" s="80">
        <f>E71*F68</f>
        <v>1.2635000000000001</v>
      </c>
      <c r="G71" s="13"/>
      <c r="H71" s="89"/>
      <c r="I71" s="13"/>
      <c r="J71" s="13"/>
      <c r="K71" s="13"/>
      <c r="L71" s="13"/>
      <c r="M71" s="13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s="27" customFormat="1" x14ac:dyDescent="0.2">
      <c r="A72" s="39"/>
      <c r="B72" s="121"/>
      <c r="C72" s="46" t="s">
        <v>153</v>
      </c>
      <c r="D72" s="39" t="s">
        <v>58</v>
      </c>
      <c r="E72" s="39">
        <f>0.0095</f>
        <v>9.4999999999999998E-3</v>
      </c>
      <c r="F72" s="80">
        <f>E72*F68</f>
        <v>1.2635000000000001</v>
      </c>
      <c r="G72" s="13"/>
      <c r="H72" s="89"/>
      <c r="I72" s="13"/>
      <c r="J72" s="13"/>
      <c r="K72" s="13"/>
      <c r="L72" s="13"/>
      <c r="M72" s="13"/>
      <c r="N72" s="50"/>
      <c r="O72" s="126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</row>
    <row r="73" spans="1:256" s="27" customFormat="1" ht="67.5" x14ac:dyDescent="0.25">
      <c r="A73" s="39"/>
      <c r="B73" s="121"/>
      <c r="C73" s="127" t="s">
        <v>154</v>
      </c>
      <c r="D73" s="39" t="s">
        <v>58</v>
      </c>
      <c r="E73" s="39">
        <f>0.0095</f>
        <v>9.4999999999999998E-3</v>
      </c>
      <c r="F73" s="80">
        <f>E73*F68</f>
        <v>1.2635000000000001</v>
      </c>
      <c r="G73" s="13"/>
      <c r="H73" s="89"/>
      <c r="I73" s="13"/>
      <c r="J73" s="13"/>
      <c r="K73" s="13"/>
      <c r="L73" s="13"/>
      <c r="M73" s="13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</row>
    <row r="74" spans="1:256" s="27" customFormat="1" x14ac:dyDescent="0.2">
      <c r="A74" s="39"/>
      <c r="B74" s="121"/>
      <c r="C74" s="46" t="s">
        <v>155</v>
      </c>
      <c r="D74" s="39" t="s">
        <v>58</v>
      </c>
      <c r="E74" s="39">
        <f>0.0186</f>
        <v>1.8599999999999998E-2</v>
      </c>
      <c r="F74" s="80">
        <f>E74*F68</f>
        <v>2.4737999999999998</v>
      </c>
      <c r="G74" s="13"/>
      <c r="H74" s="89"/>
      <c r="I74" s="13"/>
      <c r="J74" s="13"/>
      <c r="K74" s="13"/>
      <c r="L74" s="13"/>
      <c r="M74" s="13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</row>
    <row r="75" spans="1:256" s="27" customFormat="1" ht="27" x14ac:dyDescent="0.25">
      <c r="A75" s="68"/>
      <c r="B75" s="39"/>
      <c r="C75" s="146" t="s">
        <v>231</v>
      </c>
      <c r="D75" s="123" t="s">
        <v>58</v>
      </c>
      <c r="E75" s="39">
        <f>0.019</f>
        <v>1.9E-2</v>
      </c>
      <c r="F75" s="80">
        <f>E75*F68</f>
        <v>2.5270000000000001</v>
      </c>
      <c r="G75" s="60"/>
      <c r="H75" s="67"/>
      <c r="I75" s="13"/>
      <c r="J75" s="13"/>
      <c r="K75" s="13"/>
      <c r="L75" s="13"/>
      <c r="M75" s="1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7" customFormat="1" x14ac:dyDescent="0.2">
      <c r="A76" s="39"/>
      <c r="B76" s="49"/>
      <c r="C76" s="46" t="s">
        <v>59</v>
      </c>
      <c r="D76" s="39" t="s">
        <v>60</v>
      </c>
      <c r="E76" s="108">
        <v>2.63E-2</v>
      </c>
      <c r="F76" s="13">
        <f>E76*F68</f>
        <v>3.4979</v>
      </c>
      <c r="G76" s="13"/>
      <c r="H76" s="13"/>
      <c r="I76" s="13"/>
      <c r="J76" s="13"/>
      <c r="K76" s="13"/>
      <c r="L76" s="13"/>
      <c r="M76" s="13"/>
    </row>
    <row r="77" spans="1:256" s="27" customFormat="1" ht="27" x14ac:dyDescent="0.25">
      <c r="A77" s="128"/>
      <c r="B77" s="62"/>
      <c r="C77" s="63" t="s">
        <v>223</v>
      </c>
      <c r="D77" s="39" t="s">
        <v>56</v>
      </c>
      <c r="E77" s="39">
        <f>184*0.001</f>
        <v>0.184</v>
      </c>
      <c r="F77" s="13">
        <f>E77*F68</f>
        <v>24.472000000000001</v>
      </c>
      <c r="G77" s="60"/>
      <c r="H77" s="13"/>
      <c r="I77" s="13"/>
      <c r="J77" s="13"/>
      <c r="K77" s="13"/>
      <c r="L77" s="13"/>
      <c r="M77" s="13"/>
      <c r="N77" s="129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27" customFormat="1" ht="45.75" x14ac:dyDescent="0.2">
      <c r="A78" s="39">
        <v>4</v>
      </c>
      <c r="B78" s="18"/>
      <c r="C78" s="111" t="s">
        <v>216</v>
      </c>
      <c r="D78" s="42" t="s">
        <v>110</v>
      </c>
      <c r="E78" s="42"/>
      <c r="F78" s="79">
        <v>133</v>
      </c>
      <c r="G78" s="13"/>
      <c r="H78" s="13"/>
      <c r="I78" s="13"/>
      <c r="J78" s="13"/>
      <c r="K78" s="13"/>
      <c r="L78" s="13"/>
      <c r="M78" s="13"/>
      <c r="P78" s="29"/>
    </row>
    <row r="79" spans="1:256" s="27" customFormat="1" x14ac:dyDescent="0.2">
      <c r="A79" s="39"/>
      <c r="B79" s="48"/>
      <c r="C79" s="46" t="s">
        <v>47</v>
      </c>
      <c r="D79" s="39" t="s">
        <v>48</v>
      </c>
      <c r="E79" s="39">
        <f>0.0117</f>
        <v>1.17E-2</v>
      </c>
      <c r="F79" s="80">
        <f>F78*E79</f>
        <v>1.5561</v>
      </c>
      <c r="G79" s="13"/>
      <c r="H79" s="89"/>
      <c r="I79" s="13"/>
      <c r="J79" s="13"/>
      <c r="K79" s="13"/>
      <c r="L79" s="89"/>
      <c r="M79" s="13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</row>
    <row r="80" spans="1:256" s="27" customFormat="1" x14ac:dyDescent="0.25">
      <c r="A80" s="128"/>
      <c r="B80" s="68"/>
      <c r="C80" s="68" t="s">
        <v>156</v>
      </c>
      <c r="D80" s="62" t="s">
        <v>50</v>
      </c>
      <c r="E80" s="39"/>
      <c r="F80" s="62">
        <v>0.63</v>
      </c>
      <c r="G80" s="60"/>
      <c r="H80" s="13"/>
      <c r="I80" s="60"/>
      <c r="J80" s="60"/>
      <c r="K80" s="60"/>
      <c r="L80" s="60"/>
      <c r="M80" s="1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27" customFormat="1" ht="54" x14ac:dyDescent="0.25">
      <c r="A81" s="130">
        <v>5</v>
      </c>
      <c r="B81" s="68"/>
      <c r="C81" s="63" t="s">
        <v>215</v>
      </c>
      <c r="D81" s="62" t="s">
        <v>50</v>
      </c>
      <c r="E81" s="39"/>
      <c r="F81" s="62">
        <v>4.8000000000000001E-2</v>
      </c>
      <c r="G81" s="60"/>
      <c r="H81" s="13"/>
      <c r="I81" s="60"/>
      <c r="J81" s="60"/>
      <c r="K81" s="60"/>
      <c r="L81" s="60"/>
      <c r="M81" s="1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27" customFormat="1" ht="54" x14ac:dyDescent="0.2">
      <c r="A82" s="39">
        <v>6</v>
      </c>
      <c r="B82" s="40"/>
      <c r="C82" s="133" t="s">
        <v>180</v>
      </c>
      <c r="D82" s="42" t="s">
        <v>110</v>
      </c>
      <c r="E82" s="42"/>
      <c r="F82" s="79">
        <v>27</v>
      </c>
      <c r="G82" s="13"/>
      <c r="H82" s="13"/>
      <c r="I82" s="13"/>
      <c r="J82" s="13"/>
      <c r="K82" s="13"/>
      <c r="L82" s="13"/>
      <c r="M82" s="13"/>
      <c r="N82" s="56"/>
    </row>
    <row r="83" spans="1:256" s="2" customFormat="1" x14ac:dyDescent="0.25">
      <c r="A83" s="193"/>
      <c r="B83" s="193"/>
      <c r="C83" s="24" t="s">
        <v>130</v>
      </c>
      <c r="D83" s="193" t="s">
        <v>131</v>
      </c>
      <c r="E83" s="134">
        <f>44*0.001</f>
        <v>4.3999999999999997E-2</v>
      </c>
      <c r="F83" s="135">
        <f>E83*F82</f>
        <v>1.1879999999999999</v>
      </c>
      <c r="G83" s="135"/>
      <c r="H83" s="135"/>
      <c r="I83" s="135"/>
      <c r="J83" s="135"/>
      <c r="K83" s="135"/>
      <c r="L83" s="135"/>
      <c r="M83" s="135"/>
    </row>
    <row r="84" spans="1:256" s="50" customFormat="1" ht="40.5" x14ac:dyDescent="0.2">
      <c r="A84" s="39"/>
      <c r="B84" s="48"/>
      <c r="C84" s="46" t="s">
        <v>98</v>
      </c>
      <c r="D84" s="39" t="s">
        <v>48</v>
      </c>
      <c r="E84" s="71">
        <f>2.55*0.001</f>
        <v>2.5499999999999997E-3</v>
      </c>
      <c r="F84" s="39">
        <f>E84*F82</f>
        <v>6.8849999999999995E-2</v>
      </c>
      <c r="G84" s="13"/>
      <c r="H84" s="89"/>
      <c r="I84" s="10"/>
      <c r="J84" s="13"/>
      <c r="K84" s="13"/>
      <c r="L84" s="13"/>
      <c r="M84" s="13"/>
    </row>
    <row r="85" spans="1:256" s="27" customFormat="1" ht="27" x14ac:dyDescent="0.2">
      <c r="A85" s="39"/>
      <c r="B85" s="49"/>
      <c r="C85" s="114" t="s">
        <v>233</v>
      </c>
      <c r="D85" s="123" t="s">
        <v>58</v>
      </c>
      <c r="E85" s="108">
        <f>(0.41)*0.001</f>
        <v>4.0999999999999999E-4</v>
      </c>
      <c r="F85" s="71">
        <f>E85*F82</f>
        <v>1.107E-2</v>
      </c>
      <c r="G85" s="13"/>
      <c r="H85" s="13"/>
      <c r="I85" s="13"/>
      <c r="J85" s="13"/>
      <c r="K85" s="13"/>
      <c r="L85" s="13"/>
      <c r="M85" s="13"/>
    </row>
    <row r="86" spans="1:256" s="27" customFormat="1" ht="27" x14ac:dyDescent="0.25">
      <c r="A86" s="39"/>
      <c r="B86" s="49"/>
      <c r="C86" s="114" t="s">
        <v>234</v>
      </c>
      <c r="D86" s="123" t="s">
        <v>58</v>
      </c>
      <c r="E86" s="71">
        <f>(7.6)*0.001</f>
        <v>7.6E-3</v>
      </c>
      <c r="F86" s="71">
        <f>E86*F82</f>
        <v>0.20519999999999999</v>
      </c>
      <c r="G86" s="13"/>
      <c r="H86" s="13"/>
      <c r="I86" s="226"/>
      <c r="J86" s="96"/>
      <c r="K86" s="226"/>
      <c r="L86" s="13"/>
      <c r="M86" s="13"/>
    </row>
    <row r="87" spans="1:256" s="27" customFormat="1" ht="27" x14ac:dyDescent="0.25">
      <c r="A87" s="39"/>
      <c r="B87" s="49"/>
      <c r="C87" s="114" t="s">
        <v>235</v>
      </c>
      <c r="D87" s="123" t="s">
        <v>58</v>
      </c>
      <c r="E87" s="71">
        <f>(7.4)*0.001</f>
        <v>7.4000000000000003E-3</v>
      </c>
      <c r="F87" s="71">
        <f>E87*F82</f>
        <v>0.19980000000000001</v>
      </c>
      <c r="G87" s="13"/>
      <c r="H87" s="13"/>
      <c r="I87" s="226"/>
      <c r="J87" s="96"/>
      <c r="K87" s="226"/>
      <c r="L87" s="13"/>
      <c r="M87" s="13"/>
    </row>
    <row r="88" spans="1:256" s="27" customFormat="1" ht="21.75" customHeight="1" x14ac:dyDescent="0.2">
      <c r="A88" s="39"/>
      <c r="B88" s="49"/>
      <c r="C88" s="46" t="s">
        <v>100</v>
      </c>
      <c r="D88" s="123" t="s">
        <v>58</v>
      </c>
      <c r="E88" s="108">
        <f>(1.48)*0.001</f>
        <v>1.48E-3</v>
      </c>
      <c r="F88" s="13">
        <f>E88*F82</f>
        <v>3.9960000000000002E-2</v>
      </c>
      <c r="G88" s="13"/>
      <c r="H88" s="13"/>
      <c r="I88" s="13"/>
      <c r="J88" s="13"/>
      <c r="K88" s="13"/>
      <c r="L88" s="13"/>
      <c r="M88" s="13"/>
    </row>
    <row r="89" spans="1:256" s="3" customFormat="1" x14ac:dyDescent="0.25">
      <c r="A89" s="68"/>
      <c r="B89" s="68"/>
      <c r="C89" s="68" t="s">
        <v>146</v>
      </c>
      <c r="D89" s="62" t="s">
        <v>56</v>
      </c>
      <c r="E89" s="39">
        <f>(110+10.5*(25-12))*0.001</f>
        <v>0.2465</v>
      </c>
      <c r="F89" s="13">
        <f>E89*F82</f>
        <v>6.6555</v>
      </c>
      <c r="G89" s="60"/>
      <c r="H89" s="96"/>
      <c r="I89" s="60"/>
      <c r="J89" s="13"/>
      <c r="K89" s="60"/>
      <c r="L89" s="13"/>
      <c r="M89" s="13"/>
    </row>
    <row r="90" spans="1:256" s="27" customFormat="1" ht="15.75" x14ac:dyDescent="0.2">
      <c r="A90" s="39"/>
      <c r="B90" s="49"/>
      <c r="C90" s="9" t="s">
        <v>103</v>
      </c>
      <c r="D90" s="39" t="s">
        <v>129</v>
      </c>
      <c r="E90" s="71">
        <f>(11)*0.001</f>
        <v>1.0999999999999999E-2</v>
      </c>
      <c r="F90" s="13">
        <f>E90*F82</f>
        <v>0.29699999999999999</v>
      </c>
      <c r="G90" s="13"/>
      <c r="H90" s="13"/>
      <c r="I90" s="13"/>
      <c r="J90" s="13"/>
      <c r="K90" s="13"/>
      <c r="L90" s="13"/>
      <c r="M90" s="13"/>
    </row>
    <row r="91" spans="1:256" s="4" customFormat="1" ht="54" x14ac:dyDescent="0.3">
      <c r="A91" s="39">
        <v>9</v>
      </c>
      <c r="B91" s="182"/>
      <c r="C91" s="183" t="s">
        <v>165</v>
      </c>
      <c r="D91" s="39" t="s">
        <v>206</v>
      </c>
      <c r="E91" s="184"/>
      <c r="F91" s="192">
        <v>0.11</v>
      </c>
      <c r="G91" s="227"/>
      <c r="H91" s="228"/>
      <c r="I91" s="227"/>
      <c r="J91" s="228"/>
      <c r="K91" s="227"/>
      <c r="L91" s="228"/>
      <c r="M91" s="10"/>
      <c r="N91" s="186"/>
      <c r="O91" s="186"/>
      <c r="P91" s="186"/>
      <c r="Q91" s="186"/>
      <c r="R91" s="186"/>
      <c r="S91" s="186"/>
      <c r="T91" s="186"/>
      <c r="U91" s="186"/>
      <c r="V91" s="186"/>
    </row>
    <row r="92" spans="1:256" s="4" customFormat="1" ht="15.75" x14ac:dyDescent="0.3">
      <c r="A92" s="39"/>
      <c r="B92" s="182"/>
      <c r="C92" s="180" t="s">
        <v>166</v>
      </c>
      <c r="D92" s="62" t="s">
        <v>48</v>
      </c>
      <c r="E92" s="188">
        <v>31.7</v>
      </c>
      <c r="F92" s="185">
        <f>E92*F91</f>
        <v>3.4870000000000001</v>
      </c>
      <c r="G92" s="229"/>
      <c r="H92" s="185"/>
      <c r="I92" s="229"/>
      <c r="J92" s="218"/>
      <c r="K92" s="227"/>
      <c r="L92" s="228"/>
      <c r="M92" s="189"/>
      <c r="N92" s="186"/>
      <c r="O92" s="186"/>
      <c r="P92" s="186"/>
      <c r="Q92" s="186"/>
      <c r="R92" s="186"/>
      <c r="S92" s="186"/>
      <c r="T92" s="186"/>
      <c r="U92" s="186"/>
      <c r="V92" s="186"/>
    </row>
    <row r="93" spans="1:256" s="4" customFormat="1" ht="27" x14ac:dyDescent="0.3">
      <c r="A93" s="39"/>
      <c r="B93" s="113"/>
      <c r="C93" s="114" t="s">
        <v>226</v>
      </c>
      <c r="D93" s="112" t="s">
        <v>58</v>
      </c>
      <c r="E93" s="113">
        <v>3.51</v>
      </c>
      <c r="F93" s="13">
        <f>E93*F91</f>
        <v>0.3861</v>
      </c>
      <c r="G93" s="10"/>
      <c r="H93" s="13"/>
      <c r="I93" s="10"/>
      <c r="J93" s="13"/>
      <c r="K93" s="13"/>
      <c r="L93" s="13"/>
      <c r="M93" s="189"/>
      <c r="N93" s="186"/>
      <c r="O93" s="186"/>
      <c r="P93" s="186"/>
      <c r="Q93" s="186"/>
      <c r="R93" s="186"/>
      <c r="S93" s="186"/>
      <c r="T93" s="186"/>
      <c r="U93" s="186"/>
      <c r="V93" s="186"/>
    </row>
    <row r="94" spans="1:256" s="4" customFormat="1" ht="15.75" x14ac:dyDescent="0.3">
      <c r="A94" s="39"/>
      <c r="B94" s="62"/>
      <c r="C94" s="180" t="s">
        <v>168</v>
      </c>
      <c r="D94" s="62" t="s">
        <v>169</v>
      </c>
      <c r="E94" s="188">
        <v>11</v>
      </c>
      <c r="F94" s="185">
        <f>E94*F91</f>
        <v>1.21</v>
      </c>
      <c r="G94" s="229"/>
      <c r="H94" s="185"/>
      <c r="I94" s="229"/>
      <c r="J94" s="13"/>
      <c r="K94" s="229"/>
      <c r="L94" s="185"/>
      <c r="M94" s="189"/>
      <c r="N94" s="186"/>
      <c r="O94" s="186"/>
      <c r="P94" s="186"/>
      <c r="Q94" s="186"/>
      <c r="R94" s="186"/>
      <c r="S94" s="186"/>
      <c r="T94" s="186"/>
      <c r="U94" s="186"/>
      <c r="V94" s="186"/>
    </row>
    <row r="95" spans="1:256" s="4" customFormat="1" ht="27" x14ac:dyDescent="0.3">
      <c r="A95" s="39"/>
      <c r="B95" s="190"/>
      <c r="C95" s="46" t="s">
        <v>225</v>
      </c>
      <c r="D95" s="194" t="s">
        <v>169</v>
      </c>
      <c r="E95" s="13">
        <v>0.45</v>
      </c>
      <c r="F95" s="185">
        <f>E95*F91</f>
        <v>4.9500000000000002E-2</v>
      </c>
      <c r="G95" s="229"/>
      <c r="H95" s="185"/>
      <c r="I95" s="229"/>
      <c r="J95" s="13"/>
      <c r="K95" s="229"/>
      <c r="L95" s="185"/>
      <c r="M95" s="189"/>
      <c r="N95" s="186"/>
      <c r="O95" s="186"/>
      <c r="P95" s="186"/>
      <c r="Q95" s="186"/>
      <c r="R95" s="186"/>
      <c r="S95" s="186"/>
      <c r="T95" s="186"/>
      <c r="U95" s="186"/>
      <c r="V95" s="186"/>
    </row>
    <row r="96" spans="1:256" s="4" customFormat="1" ht="27" x14ac:dyDescent="0.3">
      <c r="A96" s="39"/>
      <c r="B96" s="18"/>
      <c r="C96" s="46" t="s">
        <v>100</v>
      </c>
      <c r="D96" s="39" t="s">
        <v>58</v>
      </c>
      <c r="E96" s="44">
        <v>0.97</v>
      </c>
      <c r="F96" s="13">
        <f>E96*F91</f>
        <v>0.1067</v>
      </c>
      <c r="G96" s="13"/>
      <c r="H96" s="13"/>
      <c r="I96" s="13"/>
      <c r="J96" s="13"/>
      <c r="K96" s="13"/>
      <c r="L96" s="10"/>
      <c r="M96" s="189"/>
      <c r="N96" s="186"/>
      <c r="O96" s="186"/>
      <c r="P96" s="186"/>
      <c r="Q96" s="186"/>
      <c r="R96" s="186"/>
      <c r="S96" s="186"/>
      <c r="T96" s="186"/>
      <c r="U96" s="186"/>
      <c r="V96" s="186"/>
    </row>
    <row r="97" spans="1:215" s="4" customFormat="1" ht="16.5" x14ac:dyDescent="0.3">
      <c r="A97" s="39"/>
      <c r="B97" s="62"/>
      <c r="C97" s="46" t="s">
        <v>167</v>
      </c>
      <c r="D97" s="62" t="s">
        <v>129</v>
      </c>
      <c r="E97" s="188">
        <v>124</v>
      </c>
      <c r="F97" s="13">
        <f>E97*F91</f>
        <v>13.64</v>
      </c>
      <c r="G97" s="229"/>
      <c r="H97" s="185"/>
      <c r="I97" s="218"/>
      <c r="J97" s="218"/>
      <c r="K97" s="218"/>
      <c r="L97" s="218"/>
      <c r="M97" s="189"/>
      <c r="N97" s="186"/>
      <c r="O97" s="186"/>
      <c r="P97" s="186"/>
      <c r="Q97" s="186"/>
      <c r="R97" s="186"/>
      <c r="S97" s="186"/>
      <c r="T97" s="186"/>
      <c r="U97" s="186"/>
      <c r="V97" s="186"/>
    </row>
    <row r="98" spans="1:215" s="4" customFormat="1" ht="15.75" x14ac:dyDescent="0.3">
      <c r="A98" s="39"/>
      <c r="B98" s="68"/>
      <c r="C98" s="68" t="s">
        <v>103</v>
      </c>
      <c r="D98" s="62" t="s">
        <v>56</v>
      </c>
      <c r="E98" s="44">
        <v>7</v>
      </c>
      <c r="F98" s="13">
        <f>E98*F91</f>
        <v>0.77</v>
      </c>
      <c r="G98" s="60"/>
      <c r="H98" s="67"/>
      <c r="I98" s="13"/>
      <c r="J98" s="67"/>
      <c r="K98" s="60"/>
      <c r="L98" s="67"/>
      <c r="M98" s="189"/>
      <c r="N98" s="186"/>
      <c r="O98" s="186"/>
      <c r="P98" s="186"/>
      <c r="Q98" s="186"/>
      <c r="R98" s="186"/>
      <c r="S98" s="186"/>
      <c r="T98" s="186"/>
      <c r="U98" s="186"/>
      <c r="V98" s="186"/>
    </row>
    <row r="99" spans="1:215" s="61" customFormat="1" x14ac:dyDescent="0.25">
      <c r="A99" s="194"/>
      <c r="B99" s="194"/>
      <c r="C99" s="57" t="s">
        <v>51</v>
      </c>
      <c r="D99" s="58"/>
      <c r="E99" s="165"/>
      <c r="F99" s="194"/>
      <c r="G99" s="60"/>
      <c r="H99" s="10"/>
      <c r="I99" s="60"/>
      <c r="J99" s="10"/>
      <c r="K99" s="60"/>
      <c r="L99" s="10"/>
      <c r="M99" s="10"/>
    </row>
    <row r="100" spans="1:215" s="66" customFormat="1" x14ac:dyDescent="0.25">
      <c r="A100" s="62"/>
      <c r="B100" s="62"/>
      <c r="C100" s="63" t="s">
        <v>245</v>
      </c>
      <c r="D100" s="60"/>
      <c r="E100" s="39"/>
      <c r="F100" s="60"/>
      <c r="G100" s="60"/>
      <c r="H100" s="60"/>
      <c r="I100" s="60"/>
      <c r="J100" s="60"/>
      <c r="K100" s="60"/>
      <c r="L100" s="60"/>
      <c r="M100" s="67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</row>
    <row r="101" spans="1:215" s="66" customFormat="1" x14ac:dyDescent="0.25">
      <c r="A101" s="62"/>
      <c r="B101" s="62"/>
      <c r="C101" s="63" t="s">
        <v>52</v>
      </c>
      <c r="D101" s="60"/>
      <c r="E101" s="39"/>
      <c r="F101" s="60"/>
      <c r="G101" s="60"/>
      <c r="H101" s="60"/>
      <c r="I101" s="60"/>
      <c r="J101" s="60"/>
      <c r="K101" s="60"/>
      <c r="L101" s="60"/>
      <c r="M101" s="67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</row>
    <row r="102" spans="1:215" s="66" customFormat="1" x14ac:dyDescent="0.25">
      <c r="A102" s="62"/>
      <c r="B102" s="62"/>
      <c r="C102" s="63" t="s">
        <v>246</v>
      </c>
      <c r="D102" s="60"/>
      <c r="E102" s="39"/>
      <c r="F102" s="60"/>
      <c r="G102" s="60"/>
      <c r="H102" s="60"/>
      <c r="I102" s="60"/>
      <c r="J102" s="60"/>
      <c r="K102" s="60"/>
      <c r="L102" s="60"/>
      <c r="M102" s="67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</row>
    <row r="103" spans="1:215" s="66" customFormat="1" x14ac:dyDescent="0.25">
      <c r="A103" s="62"/>
      <c r="B103" s="62"/>
      <c r="C103" s="68" t="s">
        <v>51</v>
      </c>
      <c r="D103" s="62"/>
      <c r="E103" s="39"/>
      <c r="F103" s="62"/>
      <c r="G103" s="60"/>
      <c r="H103" s="60"/>
      <c r="I103" s="60"/>
      <c r="J103" s="60"/>
      <c r="K103" s="60"/>
      <c r="L103" s="60"/>
      <c r="M103" s="67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</row>
    <row r="107" spans="1:215" ht="34.5" customHeight="1" x14ac:dyDescent="0.2">
      <c r="A107" s="235" t="s">
        <v>249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215" ht="12.75" x14ac:dyDescent="0.2">
      <c r="A108" s="236" t="s">
        <v>250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</row>
  </sheetData>
  <mergeCells count="13">
    <mergeCell ref="A107:M107"/>
    <mergeCell ref="A108:M108"/>
    <mergeCell ref="K5:L5"/>
    <mergeCell ref="M5:M6"/>
    <mergeCell ref="A3:L3"/>
    <mergeCell ref="C4:G4"/>
    <mergeCell ref="A5:A6"/>
    <mergeCell ref="B5:B6"/>
    <mergeCell ref="C5:C6"/>
    <mergeCell ref="D5:D6"/>
    <mergeCell ref="E5:F5"/>
    <mergeCell ref="G5:H5"/>
    <mergeCell ref="I5:J5"/>
  </mergeCells>
  <conditionalFormatting sqref="IL51:IS57 IL58:IT81 A50:IU50 A8:IT20 A7:HY7 A23:IT23 A24:IS24 A21:HV22 A25:IT33 A34:IU42 A43:IS47 A51:IK69 A78:IK81 A70:A75 C70:H74 A76:H77 N70:IK77 D75:H75 A82:IT90">
    <cfRule type="cellIs" dxfId="29" priority="14" stopIfTrue="1" operator="equal">
      <formula>8223.307275</formula>
    </cfRule>
  </conditionalFormatting>
  <conditionalFormatting sqref="I86:K87">
    <cfRule type="cellIs" dxfId="28" priority="13" stopIfTrue="1" operator="equal">
      <formula>8223.307275</formula>
    </cfRule>
  </conditionalFormatting>
  <conditionalFormatting sqref="I88:K88">
    <cfRule type="cellIs" dxfId="27" priority="12" stopIfTrue="1" operator="equal">
      <formula>8223.307275</formula>
    </cfRule>
  </conditionalFormatting>
  <conditionalFormatting sqref="IR99 A99:IQ103">
    <cfRule type="cellIs" dxfId="26" priority="11" stopIfTrue="1" operator="equal">
      <formula>8223.307275</formula>
    </cfRule>
  </conditionalFormatting>
  <conditionalFormatting sqref="A48:IU48">
    <cfRule type="cellIs" dxfId="25" priority="10" stopIfTrue="1" operator="equal">
      <formula>8223.307275</formula>
    </cfRule>
  </conditionalFormatting>
  <conditionalFormatting sqref="A49:C49 G49:IS49">
    <cfRule type="cellIs" dxfId="24" priority="9" stopIfTrue="1" operator="equal">
      <formula>8223.307275</formula>
    </cfRule>
  </conditionalFormatting>
  <conditionalFormatting sqref="D49">
    <cfRule type="cellIs" dxfId="23" priority="8" stopIfTrue="1" operator="equal">
      <formula>8223.307275</formula>
    </cfRule>
  </conditionalFormatting>
  <conditionalFormatting sqref="E49">
    <cfRule type="cellIs" dxfId="22" priority="7" stopIfTrue="1" operator="equal">
      <formula>8223.307275</formula>
    </cfRule>
  </conditionalFormatting>
  <conditionalFormatting sqref="F49">
    <cfRule type="cellIs" dxfId="21" priority="6" stopIfTrue="1" operator="equal">
      <formula>8223.307275</formula>
    </cfRule>
  </conditionalFormatting>
  <conditionalFormatting sqref="A91:A98 N91:IT98">
    <cfRule type="cellIs" dxfId="20" priority="5" stopIfTrue="1" operator="equal">
      <formula>8223.307275</formula>
    </cfRule>
  </conditionalFormatting>
  <conditionalFormatting sqref="B70:B75">
    <cfRule type="cellIs" dxfId="19" priority="4" stopIfTrue="1" operator="equal">
      <formula>8223.307275</formula>
    </cfRule>
  </conditionalFormatting>
  <conditionalFormatting sqref="C75">
    <cfRule type="cellIs" dxfId="18" priority="2" stopIfTrue="1" operator="equal">
      <formula>8223.307275</formula>
    </cfRule>
  </conditionalFormatting>
  <conditionalFormatting sqref="I70:M77">
    <cfRule type="cellIs" dxfId="17" priority="3" stopIfTrue="1" operator="equal">
      <formula>8223.307275</formula>
    </cfRule>
  </conditionalFormatting>
  <conditionalFormatting sqref="B91:M98">
    <cfRule type="cellIs" dxfId="16" priority="1" stopIfTrue="1" operator="equal">
      <formula>8223.307275</formula>
    </cfRule>
  </conditionalFormatting>
  <pageMargins left="0.11811023622047245" right="0.11811023622047245" top="0.47244094488188981" bottom="7.874015748031496E-2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7.5703125" customWidth="1"/>
    <col min="3" max="3" width="26.5703125" style="2" customWidth="1"/>
    <col min="4" max="4" width="9.28515625" bestFit="1" customWidth="1"/>
    <col min="5" max="5" width="9.85546875" bestFit="1" customWidth="1"/>
    <col min="6" max="13" width="9.28515625" bestFit="1" customWidth="1"/>
  </cols>
  <sheetData>
    <row r="1" spans="1:13" ht="15.75" x14ac:dyDescent="0.25">
      <c r="A1" s="75" t="s">
        <v>0</v>
      </c>
    </row>
    <row r="2" spans="1:13" ht="15.75" x14ac:dyDescent="0.25">
      <c r="A2" s="75" t="s">
        <v>1</v>
      </c>
    </row>
    <row r="3" spans="1:13" s="27" customFormat="1" ht="15" x14ac:dyDescent="0.2">
      <c r="A3" s="26"/>
      <c r="C3" s="216"/>
      <c r="D3" s="216"/>
      <c r="E3" s="216"/>
      <c r="F3" s="216"/>
      <c r="G3" s="28"/>
      <c r="H3" s="28"/>
      <c r="I3" s="28"/>
      <c r="J3" s="28"/>
      <c r="K3" s="28"/>
      <c r="L3" s="29"/>
    </row>
    <row r="4" spans="1:13" s="27" customFormat="1" ht="15.75" x14ac:dyDescent="0.2">
      <c r="A4" s="210" t="s">
        <v>181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3" s="27" customFormat="1" ht="14.25" customHeight="1" x14ac:dyDescent="0.2">
      <c r="A5" s="30"/>
      <c r="B5" s="31"/>
      <c r="C5" s="211" t="s">
        <v>26</v>
      </c>
      <c r="D5" s="211"/>
      <c r="E5" s="211"/>
      <c r="F5" s="211"/>
      <c r="G5" s="211"/>
      <c r="I5" s="32"/>
      <c r="J5" s="33"/>
      <c r="K5" s="33"/>
      <c r="L5" s="34"/>
      <c r="M5" s="30"/>
    </row>
    <row r="6" spans="1:13" s="35" customFormat="1" x14ac:dyDescent="0.2">
      <c r="A6" s="208" t="s">
        <v>2</v>
      </c>
      <c r="B6" s="212" t="s">
        <v>35</v>
      </c>
      <c r="C6" s="208" t="s">
        <v>36</v>
      </c>
      <c r="D6" s="208" t="s">
        <v>37</v>
      </c>
      <c r="E6" s="214" t="s">
        <v>38</v>
      </c>
      <c r="F6" s="215"/>
      <c r="G6" s="208" t="s">
        <v>39</v>
      </c>
      <c r="H6" s="208"/>
      <c r="I6" s="208" t="s">
        <v>40</v>
      </c>
      <c r="J6" s="208"/>
      <c r="K6" s="208" t="s">
        <v>41</v>
      </c>
      <c r="L6" s="208"/>
      <c r="M6" s="209" t="s">
        <v>42</v>
      </c>
    </row>
    <row r="7" spans="1:13" s="35" customFormat="1" ht="27" x14ac:dyDescent="0.2">
      <c r="A7" s="208"/>
      <c r="B7" s="213"/>
      <c r="C7" s="208"/>
      <c r="D7" s="208"/>
      <c r="E7" s="19" t="s">
        <v>43</v>
      </c>
      <c r="F7" s="19" t="s">
        <v>32</v>
      </c>
      <c r="G7" s="19" t="s">
        <v>44</v>
      </c>
      <c r="H7" s="36" t="s">
        <v>42</v>
      </c>
      <c r="I7" s="37" t="s">
        <v>44</v>
      </c>
      <c r="J7" s="19" t="s">
        <v>42</v>
      </c>
      <c r="K7" s="19" t="s">
        <v>44</v>
      </c>
      <c r="L7" s="38" t="s">
        <v>42</v>
      </c>
      <c r="M7" s="209"/>
    </row>
    <row r="8" spans="1:13" s="35" customFormat="1" x14ac:dyDescent="0.2">
      <c r="A8" s="139">
        <v>1</v>
      </c>
      <c r="B8" s="140">
        <v>2</v>
      </c>
      <c r="C8" s="139">
        <v>3</v>
      </c>
      <c r="D8" s="140">
        <v>4</v>
      </c>
      <c r="E8" s="139">
        <v>5</v>
      </c>
      <c r="F8" s="140">
        <v>6</v>
      </c>
      <c r="G8" s="141">
        <v>7</v>
      </c>
      <c r="H8" s="140">
        <v>8</v>
      </c>
      <c r="I8" s="139">
        <v>9</v>
      </c>
      <c r="J8" s="140">
        <v>10</v>
      </c>
      <c r="K8" s="139">
        <v>11</v>
      </c>
      <c r="L8" s="141">
        <v>12</v>
      </c>
      <c r="M8" s="140" t="s">
        <v>45</v>
      </c>
    </row>
    <row r="9" spans="1:13" x14ac:dyDescent="0.25">
      <c r="A9" s="78"/>
      <c r="B9" s="77"/>
      <c r="C9" s="136" t="s">
        <v>182</v>
      </c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s="50" customFormat="1" ht="40.5" x14ac:dyDescent="0.25">
      <c r="A10" s="39">
        <v>1</v>
      </c>
      <c r="B10" s="48"/>
      <c r="C10" s="137" t="s">
        <v>183</v>
      </c>
      <c r="D10" s="39" t="s">
        <v>56</v>
      </c>
      <c r="E10" s="39"/>
      <c r="F10" s="39">
        <v>11</v>
      </c>
      <c r="G10" s="89"/>
      <c r="H10" s="89"/>
      <c r="I10" s="13"/>
      <c r="J10" s="13"/>
      <c r="K10" s="89"/>
      <c r="L10" s="89"/>
      <c r="M10" s="13"/>
    </row>
    <row r="11" spans="1:13" s="50" customFormat="1" x14ac:dyDescent="0.2">
      <c r="A11" s="39"/>
      <c r="B11" s="48"/>
      <c r="C11" s="46" t="s">
        <v>47</v>
      </c>
      <c r="D11" s="39" t="s">
        <v>48</v>
      </c>
      <c r="E11" s="39">
        <v>1.6</v>
      </c>
      <c r="F11" s="39">
        <f>F10*E11</f>
        <v>17.600000000000001</v>
      </c>
      <c r="G11" s="89"/>
      <c r="H11" s="89"/>
      <c r="I11" s="13"/>
      <c r="J11" s="13"/>
      <c r="K11" s="89"/>
      <c r="L11" s="89"/>
      <c r="M11" s="13"/>
    </row>
    <row r="12" spans="1:13" s="116" customFormat="1" ht="27" x14ac:dyDescent="0.2">
      <c r="A12" s="112"/>
      <c r="B12" s="113"/>
      <c r="C12" s="170" t="s">
        <v>226</v>
      </c>
      <c r="D12" s="112" t="s">
        <v>58</v>
      </c>
      <c r="E12" s="115">
        <v>1.9099999999999999E-2</v>
      </c>
      <c r="F12" s="13">
        <f>E12*F10</f>
        <v>0.21009999999999998</v>
      </c>
      <c r="G12" s="10"/>
      <c r="H12" s="13"/>
      <c r="I12" s="10"/>
      <c r="J12" s="13"/>
      <c r="K12" s="89"/>
      <c r="L12" s="13"/>
      <c r="M12" s="13"/>
    </row>
    <row r="13" spans="1:13" s="50" customFormat="1" x14ac:dyDescent="0.2">
      <c r="A13" s="49"/>
      <c r="B13" s="49"/>
      <c r="C13" s="46" t="s">
        <v>184</v>
      </c>
      <c r="D13" s="49" t="s">
        <v>58</v>
      </c>
      <c r="E13" s="49">
        <v>0.77500000000000002</v>
      </c>
      <c r="F13" s="13">
        <f>E13*F10</f>
        <v>8.5250000000000004</v>
      </c>
      <c r="G13" s="89"/>
      <c r="H13" s="89"/>
      <c r="I13" s="13"/>
      <c r="J13" s="13"/>
      <c r="K13" s="13"/>
      <c r="L13" s="13"/>
      <c r="M13" s="13"/>
    </row>
    <row r="14" spans="1:13" s="27" customFormat="1" ht="54" x14ac:dyDescent="0.2">
      <c r="A14" s="39">
        <v>2</v>
      </c>
      <c r="B14" s="98"/>
      <c r="C14" s="46" t="s">
        <v>185</v>
      </c>
      <c r="D14" s="42" t="s">
        <v>56</v>
      </c>
      <c r="E14" s="42"/>
      <c r="F14" s="69">
        <v>11</v>
      </c>
      <c r="G14" s="13"/>
      <c r="H14" s="13"/>
      <c r="I14" s="13"/>
      <c r="J14" s="13"/>
      <c r="K14" s="13"/>
      <c r="L14" s="13"/>
      <c r="M14" s="13"/>
    </row>
    <row r="15" spans="1:13" s="50" customFormat="1" x14ac:dyDescent="0.2">
      <c r="A15" s="39"/>
      <c r="B15" s="48"/>
      <c r="C15" s="46" t="s">
        <v>47</v>
      </c>
      <c r="D15" s="39" t="s">
        <v>48</v>
      </c>
      <c r="E15" s="39">
        <f>27*0.001</f>
        <v>2.7E-2</v>
      </c>
      <c r="F15" s="39">
        <f>F14*E15</f>
        <v>0.29699999999999999</v>
      </c>
      <c r="G15" s="89"/>
      <c r="H15" s="89"/>
      <c r="I15" s="13"/>
      <c r="J15" s="13"/>
      <c r="K15" s="13"/>
      <c r="L15" s="89"/>
      <c r="M15" s="13"/>
    </row>
    <row r="16" spans="1:13" s="27" customFormat="1" x14ac:dyDescent="0.2">
      <c r="A16" s="39"/>
      <c r="B16" s="49"/>
      <c r="C16" s="49" t="s">
        <v>57</v>
      </c>
      <c r="D16" s="39" t="s">
        <v>58</v>
      </c>
      <c r="E16" s="39">
        <f>60.5*0.001</f>
        <v>6.0499999999999998E-2</v>
      </c>
      <c r="F16" s="13">
        <f>E16*F14</f>
        <v>0.66549999999999998</v>
      </c>
      <c r="G16" s="13"/>
      <c r="H16" s="13"/>
      <c r="I16" s="218"/>
      <c r="J16" s="218"/>
      <c r="K16" s="218"/>
      <c r="L16" s="218"/>
      <c r="M16" s="13"/>
    </row>
    <row r="17" spans="1:256" s="27" customFormat="1" x14ac:dyDescent="0.2">
      <c r="A17" s="39"/>
      <c r="B17" s="49"/>
      <c r="C17" s="46" t="s">
        <v>59</v>
      </c>
      <c r="D17" s="39" t="s">
        <v>60</v>
      </c>
      <c r="E17" s="39">
        <f>2.21*0.001</f>
        <v>2.2100000000000002E-3</v>
      </c>
      <c r="F17" s="13">
        <f>E17*F14</f>
        <v>2.4310000000000002E-2</v>
      </c>
      <c r="G17" s="13"/>
      <c r="H17" s="13"/>
      <c r="I17" s="13"/>
      <c r="J17" s="13"/>
      <c r="K17" s="13"/>
      <c r="L17" s="13"/>
      <c r="M17" s="13"/>
    </row>
    <row r="18" spans="1:256" s="27" customFormat="1" x14ac:dyDescent="0.2">
      <c r="A18" s="39"/>
      <c r="B18" s="49"/>
      <c r="C18" s="46" t="s">
        <v>61</v>
      </c>
      <c r="D18" s="39" t="s">
        <v>56</v>
      </c>
      <c r="E18" s="39">
        <f>0.06*0.001</f>
        <v>6.0000000000000002E-5</v>
      </c>
      <c r="F18" s="13">
        <f>E18*F14</f>
        <v>6.6E-4</v>
      </c>
      <c r="G18" s="13"/>
      <c r="H18" s="13"/>
      <c r="I18" s="13"/>
      <c r="J18" s="13"/>
      <c r="K18" s="13"/>
      <c r="L18" s="13"/>
      <c r="M18" s="13"/>
    </row>
    <row r="19" spans="1:256" s="27" customFormat="1" ht="40.5" x14ac:dyDescent="0.2">
      <c r="A19" s="39">
        <v>3</v>
      </c>
      <c r="B19" s="70"/>
      <c r="C19" s="154" t="s">
        <v>186</v>
      </c>
      <c r="D19" s="39" t="s">
        <v>50</v>
      </c>
      <c r="E19" s="39"/>
      <c r="F19" s="44">
        <v>19.8</v>
      </c>
      <c r="G19" s="13"/>
      <c r="H19" s="13"/>
      <c r="I19" s="13"/>
      <c r="J19" s="89"/>
      <c r="K19" s="13"/>
      <c r="L19" s="13"/>
      <c r="M19" s="13"/>
    </row>
    <row r="20" spans="1:256" s="27" customFormat="1" ht="40.5" x14ac:dyDescent="0.2">
      <c r="A20" s="39">
        <v>5</v>
      </c>
      <c r="B20" s="74"/>
      <c r="C20" s="55" t="s">
        <v>187</v>
      </c>
      <c r="D20" s="42" t="s">
        <v>56</v>
      </c>
      <c r="E20" s="42"/>
      <c r="F20" s="43">
        <v>1.6</v>
      </c>
      <c r="G20" s="13"/>
      <c r="H20" s="13"/>
      <c r="I20" s="13"/>
      <c r="J20" s="13"/>
      <c r="K20" s="13"/>
      <c r="L20" s="13"/>
      <c r="M20" s="13"/>
      <c r="O20" s="56"/>
    </row>
    <row r="21" spans="1:256" s="50" customFormat="1" x14ac:dyDescent="0.2">
      <c r="A21" s="39"/>
      <c r="B21" s="48"/>
      <c r="C21" s="46" t="s">
        <v>47</v>
      </c>
      <c r="D21" s="39" t="s">
        <v>48</v>
      </c>
      <c r="E21" s="39">
        <v>10.199999999999999</v>
      </c>
      <c r="F21" s="13">
        <f>F20*E21</f>
        <v>16.32</v>
      </c>
      <c r="G21" s="89"/>
      <c r="H21" s="89"/>
      <c r="I21" s="13"/>
      <c r="J21" s="13"/>
      <c r="K21" s="89"/>
      <c r="L21" s="89"/>
      <c r="M21" s="13"/>
    </row>
    <row r="22" spans="1:256" s="35" customFormat="1" x14ac:dyDescent="0.2">
      <c r="A22" s="39"/>
      <c r="B22" s="45"/>
      <c r="C22" s="9" t="s">
        <v>59</v>
      </c>
      <c r="D22" s="39" t="s">
        <v>60</v>
      </c>
      <c r="E22" s="39">
        <v>7.99</v>
      </c>
      <c r="F22" s="13">
        <f>E22*F20</f>
        <v>12.784000000000001</v>
      </c>
      <c r="G22" s="13"/>
      <c r="H22" s="13"/>
      <c r="I22" s="13"/>
      <c r="J22" s="13"/>
      <c r="K22" s="13"/>
      <c r="L22" s="13"/>
      <c r="M22" s="13"/>
      <c r="N22" s="27"/>
    </row>
    <row r="23" spans="1:256" s="27" customFormat="1" ht="27" x14ac:dyDescent="0.2">
      <c r="A23" s="39">
        <v>6</v>
      </c>
      <c r="B23" s="74"/>
      <c r="C23" s="55" t="s">
        <v>72</v>
      </c>
      <c r="D23" s="42" t="s">
        <v>50</v>
      </c>
      <c r="E23" s="42"/>
      <c r="F23" s="43">
        <f>F20*2.5</f>
        <v>4</v>
      </c>
      <c r="G23" s="13"/>
      <c r="H23" s="13"/>
      <c r="I23" s="13"/>
      <c r="J23" s="13"/>
      <c r="K23" s="13"/>
      <c r="L23" s="13"/>
      <c r="M23" s="13"/>
      <c r="O23" s="56"/>
    </row>
    <row r="24" spans="1:256" s="4" customFormat="1" ht="54" x14ac:dyDescent="0.25">
      <c r="A24" s="130">
        <v>7</v>
      </c>
      <c r="B24" s="173"/>
      <c r="C24" s="83" t="s">
        <v>212</v>
      </c>
      <c r="D24" s="62" t="s">
        <v>67</v>
      </c>
      <c r="E24" s="62"/>
      <c r="F24" s="62">
        <v>7</v>
      </c>
      <c r="G24" s="67"/>
      <c r="H24" s="67"/>
      <c r="I24" s="67"/>
      <c r="J24" s="67"/>
      <c r="K24" s="67"/>
      <c r="L24" s="220"/>
      <c r="M24" s="220"/>
    </row>
    <row r="25" spans="1:256" s="4" customFormat="1" x14ac:dyDescent="0.2">
      <c r="A25" s="39"/>
      <c r="B25" s="48"/>
      <c r="C25" s="46" t="s">
        <v>47</v>
      </c>
      <c r="D25" s="39" t="s">
        <v>48</v>
      </c>
      <c r="E25" s="39">
        <f>12.8*0.6</f>
        <v>7.68</v>
      </c>
      <c r="F25" s="13">
        <f>E25*F24</f>
        <v>53.76</v>
      </c>
      <c r="G25" s="89"/>
      <c r="H25" s="89"/>
      <c r="I25" s="13"/>
      <c r="J25" s="13"/>
      <c r="K25" s="89"/>
      <c r="L25" s="89"/>
      <c r="M25" s="13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</row>
    <row r="26" spans="1:256" s="3" customFormat="1" x14ac:dyDescent="0.25">
      <c r="A26" s="68"/>
      <c r="B26" s="68"/>
      <c r="C26" s="68" t="s">
        <v>68</v>
      </c>
      <c r="D26" s="68" t="s">
        <v>58</v>
      </c>
      <c r="E26" s="68">
        <f>0.47*0.6</f>
        <v>0.28199999999999997</v>
      </c>
      <c r="F26" s="13">
        <f>E26*F24</f>
        <v>1.9739999999999998</v>
      </c>
      <c r="G26" s="67"/>
      <c r="H26" s="67"/>
      <c r="I26" s="60"/>
      <c r="J26" s="13"/>
      <c r="K26" s="60"/>
      <c r="L26" s="13"/>
      <c r="M26" s="13"/>
    </row>
    <row r="27" spans="1:256" s="4" customFormat="1" x14ac:dyDescent="0.2">
      <c r="A27" s="39"/>
      <c r="B27" s="49"/>
      <c r="C27" s="46" t="s">
        <v>59</v>
      </c>
      <c r="D27" s="39" t="s">
        <v>60</v>
      </c>
      <c r="E27" s="39">
        <f>0.45*0.6</f>
        <v>0.27</v>
      </c>
      <c r="F27" s="13">
        <f>E27*F24</f>
        <v>1.8900000000000001</v>
      </c>
      <c r="G27" s="13"/>
      <c r="H27" s="13"/>
      <c r="I27" s="13"/>
      <c r="J27" s="13"/>
      <c r="K27" s="13"/>
      <c r="L27" s="13"/>
      <c r="M27" s="13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</row>
    <row r="28" spans="1:256" s="27" customFormat="1" x14ac:dyDescent="0.2">
      <c r="A28" s="39">
        <v>8</v>
      </c>
      <c r="B28" s="52"/>
      <c r="C28" s="55" t="s">
        <v>69</v>
      </c>
      <c r="D28" s="42" t="s">
        <v>50</v>
      </c>
      <c r="E28" s="42"/>
      <c r="F28" s="47">
        <v>0.438</v>
      </c>
      <c r="G28" s="13"/>
      <c r="H28" s="13"/>
      <c r="I28" s="13"/>
      <c r="J28" s="13"/>
      <c r="K28" s="13"/>
      <c r="L28" s="13"/>
      <c r="M28" s="13"/>
    </row>
    <row r="29" spans="1:256" s="101" customFormat="1" ht="57.75" customHeight="1" x14ac:dyDescent="0.2">
      <c r="A29" s="104">
        <v>12</v>
      </c>
      <c r="B29" s="98"/>
      <c r="C29" s="46" t="s">
        <v>55</v>
      </c>
      <c r="D29" s="97" t="s">
        <v>56</v>
      </c>
      <c r="E29" s="97"/>
      <c r="F29" s="103">
        <v>164</v>
      </c>
      <c r="G29" s="218"/>
      <c r="H29" s="218"/>
      <c r="I29" s="218"/>
      <c r="J29" s="218"/>
      <c r="K29" s="218"/>
      <c r="L29" s="218"/>
      <c r="M29" s="218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101" customFormat="1" x14ac:dyDescent="0.2">
      <c r="A30" s="97"/>
      <c r="B30" s="98"/>
      <c r="C30" s="99" t="s">
        <v>47</v>
      </c>
      <c r="D30" s="97" t="s">
        <v>48</v>
      </c>
      <c r="E30" s="97">
        <f>20*0.001</f>
        <v>0.02</v>
      </c>
      <c r="F30" s="97">
        <f>F29*E30</f>
        <v>3.2800000000000002</v>
      </c>
      <c r="G30" s="219"/>
      <c r="H30" s="219"/>
      <c r="I30" s="218"/>
      <c r="J30" s="218"/>
      <c r="K30" s="218"/>
      <c r="L30" s="219"/>
      <c r="M30" s="218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</row>
    <row r="31" spans="1:256" s="101" customFormat="1" x14ac:dyDescent="0.2">
      <c r="A31" s="97"/>
      <c r="B31" s="98"/>
      <c r="C31" s="99" t="s">
        <v>57</v>
      </c>
      <c r="D31" s="97" t="s">
        <v>58</v>
      </c>
      <c r="E31" s="97">
        <f>44.8*0.001</f>
        <v>4.48E-2</v>
      </c>
      <c r="F31" s="97">
        <f>E31*F29</f>
        <v>7.3472</v>
      </c>
      <c r="G31" s="218"/>
      <c r="H31" s="218"/>
      <c r="I31" s="218"/>
      <c r="J31" s="218"/>
      <c r="K31" s="218"/>
      <c r="L31" s="218"/>
      <c r="M31" s="218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101" customFormat="1" x14ac:dyDescent="0.2">
      <c r="A32" s="97"/>
      <c r="B32" s="98"/>
      <c r="C32" s="99" t="s">
        <v>59</v>
      </c>
      <c r="D32" s="97" t="s">
        <v>60</v>
      </c>
      <c r="E32" s="97">
        <f>2.1*0.001</f>
        <v>2.1000000000000003E-3</v>
      </c>
      <c r="F32" s="97">
        <f>E32*F29</f>
        <v>0.34440000000000004</v>
      </c>
      <c r="G32" s="218"/>
      <c r="H32" s="218"/>
      <c r="I32" s="218"/>
      <c r="J32" s="218"/>
      <c r="K32" s="218"/>
      <c r="L32" s="218"/>
      <c r="M32" s="218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101" customFormat="1" x14ac:dyDescent="0.2">
      <c r="A33" s="97"/>
      <c r="B33" s="98"/>
      <c r="C33" s="99" t="s">
        <v>61</v>
      </c>
      <c r="D33" s="97" t="s">
        <v>56</v>
      </c>
      <c r="E33" s="97">
        <f>0.05*0.001</f>
        <v>5.0000000000000002E-5</v>
      </c>
      <c r="F33" s="97">
        <f>E33*F29</f>
        <v>8.2000000000000007E-3</v>
      </c>
      <c r="G33" s="218"/>
      <c r="H33" s="218"/>
      <c r="I33" s="218"/>
      <c r="J33" s="218"/>
      <c r="K33" s="218"/>
      <c r="L33" s="218"/>
      <c r="M33" s="218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ht="27" x14ac:dyDescent="0.2">
      <c r="A34" s="39">
        <v>9</v>
      </c>
      <c r="B34" s="70"/>
      <c r="C34" s="151" t="s">
        <v>78</v>
      </c>
      <c r="D34" s="39" t="s">
        <v>50</v>
      </c>
      <c r="E34" s="39"/>
      <c r="F34" s="44">
        <f>F29*1.95</f>
        <v>319.8</v>
      </c>
      <c r="G34" s="13"/>
      <c r="H34" s="13"/>
      <c r="I34" s="13"/>
      <c r="J34" s="89"/>
      <c r="K34" s="13"/>
      <c r="L34" s="13"/>
      <c r="M34" s="13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4" customFormat="1" ht="27" x14ac:dyDescent="0.25">
      <c r="A35" s="39">
        <v>11</v>
      </c>
      <c r="B35" s="72"/>
      <c r="C35" s="73" t="s">
        <v>64</v>
      </c>
      <c r="D35" s="42" t="s">
        <v>56</v>
      </c>
      <c r="E35" s="42"/>
      <c r="F35" s="69">
        <v>16</v>
      </c>
      <c r="G35" s="13"/>
      <c r="H35" s="13"/>
      <c r="I35" s="13"/>
      <c r="J35" s="13"/>
      <c r="K35" s="13"/>
      <c r="L35" s="13"/>
      <c r="M35" s="1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4" customFormat="1" x14ac:dyDescent="0.2">
      <c r="A36" s="39"/>
      <c r="B36" s="49"/>
      <c r="C36" s="46" t="s">
        <v>47</v>
      </c>
      <c r="D36" s="39" t="s">
        <v>48</v>
      </c>
      <c r="E36" s="39">
        <v>2.06</v>
      </c>
      <c r="F36" s="39">
        <f>F35*E36</f>
        <v>32.96</v>
      </c>
      <c r="G36" s="89"/>
      <c r="H36" s="89"/>
      <c r="I36" s="13"/>
      <c r="J36" s="13"/>
      <c r="K36" s="89"/>
      <c r="L36" s="89"/>
      <c r="M36" s="13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4" customFormat="1" ht="27" x14ac:dyDescent="0.2">
      <c r="A37" s="39">
        <v>12</v>
      </c>
      <c r="B37" s="74"/>
      <c r="C37" s="55" t="s">
        <v>65</v>
      </c>
      <c r="D37" s="42" t="s">
        <v>56</v>
      </c>
      <c r="E37" s="42"/>
      <c r="F37" s="69">
        <v>16</v>
      </c>
      <c r="G37" s="13"/>
      <c r="H37" s="13"/>
      <c r="I37" s="13"/>
      <c r="J37" s="13"/>
      <c r="K37" s="13"/>
      <c r="L37" s="13"/>
      <c r="M37" s="13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</row>
    <row r="38" spans="1:256" s="4" customFormat="1" x14ac:dyDescent="0.2">
      <c r="A38" s="39"/>
      <c r="B38" s="48"/>
      <c r="C38" s="46" t="s">
        <v>47</v>
      </c>
      <c r="D38" s="39" t="s">
        <v>48</v>
      </c>
      <c r="E38" s="39">
        <f>154*0.01</f>
        <v>1.54</v>
      </c>
      <c r="F38" s="39">
        <f>F37*E38</f>
        <v>24.64</v>
      </c>
      <c r="G38" s="89"/>
      <c r="H38" s="89"/>
      <c r="I38" s="13"/>
      <c r="J38" s="13"/>
      <c r="K38" s="89"/>
      <c r="L38" s="89"/>
      <c r="M38" s="13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</row>
    <row r="39" spans="1:256" ht="40.5" x14ac:dyDescent="0.2">
      <c r="A39" s="39">
        <v>13</v>
      </c>
      <c r="B39" s="70"/>
      <c r="C39" s="151" t="s">
        <v>62</v>
      </c>
      <c r="D39" s="39" t="s">
        <v>50</v>
      </c>
      <c r="E39" s="39"/>
      <c r="F39" s="44">
        <v>28</v>
      </c>
      <c r="G39" s="13"/>
      <c r="H39" s="13"/>
      <c r="I39" s="13"/>
      <c r="J39" s="89"/>
      <c r="K39" s="13"/>
      <c r="L39" s="13"/>
      <c r="M39" s="13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x14ac:dyDescent="0.25">
      <c r="A40" s="77"/>
      <c r="B40" s="77"/>
      <c r="C40" s="138" t="s">
        <v>242</v>
      </c>
      <c r="D40" s="77"/>
      <c r="E40" s="77"/>
      <c r="F40" s="77"/>
      <c r="G40" s="223"/>
      <c r="H40" s="223"/>
      <c r="I40" s="223"/>
      <c r="J40" s="223"/>
      <c r="K40" s="223"/>
      <c r="L40" s="223"/>
      <c r="M40" s="223"/>
    </row>
    <row r="41" spans="1:256" s="27" customFormat="1" ht="27" x14ac:dyDescent="0.2">
      <c r="A41" s="39">
        <v>1</v>
      </c>
      <c r="B41" s="18"/>
      <c r="C41" s="9" t="s">
        <v>208</v>
      </c>
      <c r="D41" s="39" t="s">
        <v>56</v>
      </c>
      <c r="E41" s="39"/>
      <c r="F41" s="194">
        <v>1.8</v>
      </c>
      <c r="G41" s="13"/>
      <c r="H41" s="10"/>
      <c r="I41" s="13"/>
      <c r="J41" s="13"/>
      <c r="K41" s="13"/>
      <c r="L41" s="13"/>
      <c r="M41" s="13"/>
    </row>
    <row r="42" spans="1:256" s="50" customFormat="1" x14ac:dyDescent="0.2">
      <c r="A42" s="39"/>
      <c r="B42" s="48"/>
      <c r="C42" s="46" t="s">
        <v>47</v>
      </c>
      <c r="D42" s="39" t="s">
        <v>48</v>
      </c>
      <c r="E42" s="13">
        <v>1.63</v>
      </c>
      <c r="F42" s="13">
        <f>E42*F41</f>
        <v>2.9339999999999997</v>
      </c>
      <c r="G42" s="89"/>
      <c r="H42" s="89"/>
      <c r="I42" s="13"/>
      <c r="J42" s="13"/>
      <c r="K42" s="89"/>
      <c r="L42" s="89"/>
      <c r="M42" s="13"/>
    </row>
    <row r="43" spans="1:256" s="50" customFormat="1" x14ac:dyDescent="0.2">
      <c r="A43" s="39"/>
      <c r="B43" s="48"/>
      <c r="C43" s="46" t="s">
        <v>188</v>
      </c>
      <c r="D43" s="39" t="s">
        <v>58</v>
      </c>
      <c r="E43" s="13">
        <v>0.44</v>
      </c>
      <c r="F43" s="13">
        <f>E43*F41</f>
        <v>0.79200000000000004</v>
      </c>
      <c r="G43" s="89"/>
      <c r="H43" s="89"/>
      <c r="I43" s="13"/>
      <c r="J43" s="13"/>
      <c r="K43" s="89"/>
      <c r="L43" s="13"/>
      <c r="M43" s="13"/>
    </row>
    <row r="44" spans="1:256" x14ac:dyDescent="0.2">
      <c r="A44" s="39"/>
      <c r="B44" s="49"/>
      <c r="C44" s="46" t="s">
        <v>59</v>
      </c>
      <c r="D44" s="39" t="s">
        <v>60</v>
      </c>
      <c r="E44" s="39">
        <v>0.06</v>
      </c>
      <c r="F44" s="71">
        <f>E44*F41</f>
        <v>0.108</v>
      </c>
      <c r="G44" s="13"/>
      <c r="H44" s="13"/>
      <c r="I44" s="13"/>
      <c r="J44" s="13"/>
      <c r="K44" s="13"/>
      <c r="L44" s="13"/>
      <c r="M44" s="13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50" customFormat="1" x14ac:dyDescent="0.25">
      <c r="A45" s="39"/>
      <c r="B45" s="48"/>
      <c r="C45" s="46" t="s">
        <v>146</v>
      </c>
      <c r="D45" s="39" t="s">
        <v>56</v>
      </c>
      <c r="E45" s="13">
        <v>1.29</v>
      </c>
      <c r="F45" s="13">
        <f>E45*F41</f>
        <v>2.3220000000000001</v>
      </c>
      <c r="G45" s="13"/>
      <c r="H45" s="60"/>
      <c r="I45" s="13"/>
      <c r="J45" s="13"/>
      <c r="K45" s="89"/>
      <c r="L45" s="89"/>
      <c r="M45" s="13"/>
    </row>
    <row r="46" spans="1:256" ht="40.5" x14ac:dyDescent="0.25">
      <c r="A46" s="51">
        <v>2</v>
      </c>
      <c r="B46" s="76"/>
      <c r="C46" s="83" t="s">
        <v>172</v>
      </c>
      <c r="D46" s="78" t="s">
        <v>67</v>
      </c>
      <c r="E46" s="78"/>
      <c r="F46" s="78">
        <v>30</v>
      </c>
      <c r="G46" s="223"/>
      <c r="H46" s="223"/>
      <c r="I46" s="223"/>
      <c r="J46" s="223"/>
      <c r="K46" s="223"/>
      <c r="L46" s="230"/>
      <c r="M46" s="230"/>
    </row>
    <row r="47" spans="1:256" x14ac:dyDescent="0.2">
      <c r="A47" s="39"/>
      <c r="B47" s="48"/>
      <c r="C47" s="46" t="s">
        <v>47</v>
      </c>
      <c r="D47" s="39" t="s">
        <v>48</v>
      </c>
      <c r="E47" s="39">
        <f>12.8</f>
        <v>12.8</v>
      </c>
      <c r="F47" s="13">
        <f>E47*F46</f>
        <v>384</v>
      </c>
      <c r="G47" s="89"/>
      <c r="H47" s="89"/>
      <c r="I47" s="13"/>
      <c r="J47" s="13"/>
      <c r="K47" s="89"/>
      <c r="L47" s="89"/>
      <c r="M47" s="13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pans="1:256" s="2" customFormat="1" x14ac:dyDescent="0.25">
      <c r="A48" s="77"/>
      <c r="B48" s="77"/>
      <c r="C48" s="77" t="s">
        <v>68</v>
      </c>
      <c r="D48" s="77" t="s">
        <v>58</v>
      </c>
      <c r="E48" s="77">
        <f>0.47</f>
        <v>0.47</v>
      </c>
      <c r="F48" s="13">
        <f>E48*F46</f>
        <v>14.1</v>
      </c>
      <c r="G48" s="223"/>
      <c r="H48" s="223"/>
      <c r="I48" s="223"/>
      <c r="J48" s="13"/>
      <c r="K48" s="223"/>
      <c r="L48" s="13"/>
      <c r="M48" s="13"/>
    </row>
    <row r="49" spans="1:256" x14ac:dyDescent="0.2">
      <c r="A49" s="39"/>
      <c r="B49" s="49"/>
      <c r="C49" s="46" t="s">
        <v>59</v>
      </c>
      <c r="D49" s="39" t="s">
        <v>60</v>
      </c>
      <c r="E49" s="39">
        <f>0.45</f>
        <v>0.45</v>
      </c>
      <c r="F49" s="13">
        <f>E49*F46</f>
        <v>13.5</v>
      </c>
      <c r="G49" s="13"/>
      <c r="H49" s="13"/>
      <c r="I49" s="13"/>
      <c r="J49" s="13"/>
      <c r="K49" s="13"/>
      <c r="L49" s="13"/>
      <c r="M49" s="13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x14ac:dyDescent="0.2">
      <c r="A50" s="39"/>
      <c r="B50" s="49"/>
      <c r="C50" s="105" t="s">
        <v>173</v>
      </c>
      <c r="D50" s="39" t="s">
        <v>67</v>
      </c>
      <c r="E50" s="39">
        <v>1</v>
      </c>
      <c r="F50" s="13">
        <f>F46*E50</f>
        <v>30</v>
      </c>
      <c r="G50" s="13"/>
      <c r="H50" s="13"/>
      <c r="I50" s="13"/>
      <c r="J50" s="13"/>
      <c r="K50" s="13"/>
      <c r="L50" s="13"/>
      <c r="M50" s="13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4" customFormat="1" x14ac:dyDescent="0.25">
      <c r="A51" s="39"/>
      <c r="B51" s="49"/>
      <c r="C51" s="105" t="s">
        <v>174</v>
      </c>
      <c r="D51" s="39" t="s">
        <v>50</v>
      </c>
      <c r="E51" s="39">
        <v>0.1</v>
      </c>
      <c r="F51" s="13">
        <f>F46*E51</f>
        <v>3</v>
      </c>
      <c r="G51" s="13"/>
      <c r="H51" s="60"/>
      <c r="I51" s="13"/>
      <c r="J51" s="13"/>
      <c r="K51" s="13"/>
      <c r="L51" s="13"/>
      <c r="M51" s="13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7" customFormat="1" x14ac:dyDescent="0.2">
      <c r="A52" s="39"/>
      <c r="B52" s="49"/>
      <c r="C52" s="46" t="s">
        <v>96</v>
      </c>
      <c r="D52" s="39" t="s">
        <v>60</v>
      </c>
      <c r="E52" s="71">
        <v>6.06</v>
      </c>
      <c r="F52" s="13">
        <f>E52*F46</f>
        <v>181.79999999999998</v>
      </c>
      <c r="G52" s="13"/>
      <c r="H52" s="13"/>
      <c r="I52" s="13"/>
      <c r="J52" s="13"/>
      <c r="K52" s="13"/>
      <c r="L52" s="13"/>
      <c r="M52" s="13"/>
    </row>
    <row r="53" spans="1:256" s="27" customFormat="1" ht="35.25" customHeight="1" x14ac:dyDescent="0.25">
      <c r="A53" s="39">
        <v>3</v>
      </c>
      <c r="B53" s="70"/>
      <c r="C53" s="88" t="s">
        <v>109</v>
      </c>
      <c r="D53" s="62" t="s">
        <v>110</v>
      </c>
      <c r="E53" s="13"/>
      <c r="F53" s="54">
        <v>78</v>
      </c>
      <c r="G53" s="13"/>
      <c r="H53" s="13"/>
      <c r="I53" s="13"/>
      <c r="J53" s="13"/>
      <c r="K53" s="13"/>
      <c r="L53" s="13"/>
      <c r="M53" s="13"/>
    </row>
    <row r="54" spans="1:256" s="50" customFormat="1" x14ac:dyDescent="0.2">
      <c r="A54" s="39"/>
      <c r="B54" s="48"/>
      <c r="C54" s="46" t="s">
        <v>47</v>
      </c>
      <c r="D54" s="39" t="s">
        <v>48</v>
      </c>
      <c r="E54" s="39">
        <v>0.56399999999999995</v>
      </c>
      <c r="F54" s="44">
        <f>F53*E54</f>
        <v>43.991999999999997</v>
      </c>
      <c r="G54" s="89"/>
      <c r="H54" s="89"/>
      <c r="I54" s="13"/>
      <c r="J54" s="13"/>
      <c r="K54" s="89"/>
      <c r="L54" s="89"/>
      <c r="M54" s="13"/>
    </row>
    <row r="55" spans="1:256" s="27" customFormat="1" x14ac:dyDescent="0.2">
      <c r="A55" s="39"/>
      <c r="B55" s="70"/>
      <c r="C55" s="46" t="s">
        <v>59</v>
      </c>
      <c r="D55" s="39" t="s">
        <v>60</v>
      </c>
      <c r="E55" s="39">
        <v>4.0899999999999999E-2</v>
      </c>
      <c r="F55" s="13">
        <f>E55*F53</f>
        <v>3.1901999999999999</v>
      </c>
      <c r="G55" s="13"/>
      <c r="H55" s="13"/>
      <c r="I55" s="13"/>
      <c r="J55" s="89"/>
      <c r="K55" s="13"/>
      <c r="L55" s="13"/>
      <c r="M55" s="13"/>
    </row>
    <row r="56" spans="1:256" s="4" customFormat="1" x14ac:dyDescent="0.25">
      <c r="A56" s="68"/>
      <c r="B56" s="68"/>
      <c r="C56" s="68" t="s">
        <v>111</v>
      </c>
      <c r="D56" s="62" t="s">
        <v>50</v>
      </c>
      <c r="E56" s="68">
        <f>0.16*0.01</f>
        <v>1.6000000000000001E-3</v>
      </c>
      <c r="F56" s="13">
        <f>E56*F53</f>
        <v>0.12480000000000001</v>
      </c>
      <c r="G56" s="224"/>
      <c r="H56" s="60"/>
      <c r="I56" s="67"/>
      <c r="J56" s="67"/>
      <c r="K56" s="67"/>
      <c r="L56" s="67"/>
      <c r="M56" s="13"/>
    </row>
    <row r="57" spans="1:256" s="4" customFormat="1" x14ac:dyDescent="0.25">
      <c r="A57" s="68"/>
      <c r="B57" s="68"/>
      <c r="C57" s="68" t="s">
        <v>112</v>
      </c>
      <c r="D57" s="62" t="s">
        <v>50</v>
      </c>
      <c r="E57" s="68">
        <f>0.45*0.01</f>
        <v>4.5000000000000005E-3</v>
      </c>
      <c r="F57" s="13">
        <f>E57*F53</f>
        <v>0.35100000000000003</v>
      </c>
      <c r="G57" s="60"/>
      <c r="H57" s="60"/>
      <c r="I57" s="67"/>
      <c r="J57" s="67"/>
      <c r="K57" s="67"/>
      <c r="L57" s="67"/>
      <c r="M57" s="13"/>
    </row>
    <row r="58" spans="1:256" s="4" customFormat="1" x14ac:dyDescent="0.25">
      <c r="A58" s="68"/>
      <c r="B58" s="68"/>
      <c r="C58" s="68" t="s">
        <v>113</v>
      </c>
      <c r="D58" s="62" t="s">
        <v>56</v>
      </c>
      <c r="E58" s="68">
        <f>0.75*0.01</f>
        <v>7.4999999999999997E-3</v>
      </c>
      <c r="F58" s="13">
        <f>E58*F53</f>
        <v>0.58499999999999996</v>
      </c>
      <c r="G58" s="60"/>
      <c r="H58" s="60"/>
      <c r="I58" s="67"/>
      <c r="J58" s="67"/>
      <c r="K58" s="67"/>
      <c r="L58" s="67"/>
      <c r="M58" s="13"/>
    </row>
    <row r="59" spans="1:256" s="3" customFormat="1" x14ac:dyDescent="0.25">
      <c r="A59" s="62"/>
      <c r="B59" s="84"/>
      <c r="C59" s="85" t="s">
        <v>89</v>
      </c>
      <c r="D59" s="86" t="s">
        <v>90</v>
      </c>
      <c r="E59" s="90">
        <v>0.26500000000000001</v>
      </c>
      <c r="F59" s="87">
        <f>E59*F53</f>
        <v>20.67</v>
      </c>
      <c r="G59" s="13"/>
      <c r="H59" s="60"/>
      <c r="I59" s="13"/>
      <c r="J59" s="60"/>
      <c r="K59" s="60"/>
      <c r="L59" s="60"/>
      <c r="M59" s="13"/>
    </row>
    <row r="60" spans="1:256" s="27" customFormat="1" ht="25.5" customHeight="1" x14ac:dyDescent="0.2">
      <c r="A60" s="39">
        <v>4</v>
      </c>
      <c r="B60" s="18"/>
      <c r="C60" s="9" t="s">
        <v>189</v>
      </c>
      <c r="D60" s="39" t="s">
        <v>56</v>
      </c>
      <c r="E60" s="39"/>
      <c r="F60" s="194">
        <v>13.2</v>
      </c>
      <c r="G60" s="13"/>
      <c r="H60" s="10"/>
      <c r="I60" s="13"/>
      <c r="J60" s="13"/>
      <c r="K60" s="13"/>
      <c r="L60" s="13"/>
      <c r="M60" s="13"/>
    </row>
    <row r="61" spans="1:256" s="50" customFormat="1" x14ac:dyDescent="0.2">
      <c r="A61" s="39"/>
      <c r="B61" s="48"/>
      <c r="C61" s="46" t="s">
        <v>47</v>
      </c>
      <c r="D61" s="39" t="s">
        <v>48</v>
      </c>
      <c r="E61" s="13">
        <v>1.8</v>
      </c>
      <c r="F61" s="13">
        <f>E61*F60</f>
        <v>23.759999999999998</v>
      </c>
      <c r="G61" s="89"/>
      <c r="H61" s="89"/>
      <c r="I61" s="13"/>
      <c r="J61" s="13"/>
      <c r="K61" s="89"/>
      <c r="L61" s="89"/>
      <c r="M61" s="13"/>
    </row>
    <row r="62" spans="1:256" s="50" customFormat="1" x14ac:dyDescent="0.25">
      <c r="A62" s="39"/>
      <c r="B62" s="48"/>
      <c r="C62" s="46" t="s">
        <v>117</v>
      </c>
      <c r="D62" s="39" t="s">
        <v>56</v>
      </c>
      <c r="E62" s="13">
        <v>1.1000000000000001</v>
      </c>
      <c r="F62" s="13">
        <f>E62*F60</f>
        <v>14.52</v>
      </c>
      <c r="G62" s="13"/>
      <c r="H62" s="60"/>
      <c r="I62" s="13"/>
      <c r="J62" s="13"/>
      <c r="K62" s="89"/>
      <c r="L62" s="89"/>
      <c r="M62" s="13"/>
    </row>
    <row r="63" spans="1:256" x14ac:dyDescent="0.25">
      <c r="A63" s="77"/>
      <c r="B63" s="77"/>
      <c r="C63" s="138" t="s">
        <v>175</v>
      </c>
      <c r="D63" s="77"/>
      <c r="E63" s="77"/>
      <c r="F63" s="77"/>
      <c r="G63" s="223"/>
      <c r="H63" s="223"/>
      <c r="I63" s="223"/>
      <c r="J63" s="223"/>
      <c r="K63" s="223"/>
      <c r="L63" s="223"/>
      <c r="M63" s="223"/>
    </row>
    <row r="64" spans="1:256" s="4" customFormat="1" ht="44.25" customHeight="1" x14ac:dyDescent="0.25">
      <c r="A64" s="62">
        <v>1</v>
      </c>
      <c r="B64" s="122"/>
      <c r="C64" s="153" t="s">
        <v>176</v>
      </c>
      <c r="D64" s="62" t="s">
        <v>143</v>
      </c>
      <c r="E64" s="68"/>
      <c r="F64" s="64">
        <v>0.14000000000000001</v>
      </c>
      <c r="G64" s="67"/>
      <c r="H64" s="67"/>
      <c r="I64" s="67"/>
      <c r="J64" s="67"/>
      <c r="K64" s="67"/>
      <c r="L64" s="67"/>
      <c r="M64" s="67"/>
    </row>
    <row r="65" spans="1:13" s="50" customFormat="1" x14ac:dyDescent="0.2">
      <c r="A65" s="39"/>
      <c r="B65" s="48"/>
      <c r="C65" s="46" t="s">
        <v>47</v>
      </c>
      <c r="D65" s="39" t="s">
        <v>48</v>
      </c>
      <c r="E65" s="39">
        <v>15</v>
      </c>
      <c r="F65" s="39">
        <f>F64*E65</f>
        <v>2.1</v>
      </c>
      <c r="G65" s="89"/>
      <c r="H65" s="89"/>
      <c r="I65" s="13"/>
      <c r="J65" s="13"/>
      <c r="K65" s="89"/>
      <c r="L65" s="89"/>
      <c r="M65" s="13"/>
    </row>
    <row r="66" spans="1:13" s="116" customFormat="1" ht="40.5" x14ac:dyDescent="0.2">
      <c r="A66" s="112"/>
      <c r="B66" s="18"/>
      <c r="C66" s="46" t="s">
        <v>98</v>
      </c>
      <c r="D66" s="112" t="s">
        <v>58</v>
      </c>
      <c r="E66" s="113">
        <v>2.16</v>
      </c>
      <c r="F66" s="13">
        <f>E66*F64</f>
        <v>0.30240000000000006</v>
      </c>
      <c r="G66" s="10"/>
      <c r="H66" s="13"/>
      <c r="I66" s="10"/>
      <c r="J66" s="13"/>
      <c r="K66" s="89"/>
      <c r="L66" s="13"/>
      <c r="M66" s="13"/>
    </row>
    <row r="67" spans="1:13" s="27" customFormat="1" ht="40.5" x14ac:dyDescent="0.2">
      <c r="A67" s="39"/>
      <c r="B67" s="18"/>
      <c r="C67" s="46" t="s">
        <v>99</v>
      </c>
      <c r="D67" s="123" t="s">
        <v>58</v>
      </c>
      <c r="E67" s="124">
        <v>2.73</v>
      </c>
      <c r="F67" s="13">
        <f>E67*F64</f>
        <v>0.38220000000000004</v>
      </c>
      <c r="G67" s="13"/>
      <c r="H67" s="13"/>
      <c r="I67" s="13"/>
      <c r="J67" s="13"/>
      <c r="K67" s="13"/>
      <c r="L67" s="13"/>
      <c r="M67" s="13"/>
    </row>
    <row r="68" spans="1:13" s="27" customFormat="1" x14ac:dyDescent="0.2">
      <c r="A68" s="39"/>
      <c r="B68" s="18"/>
      <c r="C68" s="46" t="s">
        <v>100</v>
      </c>
      <c r="D68" s="39" t="s">
        <v>60</v>
      </c>
      <c r="E68" s="13">
        <v>0.97</v>
      </c>
      <c r="F68" s="13">
        <f>E68*F64</f>
        <v>0.1358</v>
      </c>
      <c r="G68" s="13"/>
      <c r="H68" s="13"/>
      <c r="I68" s="13"/>
      <c r="J68" s="13"/>
      <c r="K68" s="13"/>
      <c r="L68" s="13"/>
      <c r="M68" s="13"/>
    </row>
    <row r="69" spans="1:13" s="27" customFormat="1" x14ac:dyDescent="0.2">
      <c r="A69" s="39"/>
      <c r="B69" s="49"/>
      <c r="C69" s="46" t="s">
        <v>146</v>
      </c>
      <c r="D69" s="39" t="s">
        <v>56</v>
      </c>
      <c r="E69" s="39">
        <v>122</v>
      </c>
      <c r="F69" s="54">
        <f>E69*F64</f>
        <v>17.080000000000002</v>
      </c>
      <c r="G69" s="13"/>
      <c r="H69" s="13"/>
      <c r="I69" s="13"/>
      <c r="J69" s="13"/>
      <c r="K69" s="13"/>
      <c r="L69" s="13"/>
      <c r="M69" s="13"/>
    </row>
    <row r="70" spans="1:13" s="27" customFormat="1" x14ac:dyDescent="0.2">
      <c r="A70" s="39"/>
      <c r="B70" s="49"/>
      <c r="C70" s="46" t="s">
        <v>103</v>
      </c>
      <c r="D70" s="39" t="s">
        <v>56</v>
      </c>
      <c r="E70" s="39">
        <v>7</v>
      </c>
      <c r="F70" s="44">
        <f>E70*F64</f>
        <v>0.98000000000000009</v>
      </c>
      <c r="G70" s="13"/>
      <c r="H70" s="13"/>
      <c r="I70" s="13"/>
      <c r="J70" s="13"/>
      <c r="K70" s="13"/>
      <c r="L70" s="13"/>
      <c r="M70" s="13"/>
    </row>
    <row r="71" spans="1:13" s="27" customFormat="1" ht="51" customHeight="1" x14ac:dyDescent="0.2">
      <c r="A71" s="39">
        <v>2</v>
      </c>
      <c r="B71" s="18"/>
      <c r="C71" s="9" t="s">
        <v>177</v>
      </c>
      <c r="D71" s="42" t="s">
        <v>110</v>
      </c>
      <c r="E71" s="42"/>
      <c r="F71" s="79">
        <v>230</v>
      </c>
      <c r="G71" s="13"/>
      <c r="H71" s="13"/>
      <c r="I71" s="13"/>
      <c r="J71" s="13"/>
      <c r="K71" s="13"/>
      <c r="L71" s="13"/>
      <c r="M71" s="13"/>
    </row>
    <row r="72" spans="1:13" s="50" customFormat="1" x14ac:dyDescent="0.2">
      <c r="A72" s="39"/>
      <c r="B72" s="48"/>
      <c r="C72" s="46" t="s">
        <v>47</v>
      </c>
      <c r="D72" s="39" t="s">
        <v>48</v>
      </c>
      <c r="E72" s="39">
        <f>0.001*49.2</f>
        <v>4.9200000000000001E-2</v>
      </c>
      <c r="F72" s="13">
        <f>F71*E72</f>
        <v>11.316000000000001</v>
      </c>
      <c r="G72" s="89"/>
      <c r="H72" s="13"/>
      <c r="I72" s="13"/>
      <c r="J72" s="13"/>
      <c r="K72" s="13"/>
      <c r="L72" s="13"/>
      <c r="M72" s="13"/>
    </row>
    <row r="73" spans="1:13" s="50" customFormat="1" ht="40.5" x14ac:dyDescent="0.2">
      <c r="A73" s="39"/>
      <c r="B73" s="48"/>
      <c r="C73" s="46" t="s">
        <v>98</v>
      </c>
      <c r="D73" s="39" t="s">
        <v>48</v>
      </c>
      <c r="E73" s="71">
        <f>(2.69)*0.001</f>
        <v>2.6900000000000001E-3</v>
      </c>
      <c r="F73" s="13">
        <f>E73*F71</f>
        <v>0.61870000000000003</v>
      </c>
      <c r="G73" s="89"/>
      <c r="H73" s="13"/>
      <c r="I73" s="10"/>
      <c r="J73" s="13"/>
      <c r="K73" s="89"/>
      <c r="L73" s="13"/>
      <c r="M73" s="13"/>
    </row>
    <row r="74" spans="1:13" s="27" customFormat="1" ht="27" x14ac:dyDescent="0.2">
      <c r="A74" s="39"/>
      <c r="B74" s="49"/>
      <c r="C74" s="114" t="s">
        <v>233</v>
      </c>
      <c r="D74" s="123" t="s">
        <v>58</v>
      </c>
      <c r="E74" s="125">
        <f>0.41*0.001</f>
        <v>4.0999999999999999E-4</v>
      </c>
      <c r="F74" s="13">
        <f>E74*F71</f>
        <v>9.4299999999999995E-2</v>
      </c>
      <c r="G74" s="13"/>
      <c r="H74" s="13"/>
      <c r="I74" s="13"/>
      <c r="J74" s="13"/>
      <c r="K74" s="13"/>
      <c r="L74" s="13"/>
      <c r="M74" s="13"/>
    </row>
    <row r="75" spans="1:13" s="27" customFormat="1" ht="27" x14ac:dyDescent="0.25">
      <c r="A75" s="39"/>
      <c r="B75" s="49"/>
      <c r="C75" s="114" t="s">
        <v>234</v>
      </c>
      <c r="D75" s="123" t="s">
        <v>58</v>
      </c>
      <c r="E75" s="71">
        <f>(7.6)*0.001</f>
        <v>7.6E-3</v>
      </c>
      <c r="F75" s="13">
        <f>E75*F71</f>
        <v>1.748</v>
      </c>
      <c r="G75" s="13"/>
      <c r="H75" s="13"/>
      <c r="I75" s="226"/>
      <c r="J75" s="96"/>
      <c r="K75" s="232"/>
      <c r="L75" s="13"/>
      <c r="M75" s="13"/>
    </row>
    <row r="76" spans="1:13" s="27" customFormat="1" ht="27" x14ac:dyDescent="0.25">
      <c r="A76" s="39"/>
      <c r="B76" s="49"/>
      <c r="C76" s="114" t="s">
        <v>235</v>
      </c>
      <c r="D76" s="123" t="s">
        <v>58</v>
      </c>
      <c r="E76" s="71">
        <f>(7.4)*0.001</f>
        <v>7.4000000000000003E-3</v>
      </c>
      <c r="F76" s="13">
        <f>E76*F71</f>
        <v>1.7020000000000002</v>
      </c>
      <c r="G76" s="13"/>
      <c r="H76" s="13"/>
      <c r="I76" s="226"/>
      <c r="J76" s="96"/>
      <c r="K76" s="232"/>
      <c r="L76" s="13"/>
      <c r="M76" s="13"/>
    </row>
    <row r="77" spans="1:13" s="27" customFormat="1" x14ac:dyDescent="0.2">
      <c r="A77" s="39"/>
      <c r="B77" s="49"/>
      <c r="C77" s="46" t="s">
        <v>100</v>
      </c>
      <c r="D77" s="123" t="s">
        <v>58</v>
      </c>
      <c r="E77" s="71">
        <f>(1.48)*0.001</f>
        <v>1.48E-3</v>
      </c>
      <c r="F77" s="13">
        <f>E77*F71</f>
        <v>0.34039999999999998</v>
      </c>
      <c r="G77" s="13"/>
      <c r="H77" s="13"/>
      <c r="I77" s="13"/>
      <c r="J77" s="13"/>
      <c r="K77" s="13"/>
      <c r="L77" s="13"/>
      <c r="M77" s="13"/>
    </row>
    <row r="78" spans="1:13" s="27" customFormat="1" ht="15.75" x14ac:dyDescent="0.2">
      <c r="A78" s="39"/>
      <c r="B78" s="49"/>
      <c r="C78" s="9" t="s">
        <v>178</v>
      </c>
      <c r="D78" s="39" t="s">
        <v>129</v>
      </c>
      <c r="E78" s="71">
        <f>0.001*(149+12.4*3)</f>
        <v>0.1862</v>
      </c>
      <c r="F78" s="13">
        <f>E78*F71</f>
        <v>42.826000000000001</v>
      </c>
      <c r="G78" s="13"/>
      <c r="H78" s="13"/>
      <c r="I78" s="13"/>
      <c r="J78" s="13"/>
      <c r="K78" s="13"/>
      <c r="L78" s="13"/>
      <c r="M78" s="13"/>
    </row>
    <row r="79" spans="1:13" s="27" customFormat="1" ht="15.75" x14ac:dyDescent="0.2">
      <c r="A79" s="39"/>
      <c r="B79" s="49"/>
      <c r="C79" s="9" t="s">
        <v>103</v>
      </c>
      <c r="D79" s="39" t="s">
        <v>129</v>
      </c>
      <c r="E79" s="71">
        <f>(11)*0.001</f>
        <v>1.0999999999999999E-2</v>
      </c>
      <c r="F79" s="13">
        <f>E79*F71</f>
        <v>2.5299999999999998</v>
      </c>
      <c r="G79" s="13"/>
      <c r="H79" s="13"/>
      <c r="I79" s="13"/>
      <c r="J79" s="13"/>
      <c r="K79" s="13"/>
      <c r="L79" s="13"/>
      <c r="M79" s="13"/>
    </row>
    <row r="80" spans="1:13" ht="40.5" x14ac:dyDescent="0.25">
      <c r="A80" s="77"/>
      <c r="B80" s="77"/>
      <c r="C80" s="19" t="s">
        <v>179</v>
      </c>
      <c r="D80" s="77"/>
      <c r="E80" s="77"/>
      <c r="F80" s="77"/>
      <c r="G80" s="223"/>
      <c r="H80" s="223"/>
      <c r="I80" s="223"/>
      <c r="J80" s="223"/>
      <c r="K80" s="223"/>
      <c r="L80" s="223"/>
      <c r="M80" s="223"/>
    </row>
    <row r="81" spans="1:256" s="27" customFormat="1" ht="53.25" x14ac:dyDescent="0.2">
      <c r="A81" s="39">
        <v>3</v>
      </c>
      <c r="B81" s="18"/>
      <c r="C81" s="117" t="s">
        <v>224</v>
      </c>
      <c r="D81" s="42" t="s">
        <v>110</v>
      </c>
      <c r="E81" s="42"/>
      <c r="F81" s="79">
        <v>230</v>
      </c>
      <c r="G81" s="13"/>
      <c r="H81" s="13"/>
      <c r="I81" s="13"/>
      <c r="J81" s="13"/>
      <c r="K81" s="13"/>
      <c r="L81" s="13"/>
      <c r="M81" s="13"/>
    </row>
    <row r="82" spans="1:256" s="27" customFormat="1" x14ac:dyDescent="0.2">
      <c r="A82" s="39"/>
      <c r="B82" s="48"/>
      <c r="C82" s="46" t="s">
        <v>47</v>
      </c>
      <c r="D82" s="39" t="s">
        <v>48</v>
      </c>
      <c r="E82" s="39">
        <f>0.0191</f>
        <v>1.9099999999999999E-2</v>
      </c>
      <c r="F82" s="80">
        <f>F81*E82</f>
        <v>4.3929999999999998</v>
      </c>
      <c r="G82" s="89"/>
      <c r="H82" s="89"/>
      <c r="I82" s="13"/>
      <c r="J82" s="13"/>
      <c r="K82" s="89"/>
      <c r="L82" s="89"/>
      <c r="M82" s="13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</row>
    <row r="83" spans="1:256" s="27" customFormat="1" ht="27" x14ac:dyDescent="0.2">
      <c r="A83" s="39"/>
      <c r="B83" s="121"/>
      <c r="C83" s="46" t="s">
        <v>151</v>
      </c>
      <c r="D83" s="39" t="s">
        <v>58</v>
      </c>
      <c r="E83" s="39">
        <f>9.5*0.001</f>
        <v>9.4999999999999998E-3</v>
      </c>
      <c r="F83" s="80">
        <f>E83*F81</f>
        <v>2.1850000000000001</v>
      </c>
      <c r="G83" s="89"/>
      <c r="H83" s="89"/>
      <c r="I83" s="13"/>
      <c r="J83" s="13"/>
      <c r="K83" s="13"/>
      <c r="L83" s="13"/>
      <c r="M83" s="13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</row>
    <row r="84" spans="1:256" s="27" customFormat="1" ht="40.5" x14ac:dyDescent="0.2">
      <c r="A84" s="39"/>
      <c r="B84" s="121"/>
      <c r="C84" s="46" t="s">
        <v>152</v>
      </c>
      <c r="D84" s="39" t="s">
        <v>58</v>
      </c>
      <c r="E84" s="39">
        <f>0.0095</f>
        <v>9.4999999999999998E-3</v>
      </c>
      <c r="F84" s="80">
        <f>E84*F81</f>
        <v>2.1850000000000001</v>
      </c>
      <c r="G84" s="89"/>
      <c r="H84" s="89"/>
      <c r="I84" s="13"/>
      <c r="J84" s="13"/>
      <c r="K84" s="13"/>
      <c r="L84" s="13"/>
      <c r="M84" s="13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</row>
    <row r="85" spans="1:256" s="27" customFormat="1" x14ac:dyDescent="0.2">
      <c r="A85" s="39"/>
      <c r="B85" s="121"/>
      <c r="C85" s="46" t="s">
        <v>153</v>
      </c>
      <c r="D85" s="39" t="s">
        <v>58</v>
      </c>
      <c r="E85" s="39">
        <f>0.0095</f>
        <v>9.4999999999999998E-3</v>
      </c>
      <c r="F85" s="80">
        <f>E85*F81</f>
        <v>2.1850000000000001</v>
      </c>
      <c r="G85" s="89"/>
      <c r="H85" s="89"/>
      <c r="I85" s="13"/>
      <c r="J85" s="13"/>
      <c r="K85" s="13"/>
      <c r="L85" s="13"/>
      <c r="M85" s="13"/>
      <c r="N85" s="50"/>
      <c r="O85" s="126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</row>
    <row r="86" spans="1:256" s="27" customFormat="1" ht="58.5" customHeight="1" x14ac:dyDescent="0.25">
      <c r="A86" s="39"/>
      <c r="B86" s="121"/>
      <c r="C86" s="127" t="s">
        <v>154</v>
      </c>
      <c r="D86" s="39" t="s">
        <v>58</v>
      </c>
      <c r="E86" s="39">
        <f>0.0095</f>
        <v>9.4999999999999998E-3</v>
      </c>
      <c r="F86" s="80">
        <f>E86*F81</f>
        <v>2.1850000000000001</v>
      </c>
      <c r="G86" s="89"/>
      <c r="H86" s="89"/>
      <c r="I86" s="13"/>
      <c r="J86" s="13"/>
      <c r="K86" s="13"/>
      <c r="L86" s="13"/>
      <c r="M86" s="13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</row>
    <row r="87" spans="1:256" s="27" customFormat="1" x14ac:dyDescent="0.2">
      <c r="A87" s="39"/>
      <c r="B87" s="121"/>
      <c r="C87" s="46" t="s">
        <v>155</v>
      </c>
      <c r="D87" s="39" t="s">
        <v>58</v>
      </c>
      <c r="E87" s="39">
        <f>0.0186</f>
        <v>1.8599999999999998E-2</v>
      </c>
      <c r="F87" s="80">
        <f>E87*F81</f>
        <v>4.2779999999999996</v>
      </c>
      <c r="G87" s="89"/>
      <c r="H87" s="89"/>
      <c r="I87" s="13"/>
      <c r="J87" s="13"/>
      <c r="K87" s="13"/>
      <c r="L87" s="13"/>
      <c r="M87" s="13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</row>
    <row r="88" spans="1:256" s="27" customFormat="1" ht="27" x14ac:dyDescent="0.25">
      <c r="A88" s="68"/>
      <c r="B88" s="39"/>
      <c r="C88" s="146" t="s">
        <v>231</v>
      </c>
      <c r="D88" s="123" t="s">
        <v>58</v>
      </c>
      <c r="E88" s="62">
        <f>0.019</f>
        <v>1.9E-2</v>
      </c>
      <c r="F88" s="80">
        <f>E88*F81</f>
        <v>4.37</v>
      </c>
      <c r="G88" s="67"/>
      <c r="H88" s="67"/>
      <c r="I88" s="13"/>
      <c r="J88" s="13"/>
      <c r="K88" s="13"/>
      <c r="L88" s="13"/>
      <c r="M88" s="1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7" customFormat="1" x14ac:dyDescent="0.2">
      <c r="A89" s="39"/>
      <c r="B89" s="49"/>
      <c r="C89" s="46" t="s">
        <v>59</v>
      </c>
      <c r="D89" s="39" t="s">
        <v>60</v>
      </c>
      <c r="E89" s="108">
        <v>2.63E-2</v>
      </c>
      <c r="F89" s="13">
        <f>E89*F81</f>
        <v>6.0490000000000004</v>
      </c>
      <c r="G89" s="13"/>
      <c r="H89" s="13"/>
      <c r="I89" s="13"/>
      <c r="J89" s="13"/>
      <c r="K89" s="13"/>
      <c r="L89" s="13"/>
      <c r="M89" s="13"/>
    </row>
    <row r="90" spans="1:256" s="27" customFormat="1" ht="27" x14ac:dyDescent="0.25">
      <c r="A90" s="128"/>
      <c r="B90" s="62"/>
      <c r="C90" s="63" t="s">
        <v>222</v>
      </c>
      <c r="D90" s="62" t="s">
        <v>56</v>
      </c>
      <c r="E90" s="39">
        <f>184*0.001</f>
        <v>0.184</v>
      </c>
      <c r="F90" s="13">
        <f>E90*F81</f>
        <v>42.32</v>
      </c>
      <c r="G90" s="13"/>
      <c r="H90" s="13"/>
      <c r="I90" s="60"/>
      <c r="J90" s="60"/>
      <c r="K90" s="60"/>
      <c r="L90" s="60"/>
      <c r="M90" s="13"/>
      <c r="N90" s="129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27" customFormat="1" ht="45.75" x14ac:dyDescent="0.2">
      <c r="A91" s="39">
        <v>4</v>
      </c>
      <c r="B91" s="18"/>
      <c r="C91" s="117" t="s">
        <v>216</v>
      </c>
      <c r="D91" s="42" t="s">
        <v>110</v>
      </c>
      <c r="E91" s="42"/>
      <c r="F91" s="79">
        <v>230</v>
      </c>
      <c r="G91" s="13"/>
      <c r="H91" s="13"/>
      <c r="I91" s="13"/>
      <c r="J91" s="13"/>
      <c r="K91" s="13"/>
      <c r="L91" s="13"/>
      <c r="M91" s="13"/>
      <c r="P91" s="29"/>
    </row>
    <row r="92" spans="1:256" s="27" customFormat="1" x14ac:dyDescent="0.2">
      <c r="A92" s="39"/>
      <c r="B92" s="48"/>
      <c r="C92" s="46" t="s">
        <v>47</v>
      </c>
      <c r="D92" s="39" t="s">
        <v>48</v>
      </c>
      <c r="E92" s="39">
        <f>0.0117</f>
        <v>1.17E-2</v>
      </c>
      <c r="F92" s="80">
        <f>F91*E92</f>
        <v>2.6910000000000003</v>
      </c>
      <c r="G92" s="89"/>
      <c r="H92" s="89"/>
      <c r="I92" s="13"/>
      <c r="J92" s="13"/>
      <c r="K92" s="89"/>
      <c r="L92" s="89"/>
      <c r="M92" s="13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</row>
    <row r="93" spans="1:256" s="27" customFormat="1" x14ac:dyDescent="0.25">
      <c r="A93" s="128"/>
      <c r="B93" s="68"/>
      <c r="C93" s="68" t="s">
        <v>156</v>
      </c>
      <c r="D93" s="62" t="s">
        <v>50</v>
      </c>
      <c r="E93" s="62"/>
      <c r="F93" s="62">
        <v>1.0900000000000001</v>
      </c>
      <c r="G93" s="60"/>
      <c r="H93" s="13"/>
      <c r="I93" s="60"/>
      <c r="J93" s="60"/>
      <c r="K93" s="60"/>
      <c r="L93" s="60"/>
      <c r="M93" s="1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61" customFormat="1" x14ac:dyDescent="0.25">
      <c r="A94" s="194"/>
      <c r="B94" s="194"/>
      <c r="C94" s="57" t="s">
        <v>51</v>
      </c>
      <c r="D94" s="58"/>
      <c r="E94" s="59"/>
      <c r="F94" s="194"/>
      <c r="G94" s="60"/>
      <c r="H94" s="10"/>
      <c r="I94" s="60"/>
      <c r="J94" s="10"/>
      <c r="K94" s="60"/>
      <c r="L94" s="10"/>
      <c r="M94" s="10"/>
    </row>
    <row r="95" spans="1:256" s="66" customFormat="1" x14ac:dyDescent="0.25">
      <c r="A95" s="62"/>
      <c r="B95" s="62"/>
      <c r="C95" s="63" t="s">
        <v>245</v>
      </c>
      <c r="D95" s="60"/>
      <c r="E95" s="62"/>
      <c r="F95" s="60"/>
      <c r="G95" s="60"/>
      <c r="H95" s="60"/>
      <c r="I95" s="60"/>
      <c r="J95" s="60"/>
      <c r="K95" s="60"/>
      <c r="L95" s="60"/>
      <c r="M95" s="67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</row>
    <row r="96" spans="1:256" s="66" customFormat="1" x14ac:dyDescent="0.25">
      <c r="A96" s="62"/>
      <c r="B96" s="62"/>
      <c r="C96" s="63" t="s">
        <v>52</v>
      </c>
      <c r="D96" s="60"/>
      <c r="E96" s="62"/>
      <c r="F96" s="60"/>
      <c r="G96" s="60"/>
      <c r="H96" s="60"/>
      <c r="I96" s="60"/>
      <c r="J96" s="60"/>
      <c r="K96" s="60"/>
      <c r="L96" s="60"/>
      <c r="M96" s="67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</row>
    <row r="97" spans="1:215" s="66" customFormat="1" x14ac:dyDescent="0.25">
      <c r="A97" s="62"/>
      <c r="B97" s="62"/>
      <c r="C97" s="63" t="s">
        <v>247</v>
      </c>
      <c r="D97" s="60"/>
      <c r="E97" s="62"/>
      <c r="F97" s="60"/>
      <c r="G97" s="60"/>
      <c r="H97" s="60"/>
      <c r="I97" s="60"/>
      <c r="J97" s="60"/>
      <c r="K97" s="60"/>
      <c r="L97" s="60"/>
      <c r="M97" s="67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</row>
    <row r="98" spans="1:215" s="66" customFormat="1" x14ac:dyDescent="0.25">
      <c r="A98" s="62"/>
      <c r="B98" s="62"/>
      <c r="C98" s="68" t="s">
        <v>51</v>
      </c>
      <c r="D98" s="62"/>
      <c r="E98" s="62"/>
      <c r="F98" s="62"/>
      <c r="G98" s="67"/>
      <c r="H98" s="60"/>
      <c r="I98" s="60"/>
      <c r="J98" s="60"/>
      <c r="K98" s="60"/>
      <c r="L98" s="60"/>
      <c r="M98" s="67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</row>
    <row r="102" spans="1:215" ht="36" customHeight="1" x14ac:dyDescent="0.2">
      <c r="A102" s="235" t="s">
        <v>249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215" ht="12.75" x14ac:dyDescent="0.2">
      <c r="A103" s="236" t="s">
        <v>250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</row>
  </sheetData>
  <mergeCells count="14">
    <mergeCell ref="A102:M102"/>
    <mergeCell ref="A103:M103"/>
    <mergeCell ref="I6:J6"/>
    <mergeCell ref="K6:L6"/>
    <mergeCell ref="M6:M7"/>
    <mergeCell ref="C3:F3"/>
    <mergeCell ref="A4:L4"/>
    <mergeCell ref="C5:G5"/>
    <mergeCell ref="A6:A7"/>
    <mergeCell ref="B6:B7"/>
    <mergeCell ref="C6:C7"/>
    <mergeCell ref="D6:D7"/>
    <mergeCell ref="E6:F6"/>
    <mergeCell ref="G6:H6"/>
  </mergeCells>
  <conditionalFormatting sqref="A8:HY8 C11 A28:GL28 A41:IT51 A52:IU62 IL64:IS70 A64:IK65 IL71:IT79 A81:IT82 C80 A39:IT39 A69:IK72 A66:A68 D66:IK68 A78:IK79 A73:A77 D73:IK73 D75:IK77 D74:H74 N74:IK74 A89:IT93 A83:A88 D83:H88 N83:IT88 A10:B19 D10:IT19 C13:C19 A20:IR23 A29:IT36">
    <cfRule type="cellIs" dxfId="15" priority="13" stopIfTrue="1" operator="equal">
      <formula>8223.307275</formula>
    </cfRule>
  </conditionalFormatting>
  <conditionalFormatting sqref="IR94 A94:IQ98">
    <cfRule type="cellIs" dxfId="14" priority="12" stopIfTrue="1" operator="equal">
      <formula>8223.307275</formula>
    </cfRule>
  </conditionalFormatting>
  <conditionalFormatting sqref="A25:HW25 F26 J26 A27:HW27 L26:M26">
    <cfRule type="cellIs" dxfId="13" priority="11" stopIfTrue="1" operator="equal">
      <formula>8223.307275</formula>
    </cfRule>
  </conditionalFormatting>
  <conditionalFormatting sqref="A37:HV38">
    <cfRule type="cellIs" dxfId="12" priority="10" stopIfTrue="1" operator="equal">
      <formula>8223.307275</formula>
    </cfRule>
  </conditionalFormatting>
  <conditionalFormatting sqref="C12">
    <cfRule type="cellIs" dxfId="11" priority="9" stopIfTrue="1" operator="equal">
      <formula>8223.307275</formula>
    </cfRule>
  </conditionalFormatting>
  <conditionalFormatting sqref="B66:B68">
    <cfRule type="cellIs" dxfId="10" priority="8" stopIfTrue="1" operator="equal">
      <formula>8223.307275</formula>
    </cfRule>
  </conditionalFormatting>
  <conditionalFormatting sqref="C66:C68">
    <cfRule type="cellIs" dxfId="9" priority="7" stopIfTrue="1" operator="equal">
      <formula>8223.307275</formula>
    </cfRule>
  </conditionalFormatting>
  <conditionalFormatting sqref="B73:C77">
    <cfRule type="cellIs" dxfId="8" priority="6" stopIfTrue="1" operator="equal">
      <formula>8223.307275</formula>
    </cfRule>
  </conditionalFormatting>
  <conditionalFormatting sqref="I74:M74">
    <cfRule type="cellIs" dxfId="7" priority="5" stopIfTrue="1" operator="equal">
      <formula>8223.307275</formula>
    </cfRule>
  </conditionalFormatting>
  <conditionalFormatting sqref="C83:C87">
    <cfRule type="cellIs" dxfId="6" priority="4" stopIfTrue="1" operator="equal">
      <formula>8223.307275</formula>
    </cfRule>
  </conditionalFormatting>
  <conditionalFormatting sqref="B83:B88">
    <cfRule type="cellIs" dxfId="5" priority="3" stopIfTrue="1" operator="equal">
      <formula>8223.307275</formula>
    </cfRule>
  </conditionalFormatting>
  <conditionalFormatting sqref="C88">
    <cfRule type="cellIs" dxfId="4" priority="2" stopIfTrue="1" operator="equal">
      <formula>8223.307275</formula>
    </cfRule>
  </conditionalFormatting>
  <conditionalFormatting sqref="I83:M88">
    <cfRule type="cellIs" dxfId="3" priority="1" stopIfTrue="1" operator="equal">
      <formula>8223.307275</formula>
    </cfRule>
  </conditionalFormatting>
  <pageMargins left="0.11811023622047245" right="0.11811023622047245" top="0.27559055118110237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7.5703125" customWidth="1"/>
    <col min="3" max="3" width="30.28515625" style="2" customWidth="1"/>
    <col min="4" max="4" width="7.5703125" customWidth="1"/>
    <col min="9" max="9" width="7.42578125" customWidth="1"/>
  </cols>
  <sheetData>
    <row r="1" spans="1:13" ht="15.75" x14ac:dyDescent="0.25">
      <c r="A1" s="75" t="s">
        <v>0</v>
      </c>
    </row>
    <row r="2" spans="1:13" ht="15.75" x14ac:dyDescent="0.25">
      <c r="A2" s="75" t="s">
        <v>1</v>
      </c>
    </row>
    <row r="3" spans="1:13" s="27" customFormat="1" ht="15" x14ac:dyDescent="0.2">
      <c r="A3" s="26"/>
      <c r="C3" s="216"/>
      <c r="D3" s="216"/>
      <c r="E3" s="216"/>
      <c r="F3" s="216"/>
      <c r="G3" s="28"/>
      <c r="H3" s="28"/>
      <c r="I3" s="28"/>
      <c r="J3" s="28"/>
      <c r="K3" s="28"/>
      <c r="L3" s="29"/>
    </row>
    <row r="4" spans="1:13" s="27" customFormat="1" ht="15.75" x14ac:dyDescent="0.2">
      <c r="A4" s="210" t="s">
        <v>190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3" s="27" customFormat="1" ht="14.25" customHeight="1" x14ac:dyDescent="0.2">
      <c r="A5" s="30"/>
      <c r="B5" s="31"/>
      <c r="C5" s="211" t="s">
        <v>27</v>
      </c>
      <c r="D5" s="211"/>
      <c r="E5" s="211"/>
      <c r="F5" s="211"/>
      <c r="G5" s="211"/>
      <c r="I5" s="32"/>
      <c r="J5" s="33"/>
      <c r="K5" s="33"/>
      <c r="L5" s="34"/>
      <c r="M5" s="30"/>
    </row>
    <row r="6" spans="1:13" s="35" customFormat="1" x14ac:dyDescent="0.2">
      <c r="A6" s="208" t="s">
        <v>2</v>
      </c>
      <c r="B6" s="212" t="s">
        <v>35</v>
      </c>
      <c r="C6" s="208" t="s">
        <v>36</v>
      </c>
      <c r="D6" s="208" t="s">
        <v>37</v>
      </c>
      <c r="E6" s="214" t="s">
        <v>38</v>
      </c>
      <c r="F6" s="215"/>
      <c r="G6" s="208" t="s">
        <v>39</v>
      </c>
      <c r="H6" s="208"/>
      <c r="I6" s="208" t="s">
        <v>40</v>
      </c>
      <c r="J6" s="208"/>
      <c r="K6" s="208" t="s">
        <v>41</v>
      </c>
      <c r="L6" s="208"/>
      <c r="M6" s="209" t="s">
        <v>42</v>
      </c>
    </row>
    <row r="7" spans="1:13" s="35" customFormat="1" ht="27" x14ac:dyDescent="0.2">
      <c r="A7" s="208"/>
      <c r="B7" s="213"/>
      <c r="C7" s="208"/>
      <c r="D7" s="208"/>
      <c r="E7" s="19" t="s">
        <v>43</v>
      </c>
      <c r="F7" s="19" t="s">
        <v>32</v>
      </c>
      <c r="G7" s="19" t="s">
        <v>44</v>
      </c>
      <c r="H7" s="36" t="s">
        <v>42</v>
      </c>
      <c r="I7" s="37" t="s">
        <v>44</v>
      </c>
      <c r="J7" s="19" t="s">
        <v>42</v>
      </c>
      <c r="K7" s="19" t="s">
        <v>44</v>
      </c>
      <c r="L7" s="38" t="s">
        <v>42</v>
      </c>
      <c r="M7" s="209"/>
    </row>
    <row r="8" spans="1:13" s="35" customFormat="1" x14ac:dyDescent="0.2">
      <c r="A8" s="139">
        <v>1</v>
      </c>
      <c r="B8" s="140">
        <v>2</v>
      </c>
      <c r="C8" s="139">
        <v>3</v>
      </c>
      <c r="D8" s="140">
        <v>4</v>
      </c>
      <c r="E8" s="139">
        <v>5</v>
      </c>
      <c r="F8" s="140">
        <v>6</v>
      </c>
      <c r="G8" s="141">
        <v>7</v>
      </c>
      <c r="H8" s="140">
        <v>8</v>
      </c>
      <c r="I8" s="139">
        <v>9</v>
      </c>
      <c r="J8" s="140">
        <v>10</v>
      </c>
      <c r="K8" s="139">
        <v>11</v>
      </c>
      <c r="L8" s="141">
        <v>12</v>
      </c>
      <c r="M8" s="140" t="s">
        <v>45</v>
      </c>
    </row>
    <row r="9" spans="1:13" s="27" customFormat="1" ht="94.5" x14ac:dyDescent="0.2">
      <c r="A9" s="39">
        <v>1</v>
      </c>
      <c r="B9" s="74"/>
      <c r="C9" s="155" t="s">
        <v>217</v>
      </c>
      <c r="D9" s="42" t="s">
        <v>191</v>
      </c>
      <c r="E9" s="42"/>
      <c r="F9" s="43">
        <v>0.02</v>
      </c>
      <c r="G9" s="13"/>
      <c r="H9" s="13"/>
      <c r="I9" s="13"/>
      <c r="J9" s="13"/>
      <c r="K9" s="13"/>
      <c r="L9" s="13"/>
      <c r="M9" s="13"/>
    </row>
    <row r="10" spans="1:13" s="50" customFormat="1" x14ac:dyDescent="0.2">
      <c r="A10" s="39"/>
      <c r="B10" s="48"/>
      <c r="C10" s="46" t="s">
        <v>47</v>
      </c>
      <c r="D10" s="39" t="s">
        <v>48</v>
      </c>
      <c r="E10" s="39">
        <f>49.4</f>
        <v>49.4</v>
      </c>
      <c r="F10" s="13">
        <f>F9*E10</f>
        <v>0.98799999999999999</v>
      </c>
      <c r="G10" s="89"/>
      <c r="H10" s="89"/>
      <c r="I10" s="13"/>
      <c r="J10" s="13"/>
      <c r="K10" s="89"/>
      <c r="L10" s="89"/>
      <c r="M10" s="13"/>
    </row>
    <row r="11" spans="1:13" s="35" customFormat="1" x14ac:dyDescent="0.2">
      <c r="A11" s="39"/>
      <c r="B11" s="45"/>
      <c r="C11" s="9" t="s">
        <v>121</v>
      </c>
      <c r="D11" s="39" t="s">
        <v>92</v>
      </c>
      <c r="E11" s="39">
        <v>51</v>
      </c>
      <c r="F11" s="13">
        <f>E11*F9</f>
        <v>1.02</v>
      </c>
      <c r="G11" s="13"/>
      <c r="H11" s="13"/>
      <c r="I11" s="13"/>
      <c r="J11" s="13"/>
      <c r="K11" s="13"/>
      <c r="L11" s="13"/>
      <c r="M11" s="13"/>
    </row>
    <row r="12" spans="1:13" s="4" customFormat="1" x14ac:dyDescent="0.25">
      <c r="A12" s="68"/>
      <c r="B12" s="74"/>
      <c r="C12" s="83" t="s">
        <v>192</v>
      </c>
      <c r="D12" s="18" t="s">
        <v>193</v>
      </c>
      <c r="E12" s="68"/>
      <c r="F12" s="131">
        <v>2</v>
      </c>
      <c r="G12" s="10"/>
      <c r="H12" s="10"/>
      <c r="I12" s="67"/>
      <c r="J12" s="67"/>
      <c r="K12" s="67"/>
      <c r="L12" s="67"/>
      <c r="M12" s="13"/>
    </row>
    <row r="13" spans="1:13" s="4" customFormat="1" ht="27" x14ac:dyDescent="0.2">
      <c r="A13" s="128"/>
      <c r="B13" s="128"/>
      <c r="C13" s="156" t="s">
        <v>218</v>
      </c>
      <c r="D13" s="143" t="s">
        <v>193</v>
      </c>
      <c r="E13" s="128"/>
      <c r="F13" s="142">
        <v>1</v>
      </c>
      <c r="G13" s="233"/>
      <c r="H13" s="13"/>
      <c r="I13" s="220"/>
      <c r="J13" s="220"/>
      <c r="K13" s="220"/>
      <c r="L13" s="220"/>
      <c r="M13" s="13"/>
    </row>
    <row r="14" spans="1:13" s="35" customFormat="1" ht="27" x14ac:dyDescent="0.2">
      <c r="A14" s="39"/>
      <c r="B14" s="45"/>
      <c r="C14" s="157" t="s">
        <v>219</v>
      </c>
      <c r="D14" s="39" t="s">
        <v>193</v>
      </c>
      <c r="E14" s="39"/>
      <c r="F14" s="54">
        <v>6</v>
      </c>
      <c r="G14" s="11"/>
      <c r="H14" s="13"/>
      <c r="I14" s="13"/>
      <c r="J14" s="13"/>
      <c r="K14" s="13"/>
      <c r="L14" s="13"/>
      <c r="M14" s="13"/>
    </row>
    <row r="15" spans="1:13" s="35" customFormat="1" ht="27" x14ac:dyDescent="0.2">
      <c r="A15" s="39"/>
      <c r="B15" s="45"/>
      <c r="C15" s="157" t="s">
        <v>220</v>
      </c>
      <c r="D15" s="39" t="s">
        <v>193</v>
      </c>
      <c r="E15" s="39"/>
      <c r="F15" s="54">
        <v>1</v>
      </c>
      <c r="G15" s="11"/>
      <c r="H15" s="13"/>
      <c r="I15" s="13"/>
      <c r="J15" s="13"/>
      <c r="K15" s="13"/>
      <c r="L15" s="13"/>
      <c r="M15" s="13"/>
    </row>
    <row r="16" spans="1:13" s="27" customFormat="1" ht="65.25" customHeight="1" x14ac:dyDescent="0.2">
      <c r="A16" s="39">
        <v>2</v>
      </c>
      <c r="B16" s="74"/>
      <c r="C16" s="117" t="s">
        <v>194</v>
      </c>
      <c r="D16" s="42" t="s">
        <v>191</v>
      </c>
      <c r="E16" s="42"/>
      <c r="F16" s="43">
        <v>0.02</v>
      </c>
      <c r="G16" s="13"/>
      <c r="H16" s="13"/>
      <c r="I16" s="13"/>
      <c r="J16" s="13"/>
      <c r="K16" s="13"/>
      <c r="L16" s="13"/>
      <c r="M16" s="13"/>
    </row>
    <row r="17" spans="1:13" s="50" customFormat="1" x14ac:dyDescent="0.2">
      <c r="A17" s="39"/>
      <c r="B17" s="48"/>
      <c r="C17" s="46" t="s">
        <v>47</v>
      </c>
      <c r="D17" s="39" t="s">
        <v>48</v>
      </c>
      <c r="E17" s="39">
        <f>309</f>
        <v>309</v>
      </c>
      <c r="F17" s="13">
        <f>F16*E17</f>
        <v>6.18</v>
      </c>
      <c r="G17" s="89"/>
      <c r="H17" s="89"/>
      <c r="I17" s="13"/>
      <c r="J17" s="13"/>
      <c r="K17" s="89"/>
      <c r="L17" s="89"/>
      <c r="M17" s="13"/>
    </row>
    <row r="18" spans="1:13" s="35" customFormat="1" ht="27" x14ac:dyDescent="0.2">
      <c r="A18" s="39"/>
      <c r="B18" s="45"/>
      <c r="C18" s="9" t="s">
        <v>195</v>
      </c>
      <c r="D18" s="39" t="s">
        <v>58</v>
      </c>
      <c r="E18" s="39">
        <v>15</v>
      </c>
      <c r="F18" s="13">
        <f>E18*F16</f>
        <v>0.3</v>
      </c>
      <c r="G18" s="13"/>
      <c r="H18" s="13"/>
      <c r="I18" s="13"/>
      <c r="J18" s="13"/>
      <c r="K18" s="13"/>
      <c r="L18" s="13"/>
      <c r="M18" s="13"/>
    </row>
    <row r="19" spans="1:13" s="35" customFormat="1" x14ac:dyDescent="0.25">
      <c r="A19" s="39"/>
      <c r="B19" s="45"/>
      <c r="C19" s="9" t="s">
        <v>196</v>
      </c>
      <c r="D19" s="39" t="s">
        <v>56</v>
      </c>
      <c r="E19" s="39">
        <v>27</v>
      </c>
      <c r="F19" s="13">
        <f>E19*F16</f>
        <v>0.54</v>
      </c>
      <c r="G19" s="13"/>
      <c r="H19" s="67"/>
      <c r="I19" s="13"/>
      <c r="J19" s="13"/>
      <c r="K19" s="13"/>
      <c r="L19" s="13"/>
      <c r="M19" s="13"/>
    </row>
    <row r="20" spans="1:13" s="3" customFormat="1" x14ac:dyDescent="0.25">
      <c r="A20" s="68"/>
      <c r="B20" s="68"/>
      <c r="C20" s="68" t="s">
        <v>96</v>
      </c>
      <c r="D20" s="62" t="s">
        <v>60</v>
      </c>
      <c r="E20" s="62">
        <f>108*0.5</f>
        <v>54</v>
      </c>
      <c r="F20" s="62">
        <f>E20*F16</f>
        <v>1.08</v>
      </c>
      <c r="G20" s="60"/>
      <c r="H20" s="60"/>
      <c r="I20" s="67"/>
      <c r="J20" s="67"/>
      <c r="K20" s="67"/>
      <c r="L20" s="67"/>
      <c r="M20" s="13"/>
    </row>
    <row r="21" spans="1:13" s="4" customFormat="1" ht="27" x14ac:dyDescent="0.25">
      <c r="A21" s="62">
        <v>3</v>
      </c>
      <c r="B21" s="74"/>
      <c r="C21" s="83" t="s">
        <v>197</v>
      </c>
      <c r="D21" s="18"/>
      <c r="E21" s="68"/>
      <c r="F21" s="68"/>
      <c r="G21" s="67"/>
      <c r="H21" s="67"/>
      <c r="I21" s="67"/>
      <c r="J21" s="67"/>
      <c r="K21" s="67"/>
      <c r="L21" s="67"/>
      <c r="M21" s="13"/>
    </row>
    <row r="22" spans="1:13" s="4" customFormat="1" x14ac:dyDescent="0.25">
      <c r="A22" s="62"/>
      <c r="B22" s="74"/>
      <c r="C22" s="83" t="s">
        <v>198</v>
      </c>
      <c r="D22" s="18" t="s">
        <v>193</v>
      </c>
      <c r="E22" s="68"/>
      <c r="F22" s="131">
        <v>5</v>
      </c>
      <c r="G22" s="10"/>
      <c r="H22" s="10"/>
      <c r="I22" s="67"/>
      <c r="J22" s="67"/>
      <c r="K22" s="67"/>
      <c r="L22" s="67"/>
      <c r="M22" s="13"/>
    </row>
    <row r="23" spans="1:13" s="4" customFormat="1" x14ac:dyDescent="0.25">
      <c r="A23" s="68"/>
      <c r="B23" s="68"/>
      <c r="C23" s="46" t="s">
        <v>42</v>
      </c>
      <c r="D23" s="68"/>
      <c r="E23" s="68"/>
      <c r="F23" s="68"/>
      <c r="G23" s="67"/>
      <c r="H23" s="67"/>
      <c r="I23" s="67"/>
      <c r="J23" s="67"/>
      <c r="K23" s="67"/>
      <c r="L23" s="67"/>
      <c r="M23" s="67"/>
    </row>
    <row r="24" spans="1:13" s="4" customFormat="1" x14ac:dyDescent="0.25">
      <c r="A24" s="68"/>
      <c r="B24" s="68"/>
      <c r="C24" s="63" t="s">
        <v>245</v>
      </c>
      <c r="D24" s="68"/>
      <c r="E24" s="68"/>
      <c r="F24" s="68"/>
      <c r="G24" s="67"/>
      <c r="H24" s="67"/>
      <c r="I24" s="67"/>
      <c r="J24" s="67"/>
      <c r="K24" s="67"/>
      <c r="L24" s="67"/>
      <c r="M24" s="67"/>
    </row>
    <row r="25" spans="1:13" s="4" customFormat="1" x14ac:dyDescent="0.25">
      <c r="A25" s="68"/>
      <c r="B25" s="68"/>
      <c r="C25" s="63" t="s">
        <v>52</v>
      </c>
      <c r="D25" s="68"/>
      <c r="E25" s="68"/>
      <c r="F25" s="68"/>
      <c r="G25" s="67"/>
      <c r="H25" s="67"/>
      <c r="I25" s="67"/>
      <c r="J25" s="67"/>
      <c r="K25" s="67"/>
      <c r="L25" s="67"/>
      <c r="M25" s="67"/>
    </row>
    <row r="26" spans="1:13" s="4" customFormat="1" x14ac:dyDescent="0.25">
      <c r="A26" s="68"/>
      <c r="B26" s="68"/>
      <c r="C26" s="63" t="s">
        <v>246</v>
      </c>
      <c r="D26" s="68"/>
      <c r="E26" s="68"/>
      <c r="F26" s="68"/>
      <c r="G26" s="67"/>
      <c r="H26" s="67"/>
      <c r="I26" s="67"/>
      <c r="J26" s="67"/>
      <c r="K26" s="67"/>
      <c r="L26" s="67"/>
      <c r="M26" s="67"/>
    </row>
    <row r="27" spans="1:13" s="4" customFormat="1" x14ac:dyDescent="0.25">
      <c r="A27" s="68"/>
      <c r="B27" s="68"/>
      <c r="C27" s="68" t="s">
        <v>51</v>
      </c>
      <c r="D27" s="68"/>
      <c r="E27" s="68"/>
      <c r="F27" s="68"/>
      <c r="G27" s="67"/>
      <c r="H27" s="67"/>
      <c r="I27" s="67"/>
      <c r="J27" s="67"/>
      <c r="K27" s="67"/>
      <c r="L27" s="67"/>
      <c r="M27" s="67"/>
    </row>
    <row r="31" spans="1:13" ht="29.25" customHeight="1" x14ac:dyDescent="0.2">
      <c r="A31" s="235" t="s">
        <v>249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2.75" x14ac:dyDescent="0.2">
      <c r="A32" s="236" t="s">
        <v>250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</row>
  </sheetData>
  <mergeCells count="14">
    <mergeCell ref="A31:M31"/>
    <mergeCell ref="A32:M32"/>
    <mergeCell ref="I6:J6"/>
    <mergeCell ref="K6:L6"/>
    <mergeCell ref="M6:M7"/>
    <mergeCell ref="C3:F3"/>
    <mergeCell ref="A4:L4"/>
    <mergeCell ref="C5:G5"/>
    <mergeCell ref="A6:A7"/>
    <mergeCell ref="B6:B7"/>
    <mergeCell ref="C6:C7"/>
    <mergeCell ref="D6:D7"/>
    <mergeCell ref="E6:F6"/>
    <mergeCell ref="G6:H6"/>
  </mergeCells>
  <conditionalFormatting sqref="H13:H18 A14:G19 I14:L15 N14:IK15 A8:HY8 A9:B11 D9:IK11 C10:C11 M12:M15 I16:IK19 M20:M22">
    <cfRule type="cellIs" dxfId="2" priority="1" stopIfTrue="1" operator="equal">
      <formula>8223.307275</formula>
    </cfRule>
  </conditionalFormatting>
  <pageMargins left="0.11811023622047245" right="0.11811023622047245" top="0.6692913385826772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zoomScaleNormal="100" zoomScaleSheetLayoutView="100" workbookViewId="0">
      <selection activeCell="N1" sqref="N1"/>
    </sheetView>
  </sheetViews>
  <sheetFormatPr defaultRowHeight="13.5" x14ac:dyDescent="0.25"/>
  <cols>
    <col min="1" max="1" width="3" customWidth="1"/>
    <col min="2" max="2" width="6.85546875" customWidth="1"/>
    <col min="3" max="3" width="30.42578125" style="2" customWidth="1"/>
    <col min="4" max="4" width="7.85546875" customWidth="1"/>
    <col min="5" max="5" width="9.85546875" bestFit="1" customWidth="1"/>
    <col min="6" max="6" width="9.28515625" bestFit="1" customWidth="1"/>
    <col min="7" max="7" width="9.42578125" bestFit="1" customWidth="1"/>
    <col min="8" max="8" width="9.28515625" bestFit="1" customWidth="1"/>
    <col min="9" max="9" width="7.85546875" customWidth="1"/>
    <col min="10" max="10" width="9.85546875" bestFit="1" customWidth="1"/>
    <col min="11" max="11" width="8.140625" customWidth="1"/>
    <col min="12" max="12" width="9.42578125" bestFit="1" customWidth="1"/>
    <col min="13" max="13" width="11.140625" bestFit="1" customWidth="1"/>
  </cols>
  <sheetData>
    <row r="1" spans="1:256" ht="15.75" x14ac:dyDescent="0.25">
      <c r="A1" s="75" t="s">
        <v>0</v>
      </c>
    </row>
    <row r="2" spans="1:256" ht="15.75" x14ac:dyDescent="0.25">
      <c r="A2" s="75" t="s">
        <v>1</v>
      </c>
    </row>
    <row r="3" spans="1:256" s="27" customFormat="1" ht="15.75" x14ac:dyDescent="0.2">
      <c r="A3" s="210" t="s">
        <v>199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256" s="27" customFormat="1" ht="15" x14ac:dyDescent="0.2">
      <c r="A4" s="26"/>
      <c r="C4" s="216"/>
      <c r="D4" s="216"/>
      <c r="E4" s="216"/>
      <c r="F4" s="216"/>
      <c r="G4" s="28"/>
      <c r="H4" s="28"/>
      <c r="I4" s="28"/>
      <c r="J4" s="28"/>
      <c r="K4" s="28"/>
      <c r="L4" s="29"/>
    </row>
    <row r="5" spans="1:256" s="27" customFormat="1" ht="26.25" customHeight="1" x14ac:dyDescent="0.2">
      <c r="A5" s="217" t="s">
        <v>200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195"/>
    </row>
    <row r="6" spans="1:256" s="35" customFormat="1" x14ac:dyDescent="0.2">
      <c r="A6" s="208" t="s">
        <v>2</v>
      </c>
      <c r="B6" s="212" t="s">
        <v>35</v>
      </c>
      <c r="C6" s="208" t="s">
        <v>36</v>
      </c>
      <c r="D6" s="208" t="s">
        <v>37</v>
      </c>
      <c r="E6" s="214" t="s">
        <v>38</v>
      </c>
      <c r="F6" s="215"/>
      <c r="G6" s="208" t="s">
        <v>39</v>
      </c>
      <c r="H6" s="208"/>
      <c r="I6" s="208" t="s">
        <v>40</v>
      </c>
      <c r="J6" s="208"/>
      <c r="K6" s="208" t="s">
        <v>41</v>
      </c>
      <c r="L6" s="208"/>
      <c r="M6" s="209" t="s">
        <v>42</v>
      </c>
    </row>
    <row r="7" spans="1:256" s="35" customFormat="1" ht="27" x14ac:dyDescent="0.2">
      <c r="A7" s="208"/>
      <c r="B7" s="213"/>
      <c r="C7" s="208"/>
      <c r="D7" s="208"/>
      <c r="E7" s="19" t="s">
        <v>43</v>
      </c>
      <c r="F7" s="19" t="s">
        <v>32</v>
      </c>
      <c r="G7" s="19" t="s">
        <v>44</v>
      </c>
      <c r="H7" s="36" t="s">
        <v>42</v>
      </c>
      <c r="I7" s="37" t="s">
        <v>44</v>
      </c>
      <c r="J7" s="19" t="s">
        <v>42</v>
      </c>
      <c r="K7" s="19" t="s">
        <v>44</v>
      </c>
      <c r="L7" s="38" t="s">
        <v>42</v>
      </c>
      <c r="M7" s="209"/>
    </row>
    <row r="8" spans="1:256" s="35" customFormat="1" x14ac:dyDescent="0.2">
      <c r="A8" s="139">
        <v>1</v>
      </c>
      <c r="B8" s="140">
        <v>2</v>
      </c>
      <c r="C8" s="139">
        <v>3</v>
      </c>
      <c r="D8" s="140">
        <v>4</v>
      </c>
      <c r="E8" s="139">
        <v>5</v>
      </c>
      <c r="F8" s="140">
        <v>6</v>
      </c>
      <c r="G8" s="141">
        <v>7</v>
      </c>
      <c r="H8" s="140">
        <v>8</v>
      </c>
      <c r="I8" s="139">
        <v>9</v>
      </c>
      <c r="J8" s="140">
        <v>10</v>
      </c>
      <c r="K8" s="139">
        <v>11</v>
      </c>
      <c r="L8" s="141">
        <v>12</v>
      </c>
      <c r="M8" s="140" t="s">
        <v>45</v>
      </c>
    </row>
    <row r="9" spans="1:256" ht="175.5" x14ac:dyDescent="0.25">
      <c r="A9" s="21" t="s">
        <v>201</v>
      </c>
      <c r="B9" s="40"/>
      <c r="C9" s="158" t="s">
        <v>202</v>
      </c>
      <c r="D9" s="21" t="s">
        <v>203</v>
      </c>
      <c r="E9" s="77"/>
      <c r="F9" s="145">
        <v>0.443</v>
      </c>
      <c r="G9" s="10"/>
      <c r="H9" s="10"/>
      <c r="I9" s="223"/>
      <c r="J9" s="223"/>
      <c r="K9" s="223"/>
      <c r="L9" s="223"/>
      <c r="M9" s="13"/>
    </row>
    <row r="10" spans="1:256" s="101" customFormat="1" x14ac:dyDescent="0.2">
      <c r="A10" s="97"/>
      <c r="B10" s="98"/>
      <c r="C10" s="99" t="s">
        <v>47</v>
      </c>
      <c r="D10" s="97" t="s">
        <v>48</v>
      </c>
      <c r="E10" s="97">
        <v>3.25</v>
      </c>
      <c r="F10" s="97">
        <f>F9*E10</f>
        <v>1.4397500000000001</v>
      </c>
      <c r="G10" s="219"/>
      <c r="H10" s="219"/>
      <c r="I10" s="218"/>
      <c r="J10" s="218"/>
      <c r="K10" s="218"/>
      <c r="L10" s="219"/>
      <c r="M10" s="218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s="101" customFormat="1" x14ac:dyDescent="0.2">
      <c r="A11" s="97"/>
      <c r="B11" s="98"/>
      <c r="C11" s="99" t="s">
        <v>204</v>
      </c>
      <c r="D11" s="97" t="s">
        <v>58</v>
      </c>
      <c r="E11" s="97">
        <v>0.88</v>
      </c>
      <c r="F11" s="97">
        <f>E11*F9</f>
        <v>0.38984000000000002</v>
      </c>
      <c r="G11" s="218"/>
      <c r="H11" s="218"/>
      <c r="I11" s="218"/>
      <c r="J11" s="218"/>
      <c r="K11" s="218"/>
      <c r="L11" s="218"/>
      <c r="M11" s="218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101" customFormat="1" x14ac:dyDescent="0.2">
      <c r="A12" s="97"/>
      <c r="B12" s="98"/>
      <c r="C12" s="99" t="s">
        <v>59</v>
      </c>
      <c r="D12" s="97" t="s">
        <v>60</v>
      </c>
      <c r="E12" s="97">
        <v>3.52</v>
      </c>
      <c r="F12" s="97">
        <f>E12*F9</f>
        <v>1.5593600000000001</v>
      </c>
      <c r="G12" s="218"/>
      <c r="H12" s="218"/>
      <c r="I12" s="218"/>
      <c r="J12" s="218"/>
      <c r="K12" s="218"/>
      <c r="L12" s="218"/>
      <c r="M12" s="218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101" customFormat="1" x14ac:dyDescent="0.2">
      <c r="A13" s="97"/>
      <c r="B13" s="98"/>
      <c r="C13" s="99" t="s">
        <v>205</v>
      </c>
      <c r="D13" s="97" t="s">
        <v>92</v>
      </c>
      <c r="E13" s="97">
        <v>42</v>
      </c>
      <c r="F13" s="97">
        <f>E13*F9</f>
        <v>18.606000000000002</v>
      </c>
      <c r="G13" s="218"/>
      <c r="H13" s="10"/>
      <c r="I13" s="218"/>
      <c r="J13" s="218"/>
      <c r="K13" s="218"/>
      <c r="L13" s="218"/>
      <c r="M13" s="218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4" customFormat="1" x14ac:dyDescent="0.25">
      <c r="A14" s="68"/>
      <c r="B14" s="68"/>
      <c r="C14" s="46" t="s">
        <v>42</v>
      </c>
      <c r="D14" s="68"/>
      <c r="E14" s="68"/>
      <c r="F14" s="68"/>
      <c r="G14" s="67"/>
      <c r="H14" s="67"/>
      <c r="I14" s="67"/>
      <c r="J14" s="67"/>
      <c r="K14" s="67"/>
      <c r="L14" s="67"/>
      <c r="M14" s="67"/>
    </row>
    <row r="15" spans="1:256" s="4" customFormat="1" x14ac:dyDescent="0.25">
      <c r="A15" s="68"/>
      <c r="B15" s="68"/>
      <c r="C15" s="63" t="s">
        <v>245</v>
      </c>
      <c r="D15" s="68"/>
      <c r="E15" s="68"/>
      <c r="F15" s="68"/>
      <c r="G15" s="67"/>
      <c r="H15" s="67"/>
      <c r="I15" s="67"/>
      <c r="J15" s="67"/>
      <c r="K15" s="67"/>
      <c r="L15" s="67"/>
      <c r="M15" s="67"/>
    </row>
    <row r="16" spans="1:256" s="4" customFormat="1" x14ac:dyDescent="0.25">
      <c r="A16" s="68"/>
      <c r="B16" s="68"/>
      <c r="C16" s="63" t="s">
        <v>52</v>
      </c>
      <c r="D16" s="68"/>
      <c r="E16" s="68"/>
      <c r="F16" s="68"/>
      <c r="G16" s="67"/>
      <c r="H16" s="67"/>
      <c r="I16" s="67"/>
      <c r="J16" s="67"/>
      <c r="K16" s="67"/>
      <c r="L16" s="67"/>
      <c r="M16" s="67"/>
    </row>
    <row r="17" spans="1:13" s="4" customFormat="1" x14ac:dyDescent="0.25">
      <c r="A17" s="68"/>
      <c r="B17" s="68"/>
      <c r="C17" s="63" t="s">
        <v>246</v>
      </c>
      <c r="D17" s="68"/>
      <c r="E17" s="68"/>
      <c r="F17" s="68"/>
      <c r="G17" s="67"/>
      <c r="H17" s="67"/>
      <c r="I17" s="67"/>
      <c r="J17" s="67"/>
      <c r="K17" s="67"/>
      <c r="L17" s="67"/>
      <c r="M17" s="67"/>
    </row>
    <row r="18" spans="1:13" s="4" customFormat="1" x14ac:dyDescent="0.25">
      <c r="A18" s="68"/>
      <c r="B18" s="68"/>
      <c r="C18" s="68" t="s">
        <v>51</v>
      </c>
      <c r="D18" s="68"/>
      <c r="E18" s="68"/>
      <c r="F18" s="68"/>
      <c r="G18" s="67"/>
      <c r="H18" s="67"/>
      <c r="I18" s="67"/>
      <c r="J18" s="67"/>
      <c r="K18" s="67"/>
      <c r="L18" s="67"/>
      <c r="M18" s="67"/>
    </row>
    <row r="21" spans="1:13" ht="27" customHeight="1" x14ac:dyDescent="0.2">
      <c r="A21" s="235" t="s">
        <v>249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1:13" ht="12.75" x14ac:dyDescent="0.2">
      <c r="A22" s="236" t="s">
        <v>250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</sheetData>
  <mergeCells count="14">
    <mergeCell ref="A21:M21"/>
    <mergeCell ref="A22:M22"/>
    <mergeCell ref="G6:H6"/>
    <mergeCell ref="I6:J6"/>
    <mergeCell ref="K6:L6"/>
    <mergeCell ref="M6:M7"/>
    <mergeCell ref="A3:L3"/>
    <mergeCell ref="C4:F4"/>
    <mergeCell ref="A5:K5"/>
    <mergeCell ref="A6:A7"/>
    <mergeCell ref="B6:B7"/>
    <mergeCell ref="C6:C7"/>
    <mergeCell ref="D6:D7"/>
    <mergeCell ref="E6:F6"/>
  </mergeCells>
  <conditionalFormatting sqref="A9:B13 D9:IJ13">
    <cfRule type="cellIs" dxfId="1" priority="2" stopIfTrue="1" operator="equal">
      <formula>8223.307275</formula>
    </cfRule>
  </conditionalFormatting>
  <conditionalFormatting sqref="A10:IT13">
    <cfRule type="cellIs" dxfId="0" priority="1" stopIfTrue="1" operator="equal">
      <formula>8223.307275</formula>
    </cfRule>
  </conditionalFormatting>
  <pageMargins left="0.11811023622047245" right="0.11811023622047245" top="0.6692913385826772" bottom="0.27559055118110237" header="0.31496062992125984" footer="0.11811023622047245"/>
  <pageSetup paperSize="9" scale="110" orientation="landscape" cellComments="asDisplayed" verticalDpi="12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krebs</vt:lpstr>
      <vt:lpstr>1-3 (2)</vt:lpstr>
      <vt:lpstr>2-1 (2)</vt:lpstr>
      <vt:lpstr>3-1</vt:lpstr>
      <vt:lpstr>4-1 (2)</vt:lpstr>
      <vt:lpstr>5-1 (2)</vt:lpstr>
      <vt:lpstr>5-2 (2)</vt:lpstr>
      <vt:lpstr>5-3 (2)</vt:lpstr>
      <vt:lpstr>5-4 (2)</vt:lpstr>
      <vt:lpstr>'3-1'!Print_Area</vt:lpstr>
      <vt:lpstr>'5-2 (2)'!Print_Area</vt:lpstr>
      <vt:lpstr>krebs!Print_Area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Konstantine Tskhadaia</cp:lastModifiedBy>
  <cp:revision/>
  <cp:lastPrinted>2016-11-27T11:52:07Z</cp:lastPrinted>
  <dcterms:created xsi:type="dcterms:W3CDTF">2006-10-26T07:00:50Z</dcterms:created>
  <dcterms:modified xsi:type="dcterms:W3CDTF">2018-08-21T06:48:56Z</dcterms:modified>
</cp:coreProperties>
</file>