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3125" windowHeight="9300" tabRatio="866" activeTab="1"/>
  </bookViews>
  <sheets>
    <sheet name="ობიექტური" sheetId="42" r:id="rId1"/>
    <sheet name="შიდა ქსელი" sheetId="89" r:id="rId2"/>
  </sheets>
  <externalReferences>
    <externalReference r:id="rId3"/>
  </externalReferences>
  <definedNames>
    <definedName name="_xlnm._FilterDatabase" localSheetId="0" hidden="1">ობიექტური!$A$4:$M$8</definedName>
    <definedName name="_xlnm._FilterDatabase" localSheetId="1" hidden="1">'შიდა ქსელი'!#REF!</definedName>
    <definedName name="_xlnm.Print_Area" localSheetId="0">ობიექტური!$A$1:$I$16</definedName>
    <definedName name="_xlnm.Print_Area" localSheetId="1">'შიდა ქსელი'!$A$1:$M$399</definedName>
    <definedName name="_xlnm.Print_Titles" localSheetId="0">ობიექტური!$5:$5</definedName>
    <definedName name="_xlnm.Print_Titles" localSheetId="1">'შიდა ქსელი'!$5:$7</definedName>
  </definedNames>
  <calcPr calcId="124519" calcMode="manual"/>
</workbook>
</file>

<file path=xl/calcChain.xml><?xml version="1.0" encoding="utf-8"?>
<calcChain xmlns="http://schemas.openxmlformats.org/spreadsheetml/2006/main">
  <c r="H378" i="89"/>
  <c r="J39"/>
  <c r="M39" s="1"/>
  <c r="J10"/>
  <c r="M10" s="1"/>
  <c r="F221"/>
  <c r="F219"/>
  <c r="H219"/>
  <c r="M219" s="1"/>
  <c r="F218"/>
  <c r="F220"/>
  <c r="F303"/>
  <c r="H303" s="1"/>
  <c r="M303" s="1"/>
  <c r="F305"/>
  <c r="J305"/>
  <c r="F306"/>
  <c r="L306" s="1"/>
  <c r="M306" s="1"/>
  <c r="F309"/>
  <c r="H309" s="1"/>
  <c r="M309" s="1"/>
  <c r="F302"/>
  <c r="H302"/>
  <c r="M302" s="1"/>
  <c r="F289"/>
  <c r="H289"/>
  <c r="M289" s="1"/>
  <c r="F280"/>
  <c r="H280" s="1"/>
  <c r="F73"/>
  <c r="H73"/>
  <c r="M35"/>
  <c r="M26"/>
  <c r="E268"/>
  <c r="E267"/>
  <c r="E266"/>
  <c r="F266" s="1"/>
  <c r="J266" s="1"/>
  <c r="M266" s="1"/>
  <c r="E261"/>
  <c r="E260"/>
  <c r="F253"/>
  <c r="F257" s="1"/>
  <c r="H257" s="1"/>
  <c r="M257" s="1"/>
  <c r="E240"/>
  <c r="F240" s="1"/>
  <c r="H240" s="1"/>
  <c r="M240" s="1"/>
  <c r="E239"/>
  <c r="F239" s="1"/>
  <c r="H239" s="1"/>
  <c r="M239" s="1"/>
  <c r="E234"/>
  <c r="E233"/>
  <c r="F233" s="1"/>
  <c r="J233" s="1"/>
  <c r="F43"/>
  <c r="H43" s="1"/>
  <c r="M43" s="1"/>
  <c r="F40"/>
  <c r="L40" s="1"/>
  <c r="M40" s="1"/>
  <c r="F39"/>
  <c r="H388"/>
  <c r="M388" s="1"/>
  <c r="H387"/>
  <c r="M387" s="1"/>
  <c r="H386"/>
  <c r="M386" s="1"/>
  <c r="H385"/>
  <c r="M385"/>
  <c r="H384"/>
  <c r="M384" s="1"/>
  <c r="H383"/>
  <c r="M383"/>
  <c r="H382"/>
  <c r="M382" s="1"/>
  <c r="H381"/>
  <c r="M381" s="1"/>
  <c r="H380"/>
  <c r="M380" s="1"/>
  <c r="H379"/>
  <c r="M379" s="1"/>
  <c r="M378"/>
  <c r="H377"/>
  <c r="M377" s="1"/>
  <c r="H376"/>
  <c r="M376" s="1"/>
  <c r="H375"/>
  <c r="M375" s="1"/>
  <c r="H374"/>
  <c r="M374"/>
  <c r="H373"/>
  <c r="M373" s="1"/>
  <c r="H372"/>
  <c r="M372"/>
  <c r="H371"/>
  <c r="M371" s="1"/>
  <c r="H370"/>
  <c r="M370" s="1"/>
  <c r="H369"/>
  <c r="M369" s="1"/>
  <c r="H368"/>
  <c r="M368" s="1"/>
  <c r="H367"/>
  <c r="M367" s="1"/>
  <c r="H366"/>
  <c r="M366"/>
  <c r="H365"/>
  <c r="M365" s="1"/>
  <c r="H364"/>
  <c r="M364"/>
  <c r="H363"/>
  <c r="M363" s="1"/>
  <c r="H362"/>
  <c r="M362" s="1"/>
  <c r="F357"/>
  <c r="H357" s="1"/>
  <c r="M357" s="1"/>
  <c r="F356"/>
  <c r="H356" s="1"/>
  <c r="M356" s="1"/>
  <c r="F354"/>
  <c r="L354" s="1"/>
  <c r="M354" s="1"/>
  <c r="F353"/>
  <c r="J353"/>
  <c r="M353" s="1"/>
  <c r="F351"/>
  <c r="H351" s="1"/>
  <c r="M351" s="1"/>
  <c r="F350"/>
  <c r="H350" s="1"/>
  <c r="M350" s="1"/>
  <c r="F348"/>
  <c r="L348" s="1"/>
  <c r="M348" s="1"/>
  <c r="F347"/>
  <c r="J347"/>
  <c r="M347"/>
  <c r="F345"/>
  <c r="H345" s="1"/>
  <c r="M345" s="1"/>
  <c r="F344"/>
  <c r="H344" s="1"/>
  <c r="M344" s="1"/>
  <c r="F342"/>
  <c r="L342"/>
  <c r="M342" s="1"/>
  <c r="F341"/>
  <c r="J341" s="1"/>
  <c r="M341" s="1"/>
  <c r="F339"/>
  <c r="H339" s="1"/>
  <c r="M339" s="1"/>
  <c r="F338"/>
  <c r="H338" s="1"/>
  <c r="M338" s="1"/>
  <c r="F336"/>
  <c r="L336"/>
  <c r="M336" s="1"/>
  <c r="F335"/>
  <c r="J335" s="1"/>
  <c r="M335" s="1"/>
  <c r="F333"/>
  <c r="H333" s="1"/>
  <c r="M333" s="1"/>
  <c r="F332"/>
  <c r="H332" s="1"/>
  <c r="M332" s="1"/>
  <c r="F330"/>
  <c r="L330" s="1"/>
  <c r="M330" s="1"/>
  <c r="F329"/>
  <c r="J329"/>
  <c r="M329" s="1"/>
  <c r="F327"/>
  <c r="H327" s="1"/>
  <c r="M327" s="1"/>
  <c r="F326"/>
  <c r="H326" s="1"/>
  <c r="M326" s="1"/>
  <c r="F324"/>
  <c r="L324" s="1"/>
  <c r="M324" s="1"/>
  <c r="F323"/>
  <c r="J323"/>
  <c r="M323"/>
  <c r="F321"/>
  <c r="H321" s="1"/>
  <c r="M321" s="1"/>
  <c r="F320"/>
  <c r="H320" s="1"/>
  <c r="M320" s="1"/>
  <c r="F318"/>
  <c r="L318"/>
  <c r="M318" s="1"/>
  <c r="F317"/>
  <c r="J317" s="1"/>
  <c r="M317" s="1"/>
  <c r="F314"/>
  <c r="H314" s="1"/>
  <c r="M314" s="1"/>
  <c r="F312"/>
  <c r="L312" s="1"/>
  <c r="M312" s="1"/>
  <c r="F311"/>
  <c r="J311"/>
  <c r="M311" s="1"/>
  <c r="E301"/>
  <c r="F301" s="1"/>
  <c r="L301" s="1"/>
  <c r="M301" s="1"/>
  <c r="E300"/>
  <c r="F300" s="1"/>
  <c r="J300" s="1"/>
  <c r="M300" s="1"/>
  <c r="E297"/>
  <c r="F297" s="1"/>
  <c r="H297" s="1"/>
  <c r="M297" s="1"/>
  <c r="E296"/>
  <c r="F296" s="1"/>
  <c r="H296" s="1"/>
  <c r="M296" s="1"/>
  <c r="H295"/>
  <c r="M295" s="1"/>
  <c r="H294"/>
  <c r="M294"/>
  <c r="H293"/>
  <c r="M293" s="1"/>
  <c r="E292"/>
  <c r="F292"/>
  <c r="L292"/>
  <c r="M292" s="1"/>
  <c r="E291"/>
  <c r="F291" s="1"/>
  <c r="J291" s="1"/>
  <c r="M291" s="1"/>
  <c r="E288"/>
  <c r="F288" s="1"/>
  <c r="H288" s="1"/>
  <c r="M288" s="1"/>
  <c r="E287"/>
  <c r="F287"/>
  <c r="H287" s="1"/>
  <c r="M287" s="1"/>
  <c r="H286"/>
  <c r="M286"/>
  <c r="H285"/>
  <c r="M285" s="1"/>
  <c r="H284"/>
  <c r="M284" s="1"/>
  <c r="E283"/>
  <c r="F283" s="1"/>
  <c r="L283" s="1"/>
  <c r="E282"/>
  <c r="F282" s="1"/>
  <c r="J282" s="1"/>
  <c r="M282" s="1"/>
  <c r="M281"/>
  <c r="E279"/>
  <c r="F279"/>
  <c r="J279" s="1"/>
  <c r="M279" s="1"/>
  <c r="E277"/>
  <c r="F277" s="1"/>
  <c r="J277" s="1"/>
  <c r="M277" s="1"/>
  <c r="F275"/>
  <c r="H275"/>
  <c r="M275" s="1"/>
  <c r="F274"/>
  <c r="L274" s="1"/>
  <c r="M274" s="1"/>
  <c r="F273"/>
  <c r="J273" s="1"/>
  <c r="E229"/>
  <c r="E226"/>
  <c r="F224"/>
  <c r="F225" s="1"/>
  <c r="J225" s="1"/>
  <c r="M225" s="1"/>
  <c r="F223"/>
  <c r="H223" s="1"/>
  <c r="M223" s="1"/>
  <c r="F222"/>
  <c r="H222"/>
  <c r="M222" s="1"/>
  <c r="H213"/>
  <c r="M213" s="1"/>
  <c r="H212"/>
  <c r="M212" s="1"/>
  <c r="H211"/>
  <c r="M211" s="1"/>
  <c r="H210"/>
  <c r="M210" s="1"/>
  <c r="H209"/>
  <c r="M209"/>
  <c r="H208"/>
  <c r="M208" s="1"/>
  <c r="H207"/>
  <c r="M207"/>
  <c r="H206"/>
  <c r="M206" s="1"/>
  <c r="H205"/>
  <c r="M205" s="1"/>
  <c r="H204"/>
  <c r="M204" s="1"/>
  <c r="H203"/>
  <c r="M203" s="1"/>
  <c r="H202"/>
  <c r="M202" s="1"/>
  <c r="E197"/>
  <c r="F174"/>
  <c r="F197" s="1"/>
  <c r="H197" s="1"/>
  <c r="M197" s="1"/>
  <c r="H196"/>
  <c r="M196"/>
  <c r="H195"/>
  <c r="M195" s="1"/>
  <c r="H194"/>
  <c r="M194" s="1"/>
  <c r="H193"/>
  <c r="M193" s="1"/>
  <c r="H192"/>
  <c r="M192" s="1"/>
  <c r="H191"/>
  <c r="M191" s="1"/>
  <c r="H190"/>
  <c r="M190"/>
  <c r="H189"/>
  <c r="M189" s="1"/>
  <c r="H188"/>
  <c r="M188"/>
  <c r="H187"/>
  <c r="M187" s="1"/>
  <c r="H186"/>
  <c r="M186" s="1"/>
  <c r="H185"/>
  <c r="M185" s="1"/>
  <c r="H184"/>
  <c r="M184" s="1"/>
  <c r="H183"/>
  <c r="M183" s="1"/>
  <c r="H182"/>
  <c r="M182"/>
  <c r="H181"/>
  <c r="M181" s="1"/>
  <c r="H180"/>
  <c r="M180"/>
  <c r="H179"/>
  <c r="M179" s="1"/>
  <c r="H178"/>
  <c r="M178" s="1"/>
  <c r="H177"/>
  <c r="M177" s="1"/>
  <c r="F151"/>
  <c r="F152" s="1"/>
  <c r="J152" s="1"/>
  <c r="M152" s="1"/>
  <c r="H172"/>
  <c r="M172" s="1"/>
  <c r="H171"/>
  <c r="M171" s="1"/>
  <c r="H170"/>
  <c r="M170" s="1"/>
  <c r="H169"/>
  <c r="M169" s="1"/>
  <c r="H168"/>
  <c r="M168"/>
  <c r="H167"/>
  <c r="M167" s="1"/>
  <c r="H166"/>
  <c r="M166"/>
  <c r="H165"/>
  <c r="M165" s="1"/>
  <c r="H164"/>
  <c r="M164" s="1"/>
  <c r="H163"/>
  <c r="M163" s="1"/>
  <c r="H162"/>
  <c r="M162" s="1"/>
  <c r="H161"/>
  <c r="M161" s="1"/>
  <c r="H160"/>
  <c r="M160"/>
  <c r="H159"/>
  <c r="M159" s="1"/>
  <c r="H158"/>
  <c r="M158"/>
  <c r="H157"/>
  <c r="M157" s="1"/>
  <c r="H156"/>
  <c r="M156" s="1"/>
  <c r="H155"/>
  <c r="M155" s="1"/>
  <c r="F143"/>
  <c r="H143" s="1"/>
  <c r="M143" s="1"/>
  <c r="F141"/>
  <c r="L141"/>
  <c r="M141"/>
  <c r="F140"/>
  <c r="J140" s="1"/>
  <c r="M140" s="1"/>
  <c r="F137"/>
  <c r="H137" s="1"/>
  <c r="M137" s="1"/>
  <c r="F135"/>
  <c r="L135"/>
  <c r="M135" s="1"/>
  <c r="F134"/>
  <c r="J134" s="1"/>
  <c r="M134" s="1"/>
  <c r="H131"/>
  <c r="M131" s="1"/>
  <c r="F131"/>
  <c r="F129"/>
  <c r="L129" s="1"/>
  <c r="M129" s="1"/>
  <c r="F128"/>
  <c r="J128"/>
  <c r="M128" s="1"/>
  <c r="F125"/>
  <c r="H125" s="1"/>
  <c r="M125" s="1"/>
  <c r="F123"/>
  <c r="L123" s="1"/>
  <c r="M123" s="1"/>
  <c r="F122"/>
  <c r="J122" s="1"/>
  <c r="M122" s="1"/>
  <c r="F119"/>
  <c r="H119" s="1"/>
  <c r="M119" s="1"/>
  <c r="F117"/>
  <c r="L117"/>
  <c r="M117"/>
  <c r="F116"/>
  <c r="J116" s="1"/>
  <c r="M116" s="1"/>
  <c r="E114"/>
  <c r="F114" s="1"/>
  <c r="H114" s="1"/>
  <c r="M114" s="1"/>
  <c r="F113"/>
  <c r="H113" s="1"/>
  <c r="M113" s="1"/>
  <c r="E111"/>
  <c r="F111" s="1"/>
  <c r="L111" s="1"/>
  <c r="M111" s="1"/>
  <c r="E110"/>
  <c r="F110" s="1"/>
  <c r="J110" s="1"/>
  <c r="M110" s="1"/>
  <c r="F108"/>
  <c r="H108" s="1"/>
  <c r="M108" s="1"/>
  <c r="F107"/>
  <c r="H107" s="1"/>
  <c r="M107" s="1"/>
  <c r="F105"/>
  <c r="L105" s="1"/>
  <c r="M105" s="1"/>
  <c r="F104"/>
  <c r="J104"/>
  <c r="M104"/>
  <c r="H101"/>
  <c r="M101" s="1"/>
  <c r="F101"/>
  <c r="F99"/>
  <c r="L99" s="1"/>
  <c r="M99" s="1"/>
  <c r="F98"/>
  <c r="J98" s="1"/>
  <c r="M98" s="1"/>
  <c r="E96"/>
  <c r="F96"/>
  <c r="H96"/>
  <c r="M96" s="1"/>
  <c r="F95"/>
  <c r="H95" s="1"/>
  <c r="M95" s="1"/>
  <c r="E93"/>
  <c r="F93" s="1"/>
  <c r="L93" s="1"/>
  <c r="M93" s="1"/>
  <c r="E92"/>
  <c r="F92" s="1"/>
  <c r="J92" s="1"/>
  <c r="M92" s="1"/>
  <c r="E90"/>
  <c r="F90" s="1"/>
  <c r="H90" s="1"/>
  <c r="H89"/>
  <c r="M89" s="1"/>
  <c r="F89"/>
  <c r="E87"/>
  <c r="F87"/>
  <c r="L87" s="1"/>
  <c r="M87" s="1"/>
  <c r="E86"/>
  <c r="F86" s="1"/>
  <c r="J86" s="1"/>
  <c r="F81"/>
  <c r="L81" s="1"/>
  <c r="M81" s="1"/>
  <c r="F78"/>
  <c r="J78" s="1"/>
  <c r="M78" s="1"/>
  <c r="F79"/>
  <c r="H79"/>
  <c r="M79"/>
  <c r="E68"/>
  <c r="F68" s="1"/>
  <c r="L68" s="1"/>
  <c r="M68" s="1"/>
  <c r="E67"/>
  <c r="F67" s="1"/>
  <c r="J67" s="1"/>
  <c r="M67" s="1"/>
  <c r="M73"/>
  <c r="E72"/>
  <c r="F72" s="1"/>
  <c r="L72" s="1"/>
  <c r="M72" s="1"/>
  <c r="E71"/>
  <c r="F71"/>
  <c r="L71" s="1"/>
  <c r="M71" s="1"/>
  <c r="E70"/>
  <c r="F70"/>
  <c r="J70"/>
  <c r="M70" s="1"/>
  <c r="F62"/>
  <c r="J62" s="1"/>
  <c r="M62" s="1"/>
  <c r="F63"/>
  <c r="L63" s="1"/>
  <c r="M63" s="1"/>
  <c r="F50"/>
  <c r="L50" s="1"/>
  <c r="M50" s="1"/>
  <c r="F49"/>
  <c r="L49"/>
  <c r="M49" s="1"/>
  <c r="F48"/>
  <c r="L48" s="1"/>
  <c r="M48" s="1"/>
  <c r="F47"/>
  <c r="L47" s="1"/>
  <c r="M47" s="1"/>
  <c r="F46"/>
  <c r="L46" s="1"/>
  <c r="M46" s="1"/>
  <c r="F45"/>
  <c r="J45" s="1"/>
  <c r="M45" s="1"/>
  <c r="F12"/>
  <c r="L12"/>
  <c r="M12" s="1"/>
  <c r="F11"/>
  <c r="L11" s="1"/>
  <c r="F76"/>
  <c r="H76"/>
  <c r="M76" s="1"/>
  <c r="F75"/>
  <c r="J75" s="1"/>
  <c r="M75" s="1"/>
  <c r="F250"/>
  <c r="H250" s="1"/>
  <c r="M250" s="1"/>
  <c r="F249"/>
  <c r="H249" s="1"/>
  <c r="M249" s="1"/>
  <c r="F248"/>
  <c r="H248"/>
  <c r="M248"/>
  <c r="F247"/>
  <c r="H247" s="1"/>
  <c r="M247" s="1"/>
  <c r="F246"/>
  <c r="F235"/>
  <c r="F234"/>
  <c r="L234" s="1"/>
  <c r="F265"/>
  <c r="F268" s="1"/>
  <c r="H268" s="1"/>
  <c r="M268" s="1"/>
  <c r="E263"/>
  <c r="F259"/>
  <c r="F260" s="1"/>
  <c r="J260" s="1"/>
  <c r="M260" s="1"/>
  <c r="E244"/>
  <c r="E243"/>
  <c r="F150"/>
  <c r="H150"/>
  <c r="M150" s="1"/>
  <c r="F149"/>
  <c r="H149" s="1"/>
  <c r="M149" s="1"/>
  <c r="F147"/>
  <c r="L147" s="1"/>
  <c r="M147" s="1"/>
  <c r="F146"/>
  <c r="J146" s="1"/>
  <c r="M146" s="1"/>
  <c r="F358"/>
  <c r="F315"/>
  <c r="J315" s="1"/>
  <c r="F53"/>
  <c r="H53" s="1"/>
  <c r="M53" s="1"/>
  <c r="F198"/>
  <c r="F200" s="1"/>
  <c r="L200" s="1"/>
  <c r="M200" s="1"/>
  <c r="F138"/>
  <c r="H138" s="1"/>
  <c r="M138" s="1"/>
  <c r="F82"/>
  <c r="L82"/>
  <c r="M82" s="1"/>
  <c r="L361"/>
  <c r="M361" s="1"/>
  <c r="J361"/>
  <c r="H361"/>
  <c r="A2"/>
  <c r="F10"/>
  <c r="F13"/>
  <c r="F15" s="1"/>
  <c r="L15" s="1"/>
  <c r="M15" s="1"/>
  <c r="E14"/>
  <c r="F14" s="1"/>
  <c r="J14" s="1"/>
  <c r="M14" s="1"/>
  <c r="E15"/>
  <c r="E16"/>
  <c r="E21"/>
  <c r="F21" s="1"/>
  <c r="J21" s="1"/>
  <c r="M21" s="1"/>
  <c r="F22"/>
  <c r="L22" s="1"/>
  <c r="M22" s="1"/>
  <c r="F23"/>
  <c r="L23"/>
  <c r="M23" s="1"/>
  <c r="F24"/>
  <c r="L24" s="1"/>
  <c r="M24" s="1"/>
  <c r="F25"/>
  <c r="L25" s="1"/>
  <c r="M25" s="1"/>
  <c r="E27"/>
  <c r="F27" s="1"/>
  <c r="H27" s="1"/>
  <c r="M27" s="1"/>
  <c r="F28"/>
  <c r="H28" s="1"/>
  <c r="M28" s="1"/>
  <c r="F30"/>
  <c r="J30" s="1"/>
  <c r="M30" s="1"/>
  <c r="F31"/>
  <c r="L31" s="1"/>
  <c r="M31" s="1"/>
  <c r="F32"/>
  <c r="L32" s="1"/>
  <c r="M32" s="1"/>
  <c r="F33"/>
  <c r="L33" s="1"/>
  <c r="M33" s="1"/>
  <c r="F34"/>
  <c r="L34" s="1"/>
  <c r="M34" s="1"/>
  <c r="F36"/>
  <c r="H36" s="1"/>
  <c r="M36" s="1"/>
  <c r="F37"/>
  <c r="H37" s="1"/>
  <c r="M37" s="1"/>
  <c r="J41"/>
  <c r="L41"/>
  <c r="F42"/>
  <c r="J42" s="1"/>
  <c r="F56"/>
  <c r="J56" s="1"/>
  <c r="M56" s="1"/>
  <c r="F57"/>
  <c r="L57" s="1"/>
  <c r="M57" s="1"/>
  <c r="F58"/>
  <c r="H58" s="1"/>
  <c r="M58" s="1"/>
  <c r="F60"/>
  <c r="J60" s="1"/>
  <c r="M60" s="1"/>
  <c r="F65"/>
  <c r="J65" s="1"/>
  <c r="M65" s="1"/>
  <c r="F102"/>
  <c r="H102"/>
  <c r="M102" s="1"/>
  <c r="F120"/>
  <c r="H120" s="1"/>
  <c r="M120" s="1"/>
  <c r="F126"/>
  <c r="H126" s="1"/>
  <c r="M126" s="1"/>
  <c r="F132"/>
  <c r="H132" s="1"/>
  <c r="M132" s="1"/>
  <c r="F144"/>
  <c r="H144"/>
  <c r="M144" s="1"/>
  <c r="E199"/>
  <c r="E200"/>
  <c r="F216"/>
  <c r="J216"/>
  <c r="M216" s="1"/>
  <c r="F217"/>
  <c r="L217" s="1"/>
  <c r="M217" s="1"/>
  <c r="H218"/>
  <c r="M218" s="1"/>
  <c r="H220"/>
  <c r="H221"/>
  <c r="M221" s="1"/>
  <c r="A4" i="42"/>
  <c r="F54" i="89"/>
  <c r="H54"/>
  <c r="M54" s="1"/>
  <c r="F51"/>
  <c r="L51" s="1"/>
  <c r="M51" s="1"/>
  <c r="F298"/>
  <c r="H298" s="1"/>
  <c r="M298" s="1"/>
  <c r="L197"/>
  <c r="F175"/>
  <c r="J175" s="1"/>
  <c r="M175" s="1"/>
  <c r="F236"/>
  <c r="J236" s="1"/>
  <c r="M236" s="1"/>
  <c r="H358"/>
  <c r="L42"/>
  <c r="H42"/>
  <c r="F308"/>
  <c r="H308" s="1"/>
  <c r="M308" s="1"/>
  <c r="F389"/>
  <c r="H389" s="1"/>
  <c r="M389" s="1"/>
  <c r="J358"/>
  <c r="L358"/>
  <c r="M358" s="1"/>
  <c r="F359"/>
  <c r="F360" s="1"/>
  <c r="F267"/>
  <c r="L267" s="1"/>
  <c r="M267" s="1"/>
  <c r="F255"/>
  <c r="L255" s="1"/>
  <c r="M255" s="1"/>
  <c r="M220"/>
  <c r="H359"/>
  <c r="M305"/>
  <c r="L315"/>
  <c r="F153"/>
  <c r="L153" s="1"/>
  <c r="M153" s="1"/>
  <c r="F238"/>
  <c r="H238" s="1"/>
  <c r="F237"/>
  <c r="L237" s="1"/>
  <c r="M237" s="1"/>
  <c r="F241"/>
  <c r="H241"/>
  <c r="M241" s="1"/>
  <c r="F264"/>
  <c r="H264" s="1"/>
  <c r="M264" s="1"/>
  <c r="H360" l="1"/>
  <c r="L360"/>
  <c r="L390" s="1"/>
  <c r="F176"/>
  <c r="L176" s="1"/>
  <c r="M176" s="1"/>
  <c r="L359"/>
  <c r="F173"/>
  <c r="H173" s="1"/>
  <c r="M173" s="1"/>
  <c r="J359"/>
  <c r="J390" s="1"/>
  <c r="F258"/>
  <c r="H258" s="1"/>
  <c r="M258" s="1"/>
  <c r="F228"/>
  <c r="H228" s="1"/>
  <c r="M228" s="1"/>
  <c r="F242"/>
  <c r="F252" s="1"/>
  <c r="H252" s="1"/>
  <c r="M252" s="1"/>
  <c r="F254"/>
  <c r="J254" s="1"/>
  <c r="M254" s="1"/>
  <c r="F261"/>
  <c r="L261" s="1"/>
  <c r="M261" s="1"/>
  <c r="F199"/>
  <c r="J199" s="1"/>
  <c r="M199" s="1"/>
  <c r="F263"/>
  <c r="H263" s="1"/>
  <c r="M263" s="1"/>
  <c r="M42"/>
  <c r="M283"/>
  <c r="M233"/>
  <c r="M234"/>
  <c r="M90"/>
  <c r="M280"/>
  <c r="M238"/>
  <c r="F251"/>
  <c r="H251" s="1"/>
  <c r="M251" s="1"/>
  <c r="M11"/>
  <c r="M86"/>
  <c r="J230"/>
  <c r="M273"/>
  <c r="J360"/>
  <c r="F16"/>
  <c r="L16" s="1"/>
  <c r="M16" s="1"/>
  <c r="F18"/>
  <c r="H18" s="1"/>
  <c r="F214"/>
  <c r="H214" s="1"/>
  <c r="M214" s="1"/>
  <c r="H246"/>
  <c r="F19"/>
  <c r="L19" s="1"/>
  <c r="M19" s="1"/>
  <c r="F226"/>
  <c r="L226" s="1"/>
  <c r="M226" s="1"/>
  <c r="F229"/>
  <c r="H229" s="1"/>
  <c r="M229" s="1"/>
  <c r="J83"/>
  <c r="H315"/>
  <c r="M315" s="1"/>
  <c r="F244" l="1"/>
  <c r="L244" s="1"/>
  <c r="L269" s="1"/>
  <c r="L270" s="1"/>
  <c r="F243"/>
  <c r="J243" s="1"/>
  <c r="M360"/>
  <c r="M359"/>
  <c r="M246"/>
  <c r="H392"/>
  <c r="J392"/>
  <c r="M243"/>
  <c r="M230"/>
  <c r="H269"/>
  <c r="H270" s="1"/>
  <c r="H390"/>
  <c r="L230"/>
  <c r="M390"/>
  <c r="H230"/>
  <c r="J269"/>
  <c r="J270" s="1"/>
  <c r="J391" s="1"/>
  <c r="M18"/>
  <c r="M83" s="1"/>
  <c r="H83"/>
  <c r="L83"/>
  <c r="L391" l="1"/>
  <c r="M244"/>
  <c r="L392"/>
  <c r="M392"/>
  <c r="E395" s="1"/>
  <c r="M395" s="1"/>
  <c r="H391"/>
  <c r="M391" s="1"/>
  <c r="M393" s="1"/>
  <c r="M269"/>
  <c r="M270" s="1"/>
  <c r="M396" l="1"/>
  <c r="E394"/>
  <c r="M394" s="1"/>
  <c r="M397" l="1"/>
  <c r="M398" s="1"/>
  <c r="D10" i="42" s="1"/>
  <c r="H10" s="1"/>
  <c r="H11" s="1"/>
  <c r="H12" l="1"/>
  <c r="H13" s="1"/>
  <c r="H14" s="1"/>
  <c r="H15" s="1"/>
</calcChain>
</file>

<file path=xl/sharedStrings.xml><?xml version="1.0" encoding="utf-8"?>
<sst xmlns="http://schemas.openxmlformats.org/spreadsheetml/2006/main" count="984" uniqueCount="371">
  <si>
    <t>lari</t>
  </si>
  <si>
    <t>#</t>
  </si>
  <si>
    <t>jami</t>
  </si>
  <si>
    <t>Sromis danaxarji</t>
  </si>
  <si>
    <t>kac/sT</t>
  </si>
  <si>
    <t>m3</t>
  </si>
  <si>
    <t>sxva masala</t>
  </si>
  <si>
    <t>m</t>
  </si>
  <si>
    <t>c</t>
  </si>
  <si>
    <t>Sedgenilia mimdinare fasebSi</t>
  </si>
  <si>
    <t xml:space="preserve"> N</t>
  </si>
  <si>
    <r>
      <t>xarjTaRricxvis</t>
    </r>
    <r>
      <rPr>
        <sz val="11"/>
        <rFont val="Academiuri Normaluri"/>
      </rPr>
      <t xml:space="preserve"> N</t>
    </r>
  </si>
  <si>
    <t xml:space="preserve"> xarjTaRricxvis dasaxeleba</t>
  </si>
  <si>
    <t xml:space="preserve">      saxarjTaRricxvo GRirebuleba (aTasi lari)</t>
  </si>
  <si>
    <t>xelfasi     aT. lari</t>
  </si>
  <si>
    <t>samSeneblo samuSaoebi</t>
  </si>
  <si>
    <t xml:space="preserve">samont. samuSaoebi </t>
  </si>
  <si>
    <t>mowyobiloba</t>
  </si>
  <si>
    <t>sxvadasxva xarjebi</t>
  </si>
  <si>
    <t>sul</t>
  </si>
  <si>
    <t>gauTvaliswinebeli xarjebi 3%</t>
  </si>
  <si>
    <t>d. R.Gg. - 18%</t>
  </si>
  <si>
    <t>manqanebi</t>
  </si>
  <si>
    <t>obieqturi xarjTaRricxva</t>
  </si>
  <si>
    <t xml:space="preserve">xarjTaRricxva </t>
  </si>
  <si>
    <t>sxva masalebi</t>
  </si>
  <si>
    <t>sxva manqanebi</t>
  </si>
  <si>
    <t>t</t>
  </si>
  <si>
    <t>22-23-1</t>
  </si>
  <si>
    <t>RorRi</t>
  </si>
  <si>
    <t>bitumis mastika</t>
  </si>
  <si>
    <t>sabazro</t>
  </si>
  <si>
    <t xml:space="preserve">samuSaos dasaxeleba </t>
  </si>
  <si>
    <t>ganz. erT.</t>
  </si>
  <si>
    <t>raode-noba</t>
  </si>
  <si>
    <t>masalebi</t>
  </si>
  <si>
    <t xml:space="preserve">   xelfasi (l)</t>
  </si>
  <si>
    <t>manq.meq-zmebi (l)</t>
  </si>
  <si>
    <t>erT.fasi</t>
  </si>
  <si>
    <t xml:space="preserve">  jami</t>
  </si>
  <si>
    <t>(lari)</t>
  </si>
  <si>
    <t>r e s u r s e b i</t>
  </si>
  <si>
    <t>danarCeni xarjebi</t>
  </si>
  <si>
    <t>m/sT</t>
  </si>
  <si>
    <t>resursebi</t>
  </si>
  <si>
    <t>Sromis danaxarjebi</t>
  </si>
  <si>
    <t>k/sT</t>
  </si>
  <si>
    <t xml:space="preserve">sxva manqana </t>
  </si>
  <si>
    <t xml:space="preserve">gegmiuri dagroveba </t>
  </si>
  <si>
    <t>magistraluri milsadeni</t>
  </si>
  <si>
    <t xml:space="preserve"> Sifri</t>
  </si>
  <si>
    <t xml:space="preserve">   sul</t>
  </si>
  <si>
    <t xml:space="preserve">zednadebi xarjebi </t>
  </si>
  <si>
    <t>SromiTi resursebi</t>
  </si>
  <si>
    <t xml:space="preserve">jami </t>
  </si>
  <si>
    <t>Sr. danaxarji</t>
  </si>
  <si>
    <t>g.m.</t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</si>
  <si>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</si>
  <si>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b/>
        <vertAlign val="superscript"/>
        <sz val="10"/>
        <rFont val="AcadNusx"/>
      </rPr>
      <t>2</t>
    </r>
  </si>
  <si>
    <t>Wis gare zedapiris hidroizolacia biTumis mastikiT 2 fena</t>
  </si>
  <si>
    <t>rk/b Wis Ziris</t>
  </si>
  <si>
    <t>r/betoni saxuravi fila Tujis xufiT</t>
  </si>
  <si>
    <t>rk/b Wa d=1000mm, h-1,5m rgoli</t>
  </si>
  <si>
    <t>man/sT</t>
  </si>
  <si>
    <t xml:space="preserve">eqskavatori CamCis moc. 0,5-m3, </t>
  </si>
  <si>
    <t>sxva manqana</t>
  </si>
  <si>
    <t>wyali</t>
  </si>
  <si>
    <t xml:space="preserve">1-22-15      </t>
  </si>
  <si>
    <t>eqskavatori 0.5m3</t>
  </si>
  <si>
    <t>zedmeti gruntis gatana saSualod 10-km-ze</t>
  </si>
  <si>
    <t>სხვა მასალები</t>
  </si>
  <si>
    <t>ლარი</t>
  </si>
  <si>
    <t xml:space="preserve">23-1-1          </t>
  </si>
  <si>
    <t>მ3</t>
  </si>
  <si>
    <t>arsebuli gruntiT tranSeis Sevseba buldozeriT  80cx.Z/. (datkepniT)</t>
  </si>
  <si>
    <t>ბულდოზერი 80ცხ.ძ</t>
  </si>
  <si>
    <t>მ/სთ</t>
  </si>
  <si>
    <t xml:space="preserve">22-8-3   </t>
  </si>
  <si>
    <t>polieTilenis fasonuri nawilebis montaJi d-32-125 mm</t>
  </si>
  <si>
    <t>cali</t>
  </si>
  <si>
    <t>IV kat. gruntis damuSaveba eqskavatoris kovSiT 0.5m3  adgilze dayriT</t>
  </si>
  <si>
    <t>III kat. gruntis damuSaveba eqskavatoris kovSiT 0.5m3  adgilze dayriT</t>
  </si>
  <si>
    <t>V kat. gruntis damuSaveba eqskavatoris kovSiT 0.5m3  adgilze dayriT</t>
  </si>
  <si>
    <t>avtogreideri 108 cxZ.</t>
  </si>
  <si>
    <t>sangrevi CaquCi</t>
  </si>
  <si>
    <t>satkepni manqana 5t</t>
  </si>
  <si>
    <t>satkepni manqana 10t</t>
  </si>
  <si>
    <t>balasti</t>
  </si>
  <si>
    <t>sarwyavi manqana 6000 l</t>
  </si>
  <si>
    <t>zedmeti gruntis datvirTva eqskavatoriT avtoTviTmclelze</t>
  </si>
  <si>
    <t>V kategoriis gruntis damuSaveba xeliT tranSeaSi</t>
  </si>
  <si>
    <t>IV gruntis damuSaveba xeliT meqanizmis Semdeg</t>
  </si>
  <si>
    <t>1-80-3</t>
  </si>
  <si>
    <t>III gruntis damuSaveba xeliT meqanizmis Semdeg</t>
  </si>
  <si>
    <t>sul jami</t>
  </si>
  <si>
    <t xml:space="preserve">RorRis fenilis mowyoba Wis ZirSi </t>
  </si>
  <si>
    <t>el.fuziuri quro d=110 mm</t>
  </si>
  <si>
    <t>el.fuziuri quro d=50 mm</t>
  </si>
  <si>
    <t>kompl</t>
  </si>
  <si>
    <t>Sida gamanawilebeli wselis reabilitacia</t>
  </si>
  <si>
    <t>asfaltobetonis safaris demontaJi</t>
  </si>
  <si>
    <t>27-9-4</t>
  </si>
  <si>
    <t>arsebuli asfaltobetonis namtvrevebis datvirTva eqskavatoriT 0.5m3</t>
  </si>
  <si>
    <t>asfaltobetonis namtvrevebis transportireba nagavsayrelSi saSvalod 10km-ze</t>
  </si>
  <si>
    <t>asfaltobetonis safaris mowyoba sisqiT 40 mm msxvilmarcvlovani</t>
  </si>
  <si>
    <t>asfalto betonis damgebi</t>
  </si>
  <si>
    <t>asfaltobetoni msxvilmarcvlovani</t>
  </si>
  <si>
    <t>asfaltobetonis safaris mowyoba sisqiT 30 mm wvrilmarcvlovani</t>
  </si>
  <si>
    <t>asfaltobetoni wvrilmarcvlovani</t>
  </si>
  <si>
    <t>tranSeis Sevseba balastiT datkepvniT meqanizmiT</t>
  </si>
  <si>
    <t>RorRis fenilis mowyoba 0,2 m. tranSeis Tavze asfaltis safarisTvis</t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</si>
  <si>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-90 mm-mde hidravlikuri SemowmebiT </t>
    </r>
    <r>
      <rPr>
        <b/>
        <sz val="10"/>
        <rFont val="Calibri"/>
        <family val="2"/>
      </rPr>
      <t>PN-10 SDR 17 PN100</t>
    </r>
  </si>
  <si>
    <r>
      <t xml:space="preserve">mili </t>
    </r>
    <r>
      <rPr>
        <sz val="10"/>
        <rFont val="Calibri"/>
        <family val="2"/>
      </rPr>
      <t xml:space="preserve">PN-10 SDR17 PE100 d=90 </t>
    </r>
    <r>
      <rPr>
        <sz val="10"/>
        <rFont val="AcadMtavr"/>
      </rPr>
      <t>mm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</si>
  <si>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-75 mm-mde hidravlikuri SemowmebiT </t>
    </r>
    <r>
      <rPr>
        <b/>
        <sz val="10"/>
        <rFont val="Calibri"/>
        <family val="2"/>
      </rPr>
      <t>PN-10 SDR 17 PN100</t>
    </r>
  </si>
  <si>
    <r>
      <t xml:space="preserve">mili </t>
    </r>
    <r>
      <rPr>
        <sz val="10"/>
        <rFont val="Calibri"/>
        <family val="2"/>
      </rPr>
      <t xml:space="preserve">PN10 SDR17 PE100 d=75 </t>
    </r>
    <r>
      <rPr>
        <sz val="10"/>
        <rFont val="AcadMtavr"/>
      </rPr>
      <t>mm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</si>
  <si>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-63 mm-mde hidravlikuri SemowmebiT </t>
    </r>
    <r>
      <rPr>
        <b/>
        <sz val="10"/>
        <rFont val="Calibri"/>
        <family val="2"/>
      </rPr>
      <t>PN-10 SDR 17 PN100</t>
    </r>
  </si>
  <si>
    <r>
      <t xml:space="preserve">mili </t>
    </r>
    <r>
      <rPr>
        <sz val="10"/>
        <rFont val="Calibri"/>
        <family val="2"/>
      </rPr>
      <t xml:space="preserve">PN10 SDR17 PE100 d=63 </t>
    </r>
    <r>
      <rPr>
        <sz val="10"/>
        <rFont val="AcadMtavr"/>
      </rPr>
      <t>mm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</si>
  <si>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-50 mm-mde hidravlikuri SemowmebiT </t>
    </r>
    <r>
      <rPr>
        <b/>
        <sz val="10"/>
        <rFont val="Calibri"/>
        <family val="2"/>
      </rPr>
      <t>PN-10 SDR 17 PN100</t>
    </r>
  </si>
  <si>
    <r>
      <t xml:space="preserve">mili </t>
    </r>
    <r>
      <rPr>
        <sz val="10"/>
        <rFont val="Calibri"/>
        <family val="2"/>
      </rPr>
      <t xml:space="preserve">PN10 SDR17 PE100 d=50 </t>
    </r>
    <r>
      <rPr>
        <sz val="10"/>
        <rFont val="AcadMtavr"/>
      </rPr>
      <t>mm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</si>
  <si>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-40 mm-mde hidravlikuri SemowmebiT </t>
    </r>
    <r>
      <rPr>
        <b/>
        <sz val="10"/>
        <rFont val="Calibri"/>
        <family val="2"/>
      </rPr>
      <t>PN-10 SDR 17 PN100</t>
    </r>
  </si>
  <si>
    <r>
      <t xml:space="preserve">mili </t>
    </r>
    <r>
      <rPr>
        <sz val="10"/>
        <rFont val="Calibri"/>
        <family val="2"/>
      </rPr>
      <t xml:space="preserve">PN10 SDR17 PE100 d=40 </t>
    </r>
    <r>
      <rPr>
        <sz val="10"/>
        <rFont val="AcadMtavr"/>
      </rPr>
      <t>mm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</si>
  <si>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-32 mm-mde hidravlikuri SemowmebiT </t>
    </r>
    <r>
      <rPr>
        <b/>
        <sz val="10"/>
        <rFont val="Calibri"/>
        <family val="2"/>
      </rPr>
      <t>PN-10 SDR 17 PN100</t>
    </r>
  </si>
  <si>
    <r>
      <t xml:space="preserve">mili </t>
    </r>
    <r>
      <rPr>
        <sz val="10"/>
        <rFont val="Calibri"/>
        <family val="2"/>
      </rPr>
      <t xml:space="preserve">PN10 SDR17 PE100 d=32 </t>
    </r>
    <r>
      <rPr>
        <sz val="10"/>
        <rFont val="AcadMtavr"/>
      </rPr>
      <t>mm</t>
    </r>
  </si>
  <si>
    <r>
      <t xml:space="preserve">samkapi </t>
    </r>
    <r>
      <rPr>
        <sz val="10"/>
        <rFont val="Arial"/>
        <family val="2"/>
      </rPr>
      <t>d=</t>
    </r>
    <r>
      <rPr>
        <sz val="10"/>
        <rFont val="AcadNusx"/>
      </rPr>
      <t>110X63X110 mm</t>
    </r>
  </si>
  <si>
    <r>
      <t xml:space="preserve">samkapi </t>
    </r>
    <r>
      <rPr>
        <sz val="10"/>
        <rFont val="Arial"/>
        <family val="2"/>
      </rPr>
      <t>d=</t>
    </r>
    <r>
      <rPr>
        <sz val="10"/>
        <rFont val="AcadNusx"/>
      </rPr>
      <t>110X40X110 mm</t>
    </r>
  </si>
  <si>
    <r>
      <t xml:space="preserve">samkapi </t>
    </r>
    <r>
      <rPr>
        <sz val="10"/>
        <rFont val="Arial"/>
        <family val="2"/>
      </rPr>
      <t>d=90X50X90</t>
    </r>
    <r>
      <rPr>
        <sz val="10"/>
        <rFont val="AcadNusx"/>
      </rPr>
      <t xml:space="preserve"> mm</t>
    </r>
  </si>
  <si>
    <r>
      <t xml:space="preserve">samkapi </t>
    </r>
    <r>
      <rPr>
        <sz val="10"/>
        <rFont val="Arial"/>
        <family val="2"/>
      </rPr>
      <t>d=90X40X90</t>
    </r>
    <r>
      <rPr>
        <sz val="10"/>
        <rFont val="AcadNusx"/>
      </rPr>
      <t xml:space="preserve"> mm</t>
    </r>
  </si>
  <si>
    <r>
      <t xml:space="preserve">samkapi </t>
    </r>
    <r>
      <rPr>
        <sz val="10"/>
        <rFont val="Arial"/>
        <family val="2"/>
      </rPr>
      <t>d=90X32X90</t>
    </r>
    <r>
      <rPr>
        <sz val="10"/>
        <rFont val="AcadNusx"/>
      </rPr>
      <t xml:space="preserve"> mm</t>
    </r>
  </si>
  <si>
    <r>
      <t xml:space="preserve">samkapi </t>
    </r>
    <r>
      <rPr>
        <sz val="10"/>
        <rFont val="Arial"/>
        <family val="2"/>
      </rPr>
      <t>d=75X75X75</t>
    </r>
    <r>
      <rPr>
        <sz val="10"/>
        <rFont val="AcadNusx"/>
      </rPr>
      <t>mm</t>
    </r>
  </si>
  <si>
    <r>
      <t xml:space="preserve">samkapi </t>
    </r>
    <r>
      <rPr>
        <sz val="10"/>
        <rFont val="Arial"/>
        <family val="2"/>
      </rPr>
      <t>d=75X40X75</t>
    </r>
    <r>
      <rPr>
        <sz val="10"/>
        <rFont val="AcadNusx"/>
      </rPr>
      <t>mm</t>
    </r>
  </si>
  <si>
    <r>
      <t xml:space="preserve">samkapi </t>
    </r>
    <r>
      <rPr>
        <sz val="10"/>
        <rFont val="Arial"/>
        <family val="2"/>
      </rPr>
      <t>d=75X32X75</t>
    </r>
    <r>
      <rPr>
        <sz val="10"/>
        <rFont val="AcadNusx"/>
      </rPr>
      <t>mm</t>
    </r>
  </si>
  <si>
    <r>
      <t xml:space="preserve">samkapi </t>
    </r>
    <r>
      <rPr>
        <sz val="10"/>
        <rFont val="Arial"/>
        <family val="2"/>
      </rPr>
      <t>d=63X40X63</t>
    </r>
    <r>
      <rPr>
        <sz val="10"/>
        <rFont val="AcadNusx"/>
      </rPr>
      <t xml:space="preserve"> mm</t>
    </r>
  </si>
  <si>
    <r>
      <t xml:space="preserve">samkapi </t>
    </r>
    <r>
      <rPr>
        <sz val="10"/>
        <rFont val="Arial"/>
        <family val="2"/>
      </rPr>
      <t>d=63X32X63</t>
    </r>
    <r>
      <rPr>
        <sz val="10"/>
        <rFont val="AcadNusx"/>
      </rPr>
      <t xml:space="preserve"> mm</t>
    </r>
  </si>
  <si>
    <r>
      <t xml:space="preserve">samkapi </t>
    </r>
    <r>
      <rPr>
        <sz val="10"/>
        <rFont val="Arial"/>
        <family val="2"/>
      </rPr>
      <t>d=50X32X50</t>
    </r>
    <r>
      <rPr>
        <sz val="10"/>
        <rFont val="AcadNusx"/>
      </rPr>
      <t xml:space="preserve"> mm</t>
    </r>
  </si>
  <si>
    <t>el. fuziuri quro d=110 mm</t>
  </si>
  <si>
    <t>el. fuziuri quro d=90 mm</t>
  </si>
  <si>
    <t>el. fuziuri quro d=75 mm</t>
  </si>
  <si>
    <t>el. fuziuri quro d=63 mm</t>
  </si>
  <si>
    <t>el. fuziuri quro d=50 mm</t>
  </si>
  <si>
    <t>el. fuziuri quro d=40 mm</t>
  </si>
  <si>
    <t>el. fuziuri quro d=32 mm</t>
  </si>
  <si>
    <t>el. fuziuri quro d=25 mm</t>
  </si>
  <si>
    <t>el. fuziuri quro d=20 mm</t>
  </si>
  <si>
    <t>polieTilenis uRel-unagiras montaJi d-32-110mm</t>
  </si>
  <si>
    <t>22-23-2</t>
  </si>
  <si>
    <t>wyalmzomi kvanZis mowyoba d-20</t>
  </si>
  <si>
    <t xml:space="preserve">16-19-1    miyenebiT    </t>
  </si>
  <si>
    <t>kvanZi</t>
  </si>
  <si>
    <t xml:space="preserve">Sr. danaxarjebi </t>
  </si>
  <si>
    <t xml:space="preserve">wyalmzomi </t>
  </si>
  <si>
    <t>komp.</t>
  </si>
  <si>
    <t>ukusarqveli</t>
  </si>
  <si>
    <t xml:space="preserve">cali </t>
  </si>
  <si>
    <t>ventili</t>
  </si>
  <si>
    <t xml:space="preserve">filtri </t>
  </si>
  <si>
    <t>gadamyvani</t>
  </si>
  <si>
    <t xml:space="preserve">wyalmzomi Wis mowyoba </t>
  </si>
  <si>
    <t xml:space="preserve">SromiTi danaxarji             </t>
  </si>
  <si>
    <t>k-sT</t>
  </si>
  <si>
    <t>man</t>
  </si>
  <si>
    <t xml:space="preserve">plastmasis Wis nakeTobebi pirobiT 1 metr CaRrmavebaze </t>
  </si>
  <si>
    <t xml:space="preserve">lami </t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</si>
  <si>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-110 mm-mde hidravlikuri SemowmebiT </t>
    </r>
    <r>
      <rPr>
        <b/>
        <sz val="10"/>
        <rFont val="Calibri"/>
        <family val="2"/>
      </rPr>
      <t>PN-10 SDR 17 PN100</t>
    </r>
  </si>
  <si>
    <r>
      <t xml:space="preserve">mili </t>
    </r>
    <r>
      <rPr>
        <sz val="10"/>
        <rFont val="Calibri"/>
        <family val="2"/>
      </rPr>
      <t xml:space="preserve">PN10 SDR17 PE100 d=110 </t>
    </r>
    <r>
      <rPr>
        <sz val="10"/>
        <rFont val="AcadMtavr"/>
      </rPr>
      <t>mm</t>
    </r>
  </si>
  <si>
    <t>el-unagira d-110X20mm</t>
  </si>
  <si>
    <t>el-unagira d-90X20mm</t>
  </si>
  <si>
    <t>el-unagira d-75X20mm</t>
  </si>
  <si>
    <t>uel-unagira d-63X20mm</t>
  </si>
  <si>
    <t>el-unagira d-50X20mm</t>
  </si>
  <si>
    <t>el-unagira d-40X20mm</t>
  </si>
  <si>
    <t>el-unagira d-32X20mm</t>
  </si>
  <si>
    <t>Sidagamanawilebeli qselis mowyoba</t>
  </si>
  <si>
    <t>lamis transportireba da milsadenis SefuTva datkepniT</t>
  </si>
  <si>
    <r>
      <t xml:space="preserve">magistraluri wylis gamanawilebeli anakrebi rk/b Wis mowyoba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=1,0 m,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=1.5m, ZroTi da gadaxurvis filiT Tujis xufiT </t>
    </r>
  </si>
  <si>
    <t>el.fuziuri quro d=160 mm</t>
  </si>
  <si>
    <t>el.fuziuri quro d=90 mm</t>
  </si>
  <si>
    <t>el.fuziuri quro d=75 mm</t>
  </si>
  <si>
    <r>
      <t xml:space="preserve">magistraluri wylis gamanawilebeli anakrebi rk/b Wis mowyoba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=1,0 m, </t>
    </r>
    <r>
      <rPr>
        <b/>
        <sz val="10"/>
        <rFont val="Arial"/>
        <family val="2"/>
      </rPr>
      <t>h</t>
    </r>
    <r>
      <rPr>
        <b/>
        <sz val="10"/>
        <rFont val="AcadNusx"/>
      </rPr>
      <t xml:space="preserve">=1.0m, ZroTi da gadaxurvis filiT Tujis xufiT </t>
    </r>
  </si>
  <si>
    <r>
      <t xml:space="preserve"> wyalsadenis gamanawilebeli Webis mowyoba </t>
    </r>
    <r>
      <rPr>
        <b/>
        <sz val="10"/>
        <rFont val="Arial"/>
        <family val="2"/>
      </rPr>
      <t/>
    </r>
  </si>
  <si>
    <t>rk/b Wa d=1000mm, h-1,0m rgoli</t>
  </si>
  <si>
    <t>TuJis urduli d=100 mm montaJi pn-16</t>
  </si>
  <si>
    <r>
      <t>Tujis urduli d=100 mm</t>
    </r>
    <r>
      <rPr>
        <sz val="10"/>
        <rFont val="არიალ"/>
        <charset val="204"/>
      </rPr>
      <t xml:space="preserve"> PN-16</t>
    </r>
  </si>
  <si>
    <t xml:space="preserve">Tujis urduli d=80 mm montaJi </t>
  </si>
  <si>
    <t xml:space="preserve">Tujis urduli d=65 mm montaJi </t>
  </si>
  <si>
    <r>
      <t>Tujis urduli d=80 mm</t>
    </r>
    <r>
      <rPr>
        <sz val="10"/>
        <rFont val="არიალ"/>
        <charset val="204"/>
      </rPr>
      <t xml:space="preserve"> PN-16</t>
    </r>
  </si>
  <si>
    <t xml:space="preserve">wnevis regulatori d=100 mm montaJi </t>
  </si>
  <si>
    <r>
      <t xml:space="preserve">liTons miltuCi </t>
    </r>
    <r>
      <rPr>
        <sz val="10"/>
        <rFont val="Arial"/>
        <family val="2"/>
      </rPr>
      <t>d=</t>
    </r>
    <r>
      <rPr>
        <sz val="10"/>
        <rFont val="AcadNusx"/>
      </rPr>
      <t>110 mm</t>
    </r>
  </si>
  <si>
    <r>
      <t xml:space="preserve">liTons miltuCi </t>
    </r>
    <r>
      <rPr>
        <sz val="10"/>
        <rFont val="Arial"/>
        <family val="2"/>
      </rPr>
      <t>d=</t>
    </r>
    <r>
      <rPr>
        <sz val="10"/>
        <rFont val="AcadNusx"/>
      </rPr>
      <t>90 mm</t>
    </r>
  </si>
  <si>
    <r>
      <t xml:space="preserve">liTons miltuCi </t>
    </r>
    <r>
      <rPr>
        <sz val="10"/>
        <rFont val="Arial"/>
        <family val="2"/>
      </rPr>
      <t>d=</t>
    </r>
    <r>
      <rPr>
        <sz val="10"/>
        <rFont val="AcadNusx"/>
      </rPr>
      <t>75 mm</t>
    </r>
  </si>
  <si>
    <r>
      <t xml:space="preserve">gadamyvani </t>
    </r>
    <r>
      <rPr>
        <sz val="10"/>
        <rFont val="Arial"/>
        <family val="2"/>
      </rPr>
      <t>d=</t>
    </r>
    <r>
      <rPr>
        <sz val="10"/>
        <rFont val="AcadNusx"/>
      </rPr>
      <t>160X110 mm</t>
    </r>
  </si>
  <si>
    <t>polieTilenis miltuCa adaftori d=110 mm</t>
  </si>
  <si>
    <t>polieTilenis miltuCa adaftori d=90 mm</t>
  </si>
  <si>
    <t>polieTilenis miltuCa adaftori d=75 mm</t>
  </si>
  <si>
    <r>
      <t xml:space="preserve">samkapi </t>
    </r>
    <r>
      <rPr>
        <sz val="10"/>
        <rFont val="Arial"/>
        <family val="2"/>
      </rPr>
      <t>d=</t>
    </r>
    <r>
      <rPr>
        <sz val="10"/>
        <rFont val="AcadNusx"/>
      </rPr>
      <t>110X50X110 mm</t>
    </r>
  </si>
  <si>
    <r>
      <t xml:space="preserve">samkapi </t>
    </r>
    <r>
      <rPr>
        <sz val="10"/>
        <rFont val="Arial"/>
        <family val="2"/>
      </rPr>
      <t>d=50X25X50</t>
    </r>
    <r>
      <rPr>
        <sz val="10"/>
        <rFont val="AcadNusx"/>
      </rPr>
      <t xml:space="preserve"> mm</t>
    </r>
  </si>
  <si>
    <r>
      <t xml:space="preserve">samkapi </t>
    </r>
    <r>
      <rPr>
        <sz val="10"/>
        <rFont val="Arial"/>
        <family val="2"/>
      </rPr>
      <t>d=75X50X75</t>
    </r>
    <r>
      <rPr>
        <sz val="10"/>
        <rFont val="AcadNusx"/>
      </rPr>
      <t>mm</t>
    </r>
  </si>
  <si>
    <r>
      <t xml:space="preserve">samkapi </t>
    </r>
    <r>
      <rPr>
        <sz val="10"/>
        <rFont val="Arial"/>
        <family val="2"/>
      </rPr>
      <t>d=75X63X75</t>
    </r>
    <r>
      <rPr>
        <sz val="10"/>
        <rFont val="AcadNusx"/>
      </rPr>
      <t>mm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</si>
  <si>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-140 mm-mde hidravlikuri SemowmebiT </t>
    </r>
    <r>
      <rPr>
        <b/>
        <sz val="10"/>
        <rFont val="Calibri"/>
        <family val="2"/>
      </rPr>
      <t>PN-10 SDR 17 PN100</t>
    </r>
  </si>
  <si>
    <r>
      <t xml:space="preserve">samkapi </t>
    </r>
    <r>
      <rPr>
        <sz val="10"/>
        <rFont val="Arial"/>
        <family val="2"/>
      </rPr>
      <t>d=</t>
    </r>
    <r>
      <rPr>
        <sz val="10"/>
        <rFont val="AcadNusx"/>
      </rPr>
      <t>140X75X140 mm</t>
    </r>
  </si>
  <si>
    <r>
      <t xml:space="preserve">samkapi </t>
    </r>
    <r>
      <rPr>
        <sz val="10"/>
        <rFont val="Arial"/>
        <family val="2"/>
      </rPr>
      <t>d=</t>
    </r>
    <r>
      <rPr>
        <sz val="10"/>
        <rFont val="AcadNusx"/>
      </rPr>
      <t>140X140X140 mm</t>
    </r>
  </si>
  <si>
    <r>
      <t xml:space="preserve">samkapi </t>
    </r>
    <r>
      <rPr>
        <sz val="10"/>
        <rFont val="Arial"/>
        <family val="2"/>
      </rPr>
      <t>d=63X25X63</t>
    </r>
    <r>
      <rPr>
        <sz val="10"/>
        <rFont val="AcadNusx"/>
      </rPr>
      <t xml:space="preserve"> mm</t>
    </r>
  </si>
  <si>
    <r>
      <t xml:space="preserve">samkapi </t>
    </r>
    <r>
      <rPr>
        <sz val="10"/>
        <rFont val="Arial"/>
        <family val="2"/>
      </rPr>
      <t>d=32X32X32</t>
    </r>
    <r>
      <rPr>
        <sz val="10"/>
        <rFont val="AcadNusx"/>
      </rPr>
      <t xml:space="preserve"> mm</t>
    </r>
  </si>
  <si>
    <r>
      <t xml:space="preserve">gadamyvani </t>
    </r>
    <r>
      <rPr>
        <sz val="10"/>
        <rFont val="Arial"/>
        <family val="2"/>
      </rPr>
      <t>d=140X110</t>
    </r>
    <r>
      <rPr>
        <sz val="10"/>
        <rFont val="AcadNusx"/>
      </rPr>
      <t xml:space="preserve"> mm</t>
    </r>
  </si>
  <si>
    <r>
      <t xml:space="preserve">gadamyvani </t>
    </r>
    <r>
      <rPr>
        <sz val="10"/>
        <rFont val="Arial"/>
        <family val="2"/>
      </rPr>
      <t>d=110X90</t>
    </r>
    <r>
      <rPr>
        <sz val="10"/>
        <rFont val="AcadNusx"/>
      </rPr>
      <t xml:space="preserve"> mm</t>
    </r>
  </si>
  <si>
    <r>
      <t xml:space="preserve">gadamyvani </t>
    </r>
    <r>
      <rPr>
        <sz val="10"/>
        <rFont val="Arial"/>
        <family val="2"/>
      </rPr>
      <t>d=90X75</t>
    </r>
    <r>
      <rPr>
        <sz val="10"/>
        <rFont val="AcadNusx"/>
      </rPr>
      <t xml:space="preserve"> mm</t>
    </r>
  </si>
  <si>
    <r>
      <t xml:space="preserve">gadamyvani </t>
    </r>
    <r>
      <rPr>
        <sz val="10"/>
        <rFont val="Arial"/>
        <family val="2"/>
      </rPr>
      <t>d=75X63</t>
    </r>
    <r>
      <rPr>
        <sz val="10"/>
        <rFont val="AcadNusx"/>
      </rPr>
      <t xml:space="preserve"> mm</t>
    </r>
  </si>
  <si>
    <r>
      <t xml:space="preserve">gadamyvani </t>
    </r>
    <r>
      <rPr>
        <sz val="10"/>
        <rFont val="Arial"/>
        <family val="2"/>
      </rPr>
      <t>d=75X50</t>
    </r>
    <r>
      <rPr>
        <sz val="10"/>
        <rFont val="AcadNusx"/>
      </rPr>
      <t xml:space="preserve"> mm</t>
    </r>
  </si>
  <si>
    <r>
      <t xml:space="preserve">gadamyvani </t>
    </r>
    <r>
      <rPr>
        <sz val="10"/>
        <rFont val="Arial"/>
        <family val="2"/>
      </rPr>
      <t>d=75X40</t>
    </r>
    <r>
      <rPr>
        <sz val="10"/>
        <rFont val="AcadNusx"/>
      </rPr>
      <t xml:space="preserve"> mm</t>
    </r>
  </si>
  <si>
    <r>
      <t xml:space="preserve">milis el. damxSobi </t>
    </r>
    <r>
      <rPr>
        <sz val="10"/>
        <rFont val="Arial"/>
        <family val="2"/>
      </rPr>
      <t>d=50</t>
    </r>
    <r>
      <rPr>
        <sz val="10"/>
        <rFont val="AcadNusx"/>
      </rPr>
      <t xml:space="preserve"> mm</t>
    </r>
  </si>
  <si>
    <r>
      <t xml:space="preserve">milis el. damxSobi </t>
    </r>
    <r>
      <rPr>
        <sz val="10"/>
        <rFont val="Arial"/>
        <family val="2"/>
      </rPr>
      <t>d=40</t>
    </r>
    <r>
      <rPr>
        <sz val="10"/>
        <rFont val="AcadNusx"/>
      </rPr>
      <t xml:space="preserve"> mm</t>
    </r>
  </si>
  <si>
    <r>
      <t xml:space="preserve">milis el. damxSobi </t>
    </r>
    <r>
      <rPr>
        <sz val="10"/>
        <rFont val="Arial"/>
        <family val="2"/>
      </rPr>
      <t>d=32</t>
    </r>
    <r>
      <rPr>
        <sz val="10"/>
        <rFont val="AcadNusx"/>
      </rPr>
      <t xml:space="preserve"> mm</t>
    </r>
  </si>
  <si>
    <r>
      <t xml:space="preserve">milis el. damxSobi </t>
    </r>
    <r>
      <rPr>
        <sz val="10"/>
        <rFont val="Arial"/>
        <family val="2"/>
      </rPr>
      <t>d=25</t>
    </r>
    <r>
      <rPr>
        <sz val="10"/>
        <rFont val="AcadNusx"/>
      </rPr>
      <t xml:space="preserve"> mm</t>
    </r>
  </si>
  <si>
    <t>el. fuziuri quro d=140 mm</t>
  </si>
  <si>
    <t>meq-unagira d-25X20mm</t>
  </si>
  <si>
    <t>el-unagira d-110X32mm</t>
  </si>
  <si>
    <t>el-unagira d-140X20mm</t>
  </si>
  <si>
    <t>el-unagira d-75X25mm</t>
  </si>
  <si>
    <t>el-unagira d-90X25mm</t>
  </si>
  <si>
    <t>me-III rgoli</t>
  </si>
  <si>
    <t xml:space="preserve">wnevis regulatori d=150 mm montaJi </t>
  </si>
  <si>
    <t>TuJis urduli d=150 mm montaJi pn-16</t>
  </si>
  <si>
    <t xml:space="preserve">Tujis urduli d=50 mm montaJi </t>
  </si>
  <si>
    <r>
      <t>Tujis urduli d=50 mm</t>
    </r>
    <r>
      <rPr>
        <sz val="10"/>
        <rFont val="არიალ"/>
        <charset val="204"/>
      </rPr>
      <t xml:space="preserve"> PN-16</t>
    </r>
  </si>
  <si>
    <r>
      <t>Tujis urduli d=63 mm</t>
    </r>
    <r>
      <rPr>
        <sz val="10"/>
        <rFont val="არიალ"/>
        <charset val="204"/>
      </rPr>
      <t xml:space="preserve"> PN-10</t>
    </r>
  </si>
  <si>
    <r>
      <t>Tujis urduli d=50 mm</t>
    </r>
    <r>
      <rPr>
        <sz val="10"/>
        <rFont val="არიალ"/>
        <charset val="204"/>
      </rPr>
      <t xml:space="preserve"> PN-10</t>
    </r>
  </si>
  <si>
    <t>TuJis urduli d=100 mm montaJi pn-10</t>
  </si>
  <si>
    <r>
      <t>Tujis urduli d=100 mm</t>
    </r>
    <r>
      <rPr>
        <sz val="10"/>
        <rFont val="არიალ"/>
        <charset val="204"/>
      </rPr>
      <t xml:space="preserve"> PN-10</t>
    </r>
  </si>
  <si>
    <r>
      <t xml:space="preserve">liTons miltuCi </t>
    </r>
    <r>
      <rPr>
        <sz val="10"/>
        <rFont val="Arial"/>
        <family val="2"/>
      </rPr>
      <t>d=</t>
    </r>
    <r>
      <rPr>
        <sz val="10"/>
        <rFont val="AcadNusx"/>
      </rPr>
      <t>160 mm</t>
    </r>
  </si>
  <si>
    <r>
      <t xml:space="preserve">samkapi </t>
    </r>
    <r>
      <rPr>
        <sz val="10"/>
        <rFont val="Arial"/>
        <family val="2"/>
      </rPr>
      <t>d=160X160X160</t>
    </r>
    <r>
      <rPr>
        <sz val="10"/>
        <rFont val="AcadNusx"/>
      </rPr>
      <t xml:space="preserve"> mm</t>
    </r>
  </si>
  <si>
    <r>
      <t xml:space="preserve">samkapi </t>
    </r>
    <r>
      <rPr>
        <sz val="10"/>
        <rFont val="Arial"/>
        <family val="2"/>
      </rPr>
      <t>d=</t>
    </r>
    <r>
      <rPr>
        <sz val="10"/>
        <rFont val="AcadNusx"/>
      </rPr>
      <t>110X75X110 mm</t>
    </r>
  </si>
  <si>
    <r>
      <t xml:space="preserve">samkapi </t>
    </r>
    <r>
      <rPr>
        <sz val="10"/>
        <rFont val="Arial"/>
        <family val="2"/>
      </rPr>
      <t>d=</t>
    </r>
    <r>
      <rPr>
        <sz val="10"/>
        <rFont val="AcadNusx"/>
      </rPr>
      <t>90X75X90 mm</t>
    </r>
  </si>
  <si>
    <r>
      <t xml:space="preserve">samkapi </t>
    </r>
    <r>
      <rPr>
        <sz val="10"/>
        <rFont val="Arial"/>
        <family val="2"/>
      </rPr>
      <t>d=</t>
    </r>
    <r>
      <rPr>
        <sz val="10"/>
        <rFont val="AcadNusx"/>
      </rPr>
      <t>75X50X75 mm</t>
    </r>
  </si>
  <si>
    <r>
      <t xml:space="preserve">gadamyvani </t>
    </r>
    <r>
      <rPr>
        <sz val="10"/>
        <rFont val="Arial"/>
        <family val="2"/>
      </rPr>
      <t>d=</t>
    </r>
    <r>
      <rPr>
        <sz val="10"/>
        <rFont val="AcadNusx"/>
      </rPr>
      <t>160X140 mm</t>
    </r>
  </si>
  <si>
    <t>polieTilenis miltuCa adaftori d=160 mm</t>
  </si>
  <si>
    <t>polieTilenis miltuCa adaftori d=63 mm</t>
  </si>
  <si>
    <t>polieTilenis miltuCa adaftori d=50 mm</t>
  </si>
  <si>
    <r>
      <t xml:space="preserve">liTons miltuCi </t>
    </r>
    <r>
      <rPr>
        <sz val="10"/>
        <rFont val="Arial"/>
        <family val="2"/>
      </rPr>
      <t>d=</t>
    </r>
    <r>
      <rPr>
        <sz val="10"/>
        <rFont val="AcadNusx"/>
      </rPr>
      <t>63 mm</t>
    </r>
  </si>
  <si>
    <r>
      <t xml:space="preserve">liTons miltuCi </t>
    </r>
    <r>
      <rPr>
        <sz val="10"/>
        <rFont val="Arial"/>
        <family val="2"/>
      </rPr>
      <t>d=</t>
    </r>
    <r>
      <rPr>
        <sz val="10"/>
        <rFont val="AcadNusx"/>
      </rPr>
      <t>50 mm</t>
    </r>
  </si>
  <si>
    <t>el.fuziuri quro d=140 mm</t>
  </si>
  <si>
    <t>el.fuziuri quro d=63 mm</t>
  </si>
  <si>
    <t>hidrantis mowyoba  d-80</t>
  </si>
  <si>
    <t xml:space="preserve">22-26-3 </t>
  </si>
  <si>
    <r>
      <t xml:space="preserve">mili </t>
    </r>
    <r>
      <rPr>
        <sz val="10"/>
        <rFont val="Calibri"/>
        <family val="2"/>
      </rPr>
      <t xml:space="preserve">PN10 SDR17 PE100 d=140 </t>
    </r>
    <r>
      <rPr>
        <sz val="10"/>
        <rFont val="AcadMtavr"/>
      </rPr>
      <t>mm</t>
    </r>
  </si>
  <si>
    <t>md. gadasvlis liTonkonstruqciis awyoba da montaJi</t>
  </si>
  <si>
    <t xml:space="preserve">Sromis danaxarjebi </t>
  </si>
  <si>
    <t>liT. mili 152X5mm</t>
  </si>
  <si>
    <r>
      <t>armatura</t>
    </r>
    <r>
      <rPr>
        <sz val="10"/>
        <rFont val="Calibri"/>
        <family val="2"/>
        <charset val="204"/>
      </rPr>
      <t xml:space="preserve"> AIII, d</t>
    </r>
    <r>
      <rPr>
        <sz val="10"/>
        <rFont val="AcadNusx"/>
      </rPr>
      <t>-18mm, 45g.m.</t>
    </r>
  </si>
  <si>
    <t>liT. firfita 200X100X10mm, 21c</t>
  </si>
  <si>
    <t>liT. firfita 100X100X10mm, 23c</t>
  </si>
  <si>
    <t>kg</t>
  </si>
  <si>
    <t>milis izolacia hidrosaizolacio folgiani minabambiT mavTuliT Sekvra</t>
  </si>
  <si>
    <t>m2</t>
  </si>
  <si>
    <t>folgiani minabamba</t>
  </si>
  <si>
    <t>Sesakravi mavTuli 1mm</t>
  </si>
  <si>
    <t>liT. konstruqciebis SeRebva antikoroziuli saRebaviT</t>
  </si>
  <si>
    <t>antikoroziuli sarebavi</t>
  </si>
  <si>
    <t>საბაზრო</t>
  </si>
  <si>
    <r>
      <t xml:space="preserve">mili </t>
    </r>
    <r>
      <rPr>
        <sz val="10"/>
        <rFont val="Calibri"/>
        <family val="2"/>
      </rPr>
      <t xml:space="preserve">PN16 SDR11 PE100 d=25 </t>
    </r>
    <r>
      <rPr>
        <sz val="10"/>
        <rFont val="AcadMtavr"/>
      </rPr>
      <t>mm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</si>
  <si>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-25 mm-mde hidravlikuri SemowmebiT </t>
    </r>
    <r>
      <rPr>
        <b/>
        <sz val="10"/>
        <rFont val="Calibri"/>
        <family val="2"/>
      </rPr>
      <t>PN-16 SDR 11 PN100</t>
    </r>
  </si>
  <si>
    <r>
      <t xml:space="preserve">mili </t>
    </r>
    <r>
      <rPr>
        <sz val="10"/>
        <rFont val="Calibri"/>
        <family val="2"/>
      </rPr>
      <t xml:space="preserve">PN16 SDR11 PE100 d=20 </t>
    </r>
    <r>
      <rPr>
        <sz val="10"/>
        <rFont val="AcadMtavr"/>
      </rPr>
      <t>mm</t>
    </r>
  </si>
  <si>
    <r>
      <t xml:space="preserve">polieTilenis milis montaJi </t>
    </r>
    <r>
      <rPr>
        <b/>
        <sz val="10"/>
        <rFont val="Arial"/>
        <family val="2"/>
      </rPr>
      <t>d</t>
    </r>
    <r>
      <rPr>
        <b/>
        <sz val="10"/>
        <rFont val="AcadNusx"/>
      </rPr>
      <t xml:space="preserve">-20 mm-mde hidravlikuri SemowmebiT </t>
    </r>
    <r>
      <rPr>
        <b/>
        <sz val="10"/>
        <rFont val="Calibri"/>
        <family val="2"/>
      </rPr>
      <t>PN-16 SDR 11 PN100</t>
    </r>
  </si>
  <si>
    <t>hidranti დ=80 მმ</t>
  </si>
  <si>
    <t>eleqtrodi 3 მმ</t>
  </si>
  <si>
    <t>RorRi 20-40</t>
  </si>
  <si>
    <r>
      <t>wnevis regulatori d=100 mm</t>
    </r>
    <r>
      <rPr>
        <sz val="10"/>
        <rFont val="არიალ"/>
        <charset val="204"/>
      </rPr>
      <t xml:space="preserve"> </t>
    </r>
  </si>
  <si>
    <t>wnevis regulatori d=150 mm</t>
  </si>
  <si>
    <t>srf gv:56</t>
  </si>
  <si>
    <r>
      <t>Tujis urduli d=150 mm</t>
    </r>
    <r>
      <rPr>
        <sz val="10"/>
        <rFont val="არიალ"/>
        <charset val="204"/>
      </rPr>
      <t xml:space="preserve"> PN-16</t>
    </r>
  </si>
  <si>
    <t>fasonuri nawilebis montaJi d-63-160 mm</t>
  </si>
  <si>
    <t>სრფ გვ: 143</t>
  </si>
  <si>
    <t xml:space="preserve">liT. milSi d-110mm polieTilenis milis gaTreva </t>
  </si>
  <si>
    <t xml:space="preserve">VI kat. gruntis damuSaveba eqskavatoriT 0,5m3 CamCiT </t>
  </si>
  <si>
    <t>betonis sayrdenebis 2c, mowyoba milxidisTvis</t>
  </si>
  <si>
    <t>betoni m-200</t>
  </si>
  <si>
    <t xml:space="preserve">sul milxidi </t>
  </si>
  <si>
    <t>liT. mili 50X3.0mm</t>
  </si>
  <si>
    <t>mdinareze gadasvna milxidiT</t>
  </si>
  <si>
    <t>qviSis transportireba da milsadenis SefuTva datkepniT</t>
  </si>
  <si>
    <t xml:space="preserve">qviSa </t>
  </si>
  <si>
    <t>14-200</t>
  </si>
  <si>
    <t>14-330</t>
  </si>
  <si>
    <t>14-126</t>
  </si>
  <si>
    <t>4.1-230</t>
  </si>
  <si>
    <t>27-39-1
27-42-1</t>
  </si>
  <si>
    <t>14-218</t>
  </si>
  <si>
    <t>14-219</t>
  </si>
  <si>
    <t>14-231</t>
  </si>
  <si>
    <t>4.1-522</t>
  </si>
  <si>
    <t>27-39-1
27-42-1.2</t>
  </si>
  <si>
    <t>8-3-2
miy.</t>
  </si>
  <si>
    <t>4.1-524</t>
  </si>
  <si>
    <t>27-7-4
miy.</t>
  </si>
  <si>
    <t>avtogreideri saSvalo 78 kvt (108 cxZ.)</t>
  </si>
  <si>
    <t>buldozeri 79 kvt. (108 cxZ.)</t>
  </si>
  <si>
    <t>satkepni sagzao pnevmaTvlian svlaze 18t</t>
  </si>
  <si>
    <t>14-222</t>
  </si>
  <si>
    <t>satkepni sagzao TviTmavali glivi 5t</t>
  </si>
  <si>
    <t>satkepni sagzao TviTmavali glivi 10t</t>
  </si>
  <si>
    <t>14-228</t>
  </si>
  <si>
    <t>azxali tarifebi</t>
  </si>
  <si>
    <t>1-11-16</t>
  </si>
  <si>
    <t>1-11-15</t>
  </si>
  <si>
    <t>1-80-4</t>
  </si>
  <si>
    <t>1-11-17</t>
  </si>
  <si>
    <t>23-1-1
miy.</t>
  </si>
  <si>
    <t>1-31-3</t>
  </si>
  <si>
    <t>14-141</t>
  </si>
  <si>
    <t>22-8-5</t>
  </si>
  <si>
    <t>invoisi
mst
21136057-001-2010
S.p.S.`polimeri-1~</t>
  </si>
  <si>
    <t>22-8-4</t>
  </si>
  <si>
    <t>22-8-2</t>
  </si>
  <si>
    <t>22-8-1</t>
  </si>
  <si>
    <t xml:space="preserve">22-8-1 </t>
  </si>
  <si>
    <t>invoisi
#03074569
13.04.2017</t>
  </si>
  <si>
    <t>12a</t>
  </si>
  <si>
    <t>22-23-1
miy.</t>
  </si>
  <si>
    <t>ang.#88
0.30.52022</t>
  </si>
  <si>
    <t>1-78-6
tq.n. cx.3
p.3.112
k=0.8
p.3.113
k=1.1</t>
  </si>
  <si>
    <t>23-1-2</t>
  </si>
  <si>
    <t>4.1-238</t>
  </si>
  <si>
    <t>22-30-1
miy.</t>
  </si>
  <si>
    <t>4.1-102</t>
  </si>
  <si>
    <t>4..1-110</t>
  </si>
  <si>
    <t>4.1-137</t>
  </si>
  <si>
    <t>1.1-10</t>
  </si>
  <si>
    <t>4.1-339</t>
  </si>
  <si>
    <r>
      <t xml:space="preserve">armatura </t>
    </r>
    <r>
      <rPr>
        <sz val="10"/>
        <rFont val="Calibri"/>
        <family val="2"/>
        <charset val="204"/>
      </rPr>
      <t xml:space="preserve">AI </t>
    </r>
    <r>
      <rPr>
        <sz val="10"/>
        <rFont val="AcadNusx"/>
      </rPr>
      <t>klasisi</t>
    </r>
  </si>
  <si>
    <t>betoni m-100</t>
  </si>
  <si>
    <t>r/betoni saxuravi fila Tujis xufiT 1500X1500 mm</t>
  </si>
  <si>
    <t>rk/b Wis Ziris d=1500 mm</t>
  </si>
  <si>
    <t>4.1-101</t>
  </si>
  <si>
    <t>4.1-136</t>
  </si>
  <si>
    <t>8-4-7</t>
  </si>
  <si>
    <t>4.1-541</t>
  </si>
  <si>
    <t>22-25-3 miyenebiT</t>
  </si>
  <si>
    <t>6-343</t>
  </si>
  <si>
    <t>22-25-2 miyenebiT</t>
  </si>
  <si>
    <t>6-342</t>
  </si>
  <si>
    <t>6-351</t>
  </si>
  <si>
    <t>6-354</t>
  </si>
  <si>
    <t>6-353</t>
  </si>
  <si>
    <t>22-25-1 miyenebiT</t>
  </si>
  <si>
    <t>1-11-18</t>
  </si>
  <si>
    <t>9-17-3
miy.</t>
  </si>
  <si>
    <t>15-164-7
miy.</t>
  </si>
  <si>
    <t>22-36-1
miy.</t>
  </si>
  <si>
    <t xml:space="preserve"> </t>
  </si>
  <si>
    <t>6-1-13</t>
  </si>
  <si>
    <t>4.1-341</t>
  </si>
  <si>
    <t>მ2</t>
  </si>
  <si>
    <t>საყალიბე ფაი 25 მმ</t>
  </si>
  <si>
    <t>ficari Camoganuli III x. 40 mm da meti</t>
  </si>
  <si>
    <t>5.1-138</t>
  </si>
  <si>
    <t>5.1-22</t>
  </si>
  <si>
    <t>26-4-3
miy.</t>
  </si>
  <si>
    <t>kac.sT</t>
  </si>
  <si>
    <t>4.1-483</t>
  </si>
  <si>
    <t>jami ერთ მილხიდზე</t>
  </si>
  <si>
    <t>მათ შორის ლ/კ</t>
  </si>
  <si>
    <t>zednadebi xarjebi l/k</t>
  </si>
  <si>
    <t>norma
er-ze</t>
  </si>
  <si>
    <t>4.1-225</t>
  </si>
  <si>
    <t>2-1-1</t>
  </si>
  <si>
    <t>1.1-12</t>
  </si>
  <si>
    <t>1.6-22</t>
  </si>
  <si>
    <t>1.9-14</t>
  </si>
  <si>
    <t>4.2-31</t>
  </si>
  <si>
    <t>4.1-109</t>
  </si>
  <si>
    <t>6-356</t>
  </si>
  <si>
    <t>14-142</t>
  </si>
  <si>
    <t>invoisi
#03074569
13.05.2017</t>
  </si>
</sst>
</file>

<file path=xl/styles.xml><?xml version="1.0" encoding="utf-8"?>
<styleSheet xmlns="http://schemas.openxmlformats.org/spreadsheetml/2006/main">
  <numFmts count="10">
    <numFmt numFmtId="43" formatCode="_-* #,##0.00\ _L_a_r_i_-;\-* #,##0.00\ _L_a_r_i_-;_-* &quot;-&quot;??\ _L_a_r_i_-;_-@_-"/>
    <numFmt numFmtId="164" formatCode="_(* #,##0.00_);_(* \(#,##0.00\);_(* &quot;-&quot;??_);_(@_)"/>
    <numFmt numFmtId="165" formatCode="_-* #,##0.00_р_._-;\-* #,##0.00_р_._-;_-* &quot;-&quot;??_р_._-;_-@_-"/>
    <numFmt numFmtId="166" formatCode="0.000"/>
    <numFmt numFmtId="167" formatCode="0.0000"/>
    <numFmt numFmtId="168" formatCode="0.0"/>
    <numFmt numFmtId="169" formatCode="_-* #,##0_р_._-;\-* #,##0_р_._-;_-* &quot;-&quot;??_р_._-;_-@_-"/>
    <numFmt numFmtId="170" formatCode="0.00000"/>
    <numFmt numFmtId="171" formatCode="#,##0.000"/>
    <numFmt numFmtId="172" formatCode="_(* #,##0_);_(* \(#,##0\);_(* &quot;-&quot;??_);_(@_)"/>
  </numFmts>
  <fonts count="46">
    <font>
      <sz val="10"/>
      <name val="Arial"/>
    </font>
    <font>
      <sz val="10"/>
      <name val="Arial"/>
    </font>
    <font>
      <sz val="10"/>
      <name val="AcadNusx"/>
    </font>
    <font>
      <b/>
      <sz val="10"/>
      <name val="AcadNusx"/>
    </font>
    <font>
      <sz val="8"/>
      <name val="AcadNusx"/>
    </font>
    <font>
      <sz val="10"/>
      <name val="Arial"/>
      <family val="2"/>
      <charset val="204"/>
    </font>
    <font>
      <sz val="10"/>
      <name val="Arial"/>
      <family val="2"/>
    </font>
    <font>
      <b/>
      <sz val="8"/>
      <name val="AcadNusx"/>
    </font>
    <font>
      <b/>
      <sz val="11"/>
      <name val="AcadNusx"/>
    </font>
    <font>
      <sz val="11"/>
      <name val="AcadNusx"/>
    </font>
    <font>
      <b/>
      <sz val="10"/>
      <name val="Arial"/>
      <family val="2"/>
      <charset val="204"/>
    </font>
    <font>
      <sz val="12"/>
      <name val="AcadNusx"/>
    </font>
    <font>
      <b/>
      <sz val="12"/>
      <name val="AcadNusx"/>
    </font>
    <font>
      <sz val="11"/>
      <name val="Academiuri Normaluri"/>
    </font>
    <font>
      <sz val="9"/>
      <name val="AcadNusx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cadNusx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Calibri"/>
      <family val="2"/>
    </font>
    <font>
      <b/>
      <vertAlign val="superscript"/>
      <sz val="10"/>
      <name val="AcadNusx"/>
    </font>
    <font>
      <b/>
      <u/>
      <sz val="12"/>
      <name val="AcadNusx"/>
    </font>
    <font>
      <b/>
      <sz val="10"/>
      <name val="Calibri"/>
      <family val="2"/>
    </font>
    <font>
      <sz val="10"/>
      <name val="AcadMtavr"/>
    </font>
    <font>
      <sz val="10"/>
      <name val="Arial Cyr"/>
      <charset val="1"/>
    </font>
    <font>
      <sz val="10"/>
      <name val="არიალ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9"/>
      <name val="AcadNusx"/>
    </font>
    <font>
      <b/>
      <sz val="12"/>
      <name val="Grigolia"/>
    </font>
    <font>
      <sz val="10"/>
      <name val="Grigolia"/>
    </font>
    <font>
      <b/>
      <sz val="10"/>
      <name val="Grigolia"/>
    </font>
    <font>
      <sz val="10"/>
      <name val="Calibri"/>
      <family val="2"/>
      <charset val="204"/>
    </font>
    <font>
      <sz val="7"/>
      <name val="AcadNusx"/>
    </font>
    <font>
      <b/>
      <sz val="7"/>
      <name val="AcadNusx"/>
    </font>
    <font>
      <sz val="11"/>
      <color theme="1"/>
      <name val="Calibri"/>
      <family val="2"/>
      <scheme val="minor"/>
    </font>
    <font>
      <sz val="9"/>
      <color theme="1"/>
      <name val="AcadNusx"/>
    </font>
    <font>
      <sz val="10"/>
      <color rgb="FFFF0000"/>
      <name val="AcadNusx"/>
    </font>
    <font>
      <sz val="10"/>
      <color theme="1"/>
      <name val="AcadNusx"/>
    </font>
    <font>
      <sz val="7"/>
      <color rgb="FFFF0000"/>
      <name val="AcadNusx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8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5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21" fillId="0" borderId="0"/>
    <xf numFmtId="0" fontId="6" fillId="0" borderId="0"/>
    <xf numFmtId="0" fontId="6" fillId="0" borderId="0"/>
    <xf numFmtId="0" fontId="30" fillId="0" borderId="0"/>
    <xf numFmtId="0" fontId="32" fillId="0" borderId="0"/>
    <xf numFmtId="0" fontId="6" fillId="0" borderId="0"/>
    <xf numFmtId="0" fontId="6" fillId="0" borderId="0"/>
    <xf numFmtId="9" fontId="33" fillId="0" borderId="0" applyFont="0" applyFill="0" applyBorder="0" applyAlignment="0" applyProtection="0"/>
    <xf numFmtId="0" fontId="5" fillId="0" borderId="0"/>
    <xf numFmtId="164" fontId="33" fillId="0" borderId="0" applyFont="0" applyFill="0" applyBorder="0" applyAlignment="0" applyProtection="0"/>
  </cellStyleXfs>
  <cellXfs count="267">
    <xf numFmtId="0" fontId="0" fillId="0" borderId="0" xfId="0"/>
    <xf numFmtId="2" fontId="2" fillId="11" borderId="1" xfId="52" applyNumberFormat="1" applyFont="1" applyFill="1" applyBorder="1" applyAlignment="1">
      <alignment horizontal="center" vertical="center"/>
    </xf>
    <xf numFmtId="0" fontId="4" fillId="11" borderId="0" xfId="66" applyFont="1" applyFill="1" applyBorder="1" applyAlignment="1">
      <alignment horizontal="center" vertical="center" shrinkToFi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66" applyFont="1" applyFill="1" applyBorder="1" applyAlignment="1">
      <alignment horizontal="center" vertical="center"/>
    </xf>
    <xf numFmtId="49" fontId="2" fillId="11" borderId="1" xfId="0" applyNumberFormat="1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top" wrapText="1"/>
    </xf>
    <xf numFmtId="1" fontId="11" fillId="11" borderId="1" xfId="0" applyNumberFormat="1" applyFont="1" applyFill="1" applyBorder="1" applyAlignment="1">
      <alignment horizontal="center" vertical="center" wrapText="1"/>
    </xf>
    <xf numFmtId="0" fontId="2" fillId="11" borderId="0" xfId="0" applyFont="1" applyFill="1"/>
    <xf numFmtId="0" fontId="3" fillId="11" borderId="1" xfId="52" applyFont="1" applyFill="1" applyBorder="1" applyAlignment="1">
      <alignment horizontal="center" vertical="center" wrapText="1"/>
    </xf>
    <xf numFmtId="0" fontId="3" fillId="11" borderId="1" xfId="52" applyFont="1" applyFill="1" applyBorder="1" applyAlignment="1">
      <alignment vertical="center" wrapText="1"/>
    </xf>
    <xf numFmtId="0" fontId="3" fillId="11" borderId="1" xfId="52" applyFont="1" applyFill="1" applyBorder="1" applyAlignment="1">
      <alignment horizontal="center" vertical="center"/>
    </xf>
    <xf numFmtId="0" fontId="7" fillId="11" borderId="1" xfId="52" applyFont="1" applyFill="1" applyBorder="1" applyAlignment="1">
      <alignment horizontal="center" vertical="center"/>
    </xf>
    <xf numFmtId="2" fontId="3" fillId="11" borderId="1" xfId="52" applyNumberFormat="1" applyFont="1" applyFill="1" applyBorder="1" applyAlignment="1">
      <alignment horizontal="center" vertical="center" wrapText="1"/>
    </xf>
    <xf numFmtId="0" fontId="2" fillId="11" borderId="1" xfId="52" applyFont="1" applyFill="1" applyBorder="1" applyAlignment="1">
      <alignment horizontal="center" vertical="center" wrapText="1"/>
    </xf>
    <xf numFmtId="0" fontId="2" fillId="11" borderId="1" xfId="52" applyFont="1" applyFill="1" applyBorder="1" applyAlignment="1">
      <alignment vertical="center" wrapText="1"/>
    </xf>
    <xf numFmtId="0" fontId="4" fillId="11" borderId="1" xfId="52" applyFont="1" applyFill="1" applyBorder="1" applyAlignment="1">
      <alignment horizontal="center" vertical="center" wrapText="1"/>
    </xf>
    <xf numFmtId="0" fontId="2" fillId="11" borderId="1" xfId="52" applyFont="1" applyFill="1" applyBorder="1" applyAlignment="1">
      <alignment horizontal="center" vertical="center"/>
    </xf>
    <xf numFmtId="0" fontId="4" fillId="11" borderId="1" xfId="52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/>
    </xf>
    <xf numFmtId="2" fontId="3" fillId="11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166" fontId="2" fillId="11" borderId="1" xfId="0" applyNumberFormat="1" applyFont="1" applyFill="1" applyBorder="1" applyAlignment="1">
      <alignment horizontal="center" vertical="center"/>
    </xf>
    <xf numFmtId="0" fontId="3" fillId="11" borderId="1" xfId="41" applyFont="1" applyFill="1" applyBorder="1" applyAlignment="1">
      <alignment horizontal="center" vertical="center" wrapText="1"/>
    </xf>
    <xf numFmtId="0" fontId="23" fillId="11" borderId="1" xfId="41" applyFont="1" applyFill="1" applyBorder="1" applyAlignment="1">
      <alignment horizontal="center" vertical="center"/>
    </xf>
    <xf numFmtId="0" fontId="2" fillId="11" borderId="1" xfId="41" applyFont="1" applyFill="1" applyBorder="1" applyAlignment="1">
      <alignment horizontal="center" vertical="center"/>
    </xf>
    <xf numFmtId="0" fontId="2" fillId="11" borderId="1" xfId="41" applyFont="1" applyFill="1" applyBorder="1" applyAlignment="1">
      <alignment vertical="center" wrapText="1"/>
    </xf>
    <xf numFmtId="167" fontId="2" fillId="11" borderId="1" xfId="52" applyNumberFormat="1" applyFont="1" applyFill="1" applyBorder="1" applyAlignment="1">
      <alignment horizontal="center" vertical="center"/>
    </xf>
    <xf numFmtId="0" fontId="3" fillId="11" borderId="1" xfId="44" applyFont="1" applyFill="1" applyBorder="1" applyAlignment="1">
      <alignment horizontal="center" vertical="center" wrapText="1"/>
    </xf>
    <xf numFmtId="0" fontId="3" fillId="11" borderId="1" xfId="44" applyFont="1" applyFill="1" applyBorder="1" applyAlignment="1">
      <alignment vertical="center" wrapText="1"/>
    </xf>
    <xf numFmtId="0" fontId="3" fillId="11" borderId="1" xfId="44" applyFont="1" applyFill="1" applyBorder="1" applyAlignment="1">
      <alignment horizontal="center" vertical="center"/>
    </xf>
    <xf numFmtId="0" fontId="7" fillId="11" borderId="1" xfId="44" applyFont="1" applyFill="1" applyBorder="1" applyAlignment="1">
      <alignment horizontal="center" vertical="center"/>
    </xf>
    <xf numFmtId="168" fontId="3" fillId="11" borderId="1" xfId="44" applyNumberFormat="1" applyFont="1" applyFill="1" applyBorder="1" applyAlignment="1">
      <alignment horizontal="center" vertical="center" wrapText="1"/>
    </xf>
    <xf numFmtId="2" fontId="14" fillId="11" borderId="1" xfId="0" applyNumberFormat="1" applyFont="1" applyFill="1" applyBorder="1" applyAlignment="1">
      <alignment horizontal="center" vertical="center" wrapText="1"/>
    </xf>
    <xf numFmtId="2" fontId="14" fillId="11" borderId="1" xfId="0" applyNumberFormat="1" applyFont="1" applyFill="1" applyBorder="1" applyAlignment="1">
      <alignment horizontal="center" vertical="center"/>
    </xf>
    <xf numFmtId="0" fontId="2" fillId="11" borderId="1" xfId="44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3" fillId="11" borderId="1" xfId="66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center"/>
    </xf>
    <xf numFmtId="166" fontId="2" fillId="11" borderId="1" xfId="0" applyNumberFormat="1" applyFont="1" applyFill="1" applyBorder="1" applyAlignment="1">
      <alignment horizontal="center" vertical="center" wrapText="1"/>
    </xf>
    <xf numFmtId="168" fontId="3" fillId="11" borderId="1" xfId="0" applyNumberFormat="1" applyFont="1" applyFill="1" applyBorder="1" applyAlignment="1">
      <alignment horizontal="center" vertical="center" wrapText="1"/>
    </xf>
    <xf numFmtId="0" fontId="2" fillId="11" borderId="1" xfId="0" quotePrefix="1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left" vertical="center"/>
    </xf>
    <xf numFmtId="0" fontId="3" fillId="11" borderId="1" xfId="60" applyFont="1" applyFill="1" applyBorder="1" applyAlignment="1">
      <alignment horizontal="left" vertical="center" wrapText="1"/>
    </xf>
    <xf numFmtId="0" fontId="14" fillId="11" borderId="1" xfId="60" applyFont="1" applyFill="1" applyBorder="1" applyAlignment="1">
      <alignment horizontal="center" vertical="center" wrapText="1"/>
    </xf>
    <xf numFmtId="0" fontId="3" fillId="11" borderId="1" xfId="60" applyFont="1" applyFill="1" applyBorder="1" applyAlignment="1">
      <alignment horizontal="center" vertical="center" wrapText="1"/>
    </xf>
    <xf numFmtId="0" fontId="34" fillId="11" borderId="1" xfId="60" applyFont="1" applyFill="1" applyBorder="1" applyAlignment="1">
      <alignment horizontal="center" vertical="center" wrapText="1"/>
    </xf>
    <xf numFmtId="1" fontId="3" fillId="11" borderId="1" xfId="60" applyNumberFormat="1" applyFont="1" applyFill="1" applyBorder="1" applyAlignment="1">
      <alignment horizontal="center" vertical="center" wrapText="1"/>
    </xf>
    <xf numFmtId="2" fontId="2" fillId="11" borderId="1" xfId="60" applyNumberFormat="1" applyFont="1" applyFill="1" applyBorder="1" applyAlignment="1">
      <alignment horizontal="center" vertical="center" wrapText="1"/>
    </xf>
    <xf numFmtId="0" fontId="2" fillId="11" borderId="1" xfId="60" applyFont="1" applyFill="1" applyBorder="1" applyAlignment="1">
      <alignment horizontal="left" vertical="center" wrapText="1"/>
    </xf>
    <xf numFmtId="0" fontId="2" fillId="11" borderId="1" xfId="60" applyFont="1" applyFill="1" applyBorder="1" applyAlignment="1">
      <alignment horizontal="center" vertical="center" wrapText="1"/>
    </xf>
    <xf numFmtId="0" fontId="2" fillId="11" borderId="1" xfId="60" applyFont="1" applyFill="1" applyBorder="1" applyAlignment="1">
      <alignment vertical="center" wrapText="1"/>
    </xf>
    <xf numFmtId="1" fontId="2" fillId="11" borderId="1" xfId="60" applyNumberFormat="1" applyFont="1" applyFill="1" applyBorder="1" applyAlignment="1">
      <alignment horizontal="center" vertical="center" wrapText="1"/>
    </xf>
    <xf numFmtId="166" fontId="14" fillId="11" borderId="1" xfId="60" applyNumberFormat="1" applyFont="1" applyFill="1" applyBorder="1" applyAlignment="1">
      <alignment horizontal="center" vertical="center" wrapText="1"/>
    </xf>
    <xf numFmtId="166" fontId="2" fillId="11" borderId="1" xfId="60" applyNumberFormat="1" applyFont="1" applyFill="1" applyBorder="1" applyAlignment="1">
      <alignment horizontal="center" vertical="center" wrapText="1"/>
    </xf>
    <xf numFmtId="0" fontId="4" fillId="11" borderId="0" xfId="66" applyFont="1" applyFill="1" applyBorder="1" applyAlignment="1">
      <alignment horizontal="left" vertical="center" shrinkToFit="1"/>
    </xf>
    <xf numFmtId="0" fontId="2" fillId="11" borderId="0" xfId="41" applyFont="1" applyFill="1"/>
    <xf numFmtId="0" fontId="4" fillId="11" borderId="0" xfId="41" applyFont="1" applyFill="1"/>
    <xf numFmtId="2" fontId="4" fillId="11" borderId="1" xfId="0" applyNumberFormat="1" applyFont="1" applyFill="1" applyBorder="1" applyAlignment="1">
      <alignment horizontal="center" vertical="center"/>
    </xf>
    <xf numFmtId="2" fontId="3" fillId="11" borderId="1" xfId="44" applyNumberFormat="1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left" vertical="center" wrapText="1"/>
    </xf>
    <xf numFmtId="166" fontId="14" fillId="11" borderId="1" xfId="0" applyNumberFormat="1" applyFont="1" applyFill="1" applyBorder="1" applyAlignment="1">
      <alignment horizontal="center" vertical="center"/>
    </xf>
    <xf numFmtId="0" fontId="3" fillId="11" borderId="1" xfId="41" applyFont="1" applyFill="1" applyBorder="1" applyAlignment="1">
      <alignment vertical="center" wrapText="1"/>
    </xf>
    <xf numFmtId="168" fontId="14" fillId="11" borderId="1" xfId="0" applyNumberFormat="1" applyFont="1" applyFill="1" applyBorder="1" applyAlignment="1">
      <alignment horizontal="center" vertical="center"/>
    </xf>
    <xf numFmtId="168" fontId="14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center" wrapText="1"/>
    </xf>
    <xf numFmtId="2" fontId="3" fillId="11" borderId="1" xfId="0" applyNumberFormat="1" applyFont="1" applyFill="1" applyBorder="1" applyAlignment="1">
      <alignment horizontal="center" vertical="center" wrapText="1"/>
    </xf>
    <xf numFmtId="168" fontId="2" fillId="11" borderId="1" xfId="0" applyNumberFormat="1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vertical="center"/>
    </xf>
    <xf numFmtId="0" fontId="3" fillId="11" borderId="2" xfId="0" applyFont="1" applyFill="1" applyBorder="1" applyAlignment="1">
      <alignment horizontal="left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 wrapText="1"/>
    </xf>
    <xf numFmtId="0" fontId="10" fillId="11" borderId="2" xfId="0" applyNumberFormat="1" applyFont="1" applyFill="1" applyBorder="1" applyAlignment="1">
      <alignment horizontal="center" vertical="center" wrapText="1"/>
    </xf>
    <xf numFmtId="9" fontId="2" fillId="11" borderId="1" xfId="0" applyNumberFormat="1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 wrapText="1"/>
    </xf>
    <xf numFmtId="0" fontId="5" fillId="11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10" fillId="11" borderId="1" xfId="0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9" fontId="2" fillId="11" borderId="1" xfId="0" applyNumberFormat="1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2" fillId="11" borderId="0" xfId="0" applyFont="1" applyFill="1" applyBorder="1"/>
    <xf numFmtId="0" fontId="11" fillId="11" borderId="1" xfId="0" applyFont="1" applyFill="1" applyBorder="1" applyAlignment="1">
      <alignment horizontal="center" vertical="center" wrapText="1"/>
    </xf>
    <xf numFmtId="1" fontId="3" fillId="11" borderId="1" xfId="0" applyNumberFormat="1" applyFont="1" applyFill="1" applyBorder="1" applyAlignment="1">
      <alignment horizontal="center" vertical="center" wrapText="1"/>
    </xf>
    <xf numFmtId="167" fontId="4" fillId="11" borderId="1" xfId="0" applyNumberFormat="1" applyFont="1" applyFill="1" applyBorder="1" applyAlignment="1">
      <alignment horizontal="center" vertical="center"/>
    </xf>
    <xf numFmtId="167" fontId="2" fillId="11" borderId="1" xfId="0" applyNumberFormat="1" applyFont="1" applyFill="1" applyBorder="1" applyAlignment="1">
      <alignment horizontal="center" vertical="center" wrapText="1"/>
    </xf>
    <xf numFmtId="0" fontId="2" fillId="11" borderId="1" xfId="66" applyFont="1" applyFill="1" applyBorder="1" applyAlignment="1">
      <alignment horizontal="left" vertical="center"/>
    </xf>
    <xf numFmtId="2" fontId="2" fillId="11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top" wrapText="1"/>
    </xf>
    <xf numFmtId="0" fontId="3" fillId="11" borderId="1" xfId="41" applyFont="1" applyFill="1" applyBorder="1" applyAlignment="1">
      <alignment horizontal="center" vertical="center"/>
    </xf>
    <xf numFmtId="0" fontId="4" fillId="11" borderId="1" xfId="44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3" fillId="11" borderId="4" xfId="66" applyFont="1" applyFill="1" applyBorder="1" applyAlignment="1">
      <alignment horizontal="center" vertical="center"/>
    </xf>
    <xf numFmtId="166" fontId="3" fillId="11" borderId="1" xfId="0" applyNumberFormat="1" applyFont="1" applyFill="1" applyBorder="1" applyAlignment="1">
      <alignment horizontal="center" vertical="center" wrapText="1"/>
    </xf>
    <xf numFmtId="166" fontId="2" fillId="11" borderId="1" xfId="64" applyNumberFormat="1" applyFont="1" applyFill="1" applyBorder="1" applyAlignment="1">
      <alignment horizontal="center" vertical="center"/>
    </xf>
    <xf numFmtId="2" fontId="2" fillId="11" borderId="1" xfId="64" applyNumberFormat="1" applyFont="1" applyFill="1" applyBorder="1" applyAlignment="1">
      <alignment horizontal="center" vertical="center"/>
    </xf>
    <xf numFmtId="0" fontId="34" fillId="11" borderId="1" xfId="66" applyFont="1" applyFill="1" applyBorder="1" applyAlignment="1">
      <alignment horizontal="center" vertical="center"/>
    </xf>
    <xf numFmtId="0" fontId="14" fillId="11" borderId="1" xfId="66" applyFont="1" applyFill="1" applyBorder="1" applyAlignment="1">
      <alignment horizontal="center" vertical="center"/>
    </xf>
    <xf numFmtId="167" fontId="2" fillId="11" borderId="1" xfId="0" applyNumberFormat="1" applyFont="1" applyFill="1" applyBorder="1" applyAlignment="1">
      <alignment horizontal="center" vertical="center"/>
    </xf>
    <xf numFmtId="0" fontId="4" fillId="11" borderId="0" xfId="41" applyFont="1" applyFill="1" applyBorder="1"/>
    <xf numFmtId="166" fontId="2" fillId="11" borderId="0" xfId="0" applyNumberFormat="1" applyFont="1" applyFill="1" applyBorder="1" applyAlignment="1">
      <alignment horizontal="center" vertical="center"/>
    </xf>
    <xf numFmtId="170" fontId="4" fillId="11" borderId="1" xfId="52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top" wrapText="1"/>
    </xf>
    <xf numFmtId="0" fontId="11" fillId="11" borderId="1" xfId="0" applyFont="1" applyFill="1" applyBorder="1" applyAlignment="1">
      <alignment horizontal="left" vertical="center" wrapText="1"/>
    </xf>
    <xf numFmtId="2" fontId="11" fillId="11" borderId="1" xfId="0" applyNumberFormat="1" applyFont="1" applyFill="1" applyBorder="1" applyAlignment="1">
      <alignment horizontal="center" vertical="center" wrapText="1"/>
    </xf>
    <xf numFmtId="166" fontId="2" fillId="11" borderId="1" xfId="52" applyNumberFormat="1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10" fillId="11" borderId="0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vertical="center" wrapText="1"/>
    </xf>
    <xf numFmtId="0" fontId="10" fillId="11" borderId="0" xfId="0" applyNumberFormat="1" applyFont="1" applyFill="1" applyBorder="1" applyAlignment="1">
      <alignment horizontal="center" vertical="center" wrapText="1"/>
    </xf>
    <xf numFmtId="171" fontId="9" fillId="11" borderId="0" xfId="0" applyNumberFormat="1" applyFont="1" applyFill="1" applyBorder="1" applyAlignment="1">
      <alignment vertical="center"/>
    </xf>
    <xf numFmtId="0" fontId="43" fillId="11" borderId="1" xfId="66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vertical="top" wrapText="1"/>
    </xf>
    <xf numFmtId="0" fontId="3" fillId="11" borderId="2" xfId="0" applyFont="1" applyFill="1" applyBorder="1" applyAlignment="1">
      <alignment horizontal="center" vertical="top" wrapText="1"/>
    </xf>
    <xf numFmtId="171" fontId="24" fillId="11" borderId="1" xfId="0" applyNumberFormat="1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39" fillId="11" borderId="0" xfId="66" applyFont="1" applyFill="1" applyBorder="1" applyAlignment="1">
      <alignment horizontal="left" vertical="center" shrinkToFit="1"/>
    </xf>
    <xf numFmtId="49" fontId="39" fillId="11" borderId="1" xfId="44" applyNumberFormat="1" applyFont="1" applyFill="1" applyBorder="1" applyAlignment="1">
      <alignment horizontal="center" vertical="center" wrapText="1"/>
    </xf>
    <xf numFmtId="49" fontId="39" fillId="11" borderId="1" xfId="41" applyNumberFormat="1" applyFont="1" applyFill="1" applyBorder="1" applyAlignment="1">
      <alignment horizontal="center" vertical="center" wrapText="1"/>
    </xf>
    <xf numFmtId="0" fontId="39" fillId="11" borderId="1" xfId="41" applyFont="1" applyFill="1" applyBorder="1" applyAlignment="1">
      <alignment horizontal="center" vertical="center" wrapText="1"/>
    </xf>
    <xf numFmtId="0" fontId="39" fillId="11" borderId="1" xfId="0" quotePrefix="1" applyFont="1" applyFill="1" applyBorder="1" applyAlignment="1">
      <alignment horizontal="center" vertical="center" wrapText="1"/>
    </xf>
    <xf numFmtId="49" fontId="39" fillId="11" borderId="1" xfId="0" applyNumberFormat="1" applyFont="1" applyFill="1" applyBorder="1" applyAlignment="1">
      <alignment horizontal="center" vertical="center" wrapText="1"/>
    </xf>
    <xf numFmtId="0" fontId="39" fillId="11" borderId="1" xfId="52" applyFont="1" applyFill="1" applyBorder="1" applyAlignment="1">
      <alignment horizontal="center" vertical="center" wrapText="1"/>
    </xf>
    <xf numFmtId="49" fontId="39" fillId="11" borderId="1" xfId="52" applyNumberFormat="1" applyFont="1" applyFill="1" applyBorder="1" applyAlignment="1">
      <alignment horizontal="center" vertical="center" wrapText="1"/>
    </xf>
    <xf numFmtId="49" fontId="40" fillId="11" borderId="1" xfId="0" applyNumberFormat="1" applyFont="1" applyFill="1" applyBorder="1" applyAlignment="1">
      <alignment horizontal="center" vertical="center" wrapText="1"/>
    </xf>
    <xf numFmtId="0" fontId="39" fillId="11" borderId="1" xfId="0" quotePrefix="1" applyFont="1" applyFill="1" applyBorder="1" applyAlignment="1">
      <alignment horizontal="center" vertical="top" wrapText="1"/>
    </xf>
    <xf numFmtId="0" fontId="39" fillId="11" borderId="1" xfId="60" applyFont="1" applyFill="1" applyBorder="1" applyAlignment="1">
      <alignment horizontal="center" vertical="center" wrapText="1"/>
    </xf>
    <xf numFmtId="0" fontId="39" fillId="11" borderId="1" xfId="0" applyFont="1" applyFill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9" fillId="11" borderId="1" xfId="66" applyFont="1" applyFill="1" applyBorder="1" applyAlignment="1">
      <alignment horizontal="center" vertical="center" wrapText="1"/>
    </xf>
    <xf numFmtId="0" fontId="40" fillId="11" borderId="2" xfId="0" quotePrefix="1" applyFont="1" applyFill="1" applyBorder="1" applyAlignment="1">
      <alignment horizontal="center" vertical="top" wrapText="1"/>
    </xf>
    <xf numFmtId="0" fontId="39" fillId="11" borderId="1" xfId="0" applyFont="1" applyFill="1" applyBorder="1" applyAlignment="1">
      <alignment horizontal="left" vertical="center" wrapText="1"/>
    </xf>
    <xf numFmtId="49" fontId="39" fillId="11" borderId="1" xfId="0" applyNumberFormat="1" applyFont="1" applyFill="1" applyBorder="1" applyAlignment="1">
      <alignment horizontal="center" vertical="top" wrapText="1"/>
    </xf>
    <xf numFmtId="0" fontId="40" fillId="11" borderId="2" xfId="0" applyFont="1" applyFill="1" applyBorder="1" applyAlignment="1">
      <alignment horizontal="center" vertical="center" wrapText="1"/>
    </xf>
    <xf numFmtId="0" fontId="40" fillId="11" borderId="1" xfId="0" applyFont="1" applyFill="1" applyBorder="1" applyAlignment="1">
      <alignment horizontal="center" vertical="center" wrapText="1"/>
    </xf>
    <xf numFmtId="9" fontId="39" fillId="11" borderId="1" xfId="0" applyNumberFormat="1" applyFont="1" applyFill="1" applyBorder="1" applyAlignment="1">
      <alignment horizontal="center" vertical="center" wrapText="1"/>
    </xf>
    <xf numFmtId="0" fontId="40" fillId="11" borderId="0" xfId="0" applyFont="1" applyFill="1" applyBorder="1" applyAlignment="1">
      <alignment horizontal="center" vertical="center" wrapText="1"/>
    </xf>
    <xf numFmtId="0" fontId="39" fillId="11" borderId="0" xfId="41" applyFont="1" applyFill="1"/>
    <xf numFmtId="164" fontId="4" fillId="11" borderId="0" xfId="19" applyFont="1" applyFill="1"/>
    <xf numFmtId="164" fontId="4" fillId="11" borderId="0" xfId="19" applyFont="1" applyFill="1" applyBorder="1" applyAlignment="1">
      <alignment vertical="center" wrapText="1" shrinkToFit="1"/>
    </xf>
    <xf numFmtId="164" fontId="4" fillId="11" borderId="0" xfId="19" applyFont="1" applyFill="1" applyBorder="1" applyAlignment="1">
      <alignment horizontal="center" vertical="center" wrapText="1" shrinkToFit="1"/>
    </xf>
    <xf numFmtId="164" fontId="3" fillId="11" borderId="1" xfId="19" applyFont="1" applyFill="1" applyBorder="1" applyAlignment="1">
      <alignment horizontal="center" vertical="center"/>
    </xf>
    <xf numFmtId="164" fontId="14" fillId="11" borderId="1" xfId="19" applyFont="1" applyFill="1" applyBorder="1" applyAlignment="1">
      <alignment horizontal="center" vertical="center" wrapText="1"/>
    </xf>
    <xf numFmtId="164" fontId="14" fillId="11" borderId="1" xfId="19" applyFont="1" applyFill="1" applyBorder="1" applyAlignment="1">
      <alignment horizontal="center" vertical="center"/>
    </xf>
    <xf numFmtId="164" fontId="2" fillId="11" borderId="1" xfId="19" applyFont="1" applyFill="1" applyBorder="1" applyAlignment="1">
      <alignment horizontal="center" vertical="center" wrapText="1"/>
    </xf>
    <xf numFmtId="164" fontId="10" fillId="11" borderId="1" xfId="19" applyFont="1" applyFill="1" applyBorder="1" applyAlignment="1">
      <alignment horizontal="center" vertical="center"/>
    </xf>
    <xf numFmtId="164" fontId="2" fillId="11" borderId="1" xfId="19" applyFont="1" applyFill="1" applyBorder="1" applyAlignment="1">
      <alignment horizontal="center" vertical="center"/>
    </xf>
    <xf numFmtId="164" fontId="2" fillId="11" borderId="1" xfId="19" applyFont="1" applyFill="1" applyBorder="1" applyAlignment="1">
      <alignment horizontal="center"/>
    </xf>
    <xf numFmtId="164" fontId="3" fillId="11" borderId="1" xfId="19" applyFont="1" applyFill="1" applyBorder="1"/>
    <xf numFmtId="164" fontId="3" fillId="11" borderId="1" xfId="19" applyFont="1" applyFill="1" applyBorder="1" applyAlignment="1">
      <alignment horizontal="center" vertical="top" wrapText="1"/>
    </xf>
    <xf numFmtId="164" fontId="2" fillId="11" borderId="1" xfId="19" applyFont="1" applyFill="1" applyBorder="1" applyAlignment="1">
      <alignment horizontal="left" vertical="top" wrapText="1"/>
    </xf>
    <xf numFmtId="164" fontId="22" fillId="11" borderId="1" xfId="19" applyFont="1" applyFill="1" applyBorder="1" applyAlignment="1">
      <alignment horizontal="left" vertical="top" wrapText="1"/>
    </xf>
    <xf numFmtId="164" fontId="2" fillId="11" borderId="1" xfId="19" applyFont="1" applyFill="1" applyBorder="1" applyAlignment="1">
      <alignment horizontal="center" vertical="top" wrapText="1"/>
    </xf>
    <xf numFmtId="164" fontId="3" fillId="11" borderId="1" xfId="19" applyFont="1" applyFill="1" applyBorder="1" applyAlignment="1">
      <alignment horizontal="center" vertical="center" wrapText="1"/>
    </xf>
    <xf numFmtId="164" fontId="9" fillId="11" borderId="1" xfId="19" applyFont="1" applyFill="1" applyBorder="1" applyAlignment="1">
      <alignment horizontal="center" vertical="center"/>
    </xf>
    <xf numFmtId="164" fontId="11" fillId="11" borderId="1" xfId="19" applyFont="1" applyFill="1" applyBorder="1" applyAlignment="1">
      <alignment horizontal="center" vertical="center" wrapText="1"/>
    </xf>
    <xf numFmtId="164" fontId="35" fillId="11" borderId="1" xfId="19" applyFont="1" applyFill="1" applyBorder="1" applyAlignment="1">
      <alignment horizontal="center" vertical="center"/>
    </xf>
    <xf numFmtId="164" fontId="11" fillId="11" borderId="1" xfId="19" applyFont="1" applyFill="1" applyBorder="1" applyAlignment="1">
      <alignment horizontal="center" vertical="center"/>
    </xf>
    <xf numFmtId="164" fontId="12" fillId="11" borderId="1" xfId="19" applyFont="1" applyFill="1" applyBorder="1" applyAlignment="1">
      <alignment horizontal="center" vertical="center"/>
    </xf>
    <xf numFmtId="164" fontId="27" fillId="11" borderId="1" xfId="19" applyFont="1" applyFill="1" applyBorder="1" applyAlignment="1">
      <alignment horizontal="center" vertical="center" wrapText="1"/>
    </xf>
    <xf numFmtId="164" fontId="36" fillId="11" borderId="1" xfId="19" applyFont="1" applyFill="1" applyBorder="1" applyAlignment="1">
      <alignment horizontal="center" vertical="center"/>
    </xf>
    <xf numFmtId="164" fontId="12" fillId="11" borderId="1" xfId="19" applyFont="1" applyFill="1" applyBorder="1" applyAlignment="1">
      <alignment horizontal="center" vertical="center" wrapText="1"/>
    </xf>
    <xf numFmtId="164" fontId="43" fillId="11" borderId="1" xfId="19" applyFont="1" applyFill="1" applyBorder="1" applyAlignment="1">
      <alignment horizontal="center" vertical="center" wrapText="1"/>
    </xf>
    <xf numFmtId="164" fontId="43" fillId="11" borderId="1" xfId="19" applyFont="1" applyFill="1" applyBorder="1" applyAlignment="1">
      <alignment horizontal="center" vertical="center"/>
    </xf>
    <xf numFmtId="164" fontId="2" fillId="11" borderId="2" xfId="19" applyFont="1" applyFill="1" applyBorder="1" applyAlignment="1">
      <alignment horizontal="center" vertical="top" wrapText="1"/>
    </xf>
    <xf numFmtId="164" fontId="10" fillId="11" borderId="2" xfId="19" applyFont="1" applyFill="1" applyBorder="1" applyAlignment="1">
      <alignment horizontal="center" vertical="center" wrapText="1"/>
    </xf>
    <xf numFmtId="164" fontId="10" fillId="11" borderId="1" xfId="19" applyFont="1" applyFill="1" applyBorder="1" applyAlignment="1">
      <alignment horizontal="center" vertical="center" wrapText="1"/>
    </xf>
    <xf numFmtId="164" fontId="5" fillId="11" borderId="1" xfId="19" applyFont="1" applyFill="1" applyBorder="1" applyAlignment="1">
      <alignment horizontal="center" vertical="center" wrapText="1"/>
    </xf>
    <xf numFmtId="164" fontId="10" fillId="11" borderId="0" xfId="19" applyFont="1" applyFill="1" applyBorder="1" applyAlignment="1">
      <alignment horizontal="center" vertical="center" wrapText="1"/>
    </xf>
    <xf numFmtId="164" fontId="2" fillId="11" borderId="0" xfId="19" applyFont="1" applyFill="1"/>
    <xf numFmtId="172" fontId="4" fillId="11" borderId="1" xfId="19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164" fontId="4" fillId="11" borderId="1" xfId="19" applyFont="1" applyFill="1" applyBorder="1" applyAlignment="1">
      <alignment horizontal="center" vertical="center"/>
    </xf>
    <xf numFmtId="0" fontId="39" fillId="11" borderId="1" xfId="0" applyFont="1" applyFill="1" applyBorder="1" applyAlignment="1">
      <alignment horizontal="center" vertical="center" wrapText="1"/>
    </xf>
    <xf numFmtId="0" fontId="42" fillId="11" borderId="1" xfId="0" applyFont="1" applyFill="1" applyBorder="1" applyAlignment="1">
      <alignment horizontal="center" vertical="center"/>
    </xf>
    <xf numFmtId="164" fontId="34" fillId="11" borderId="1" xfId="19" applyFont="1" applyFill="1" applyBorder="1" applyAlignment="1">
      <alignment horizontal="center" vertical="center" wrapText="1"/>
    </xf>
    <xf numFmtId="164" fontId="37" fillId="11" borderId="1" xfId="19" applyFont="1" applyFill="1" applyBorder="1" applyAlignment="1">
      <alignment horizontal="center" vertical="center"/>
    </xf>
    <xf numFmtId="14" fontId="39" fillId="11" borderId="1" xfId="0" quotePrefix="1" applyNumberFormat="1" applyFont="1" applyFill="1" applyBorder="1" applyAlignment="1">
      <alignment horizontal="center" vertical="center" wrapText="1"/>
    </xf>
    <xf numFmtId="0" fontId="44" fillId="11" borderId="1" xfId="0" applyFont="1" applyFill="1" applyBorder="1" applyAlignment="1">
      <alignment vertical="center" wrapText="1"/>
    </xf>
    <xf numFmtId="0" fontId="44" fillId="11" borderId="1" xfId="0" applyFont="1" applyFill="1" applyBorder="1" applyAlignment="1">
      <alignment horizontal="center" vertical="center"/>
    </xf>
    <xf numFmtId="0" fontId="44" fillId="11" borderId="1" xfId="0" applyFont="1" applyFill="1" applyBorder="1" applyAlignment="1">
      <alignment horizontal="center" vertical="center" wrapText="1"/>
    </xf>
    <xf numFmtId="2" fontId="44" fillId="11" borderId="1" xfId="0" applyNumberFormat="1" applyFont="1" applyFill="1" applyBorder="1" applyAlignment="1">
      <alignment horizontal="center" vertical="center" wrapText="1"/>
    </xf>
    <xf numFmtId="164" fontId="44" fillId="11" borderId="1" xfId="19" applyFont="1" applyFill="1" applyBorder="1" applyAlignment="1">
      <alignment horizontal="center" vertical="center" wrapText="1"/>
    </xf>
    <xf numFmtId="166" fontId="4" fillId="11" borderId="1" xfId="0" applyNumberFormat="1" applyFont="1" applyFill="1" applyBorder="1" applyAlignment="1">
      <alignment horizontal="center" vertical="center"/>
    </xf>
    <xf numFmtId="0" fontId="39" fillId="11" borderId="1" xfId="0" applyFont="1" applyFill="1" applyBorder="1" applyAlignment="1">
      <alignment horizontal="center" vertical="top" wrapText="1"/>
    </xf>
    <xf numFmtId="0" fontId="39" fillId="11" borderId="1" xfId="42" quotePrefix="1" applyFont="1" applyFill="1" applyBorder="1" applyAlignment="1">
      <alignment horizontal="center" vertical="top" wrapText="1"/>
    </xf>
    <xf numFmtId="0" fontId="9" fillId="11" borderId="0" xfId="0" applyFont="1" applyFill="1" applyAlignment="1">
      <alignment horizontal="center" vertical="center"/>
    </xf>
    <xf numFmtId="0" fontId="9" fillId="11" borderId="0" xfId="0" applyFont="1" applyFill="1" applyAlignment="1">
      <alignment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Alignment="1">
      <alignment vertical="center"/>
    </xf>
    <xf numFmtId="0" fontId="9" fillId="11" borderId="0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9" fillId="11" borderId="1" xfId="0" applyNumberFormat="1" applyFont="1" applyFill="1" applyBorder="1" applyAlignment="1">
      <alignment horizontal="center" vertical="center" wrapText="1"/>
    </xf>
    <xf numFmtId="0" fontId="9" fillId="11" borderId="1" xfId="19" applyNumberFormat="1" applyFont="1" applyFill="1" applyBorder="1" applyAlignment="1">
      <alignment horizontal="center" vertical="center" wrapText="1"/>
    </xf>
    <xf numFmtId="49" fontId="9" fillId="11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 wrapText="1"/>
    </xf>
    <xf numFmtId="164" fontId="9" fillId="11" borderId="1" xfId="19" applyFont="1" applyFill="1" applyBorder="1" applyAlignment="1">
      <alignment horizontal="center" vertical="center" wrapText="1"/>
    </xf>
    <xf numFmtId="164" fontId="9" fillId="11" borderId="1" xfId="19" applyFont="1" applyFill="1" applyBorder="1" applyAlignment="1">
      <alignment horizontal="left" vertical="center" wrapText="1"/>
    </xf>
    <xf numFmtId="2" fontId="9" fillId="11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horizontal="left" vertical="center" wrapText="1"/>
    </xf>
    <xf numFmtId="164" fontId="8" fillId="11" borderId="0" xfId="19" applyFont="1" applyFill="1" applyBorder="1" applyAlignment="1">
      <alignment horizontal="center" vertical="center" wrapText="1"/>
    </xf>
    <xf numFmtId="2" fontId="8" fillId="11" borderId="0" xfId="19" applyNumberFormat="1" applyFont="1" applyFill="1" applyBorder="1" applyAlignment="1">
      <alignment horizontal="center" vertical="center" wrapText="1"/>
    </xf>
    <xf numFmtId="0" fontId="9" fillId="11" borderId="0" xfId="66" applyFont="1" applyFill="1" applyBorder="1" applyAlignment="1">
      <alignment vertical="center" wrapText="1"/>
    </xf>
    <xf numFmtId="2" fontId="9" fillId="11" borderId="0" xfId="0" applyNumberFormat="1" applyFont="1" applyFill="1" applyBorder="1" applyAlignment="1">
      <alignment horizontal="center" vertical="center" wrapText="1"/>
    </xf>
    <xf numFmtId="165" fontId="9" fillId="11" borderId="0" xfId="0" applyNumberFormat="1" applyFont="1" applyFill="1" applyBorder="1" applyAlignment="1">
      <alignment vertical="center" wrapText="1"/>
    </xf>
    <xf numFmtId="165" fontId="9" fillId="11" borderId="0" xfId="0" applyNumberFormat="1" applyFont="1" applyFill="1" applyBorder="1" applyAlignment="1">
      <alignment horizontal="left" vertical="center" wrapText="1"/>
    </xf>
    <xf numFmtId="2" fontId="9" fillId="11" borderId="0" xfId="0" applyNumberFormat="1" applyFont="1" applyFill="1" applyBorder="1" applyAlignment="1">
      <alignment horizontal="center" vertical="center"/>
    </xf>
    <xf numFmtId="164" fontId="9" fillId="11" borderId="0" xfId="0" applyNumberFormat="1" applyFont="1" applyFill="1" applyBorder="1" applyAlignment="1">
      <alignment vertical="center"/>
    </xf>
    <xf numFmtId="0" fontId="3" fillId="11" borderId="0" xfId="0" applyFont="1" applyFill="1"/>
    <xf numFmtId="2" fontId="3" fillId="11" borderId="0" xfId="0" applyNumberFormat="1" applyFont="1" applyFill="1" applyBorder="1" applyAlignment="1">
      <alignment horizontal="center"/>
    </xf>
    <xf numFmtId="0" fontId="9" fillId="11" borderId="0" xfId="0" applyFont="1" applyFill="1" applyBorder="1" applyAlignment="1">
      <alignment horizontal="left" vertical="center" wrapText="1"/>
    </xf>
    <xf numFmtId="0" fontId="9" fillId="11" borderId="0" xfId="0" applyNumberFormat="1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vertical="center" wrapText="1"/>
    </xf>
    <xf numFmtId="169" fontId="9" fillId="11" borderId="0" xfId="19" applyNumberFormat="1" applyFont="1" applyFill="1" applyBorder="1" applyAlignment="1">
      <alignment horizontal="center" vertical="center" wrapText="1"/>
    </xf>
    <xf numFmtId="0" fontId="9" fillId="11" borderId="0" xfId="19" applyNumberFormat="1" applyFont="1" applyFill="1" applyBorder="1" applyAlignment="1">
      <alignment horizontal="center" vertical="center" wrapText="1"/>
    </xf>
    <xf numFmtId="169" fontId="9" fillId="11" borderId="0" xfId="19" applyNumberFormat="1" applyFont="1" applyFill="1" applyBorder="1" applyAlignment="1">
      <alignment vertical="center" wrapText="1"/>
    </xf>
    <xf numFmtId="169" fontId="9" fillId="11" borderId="0" xfId="19" applyNumberFormat="1" applyFont="1" applyFill="1" applyBorder="1" applyAlignment="1">
      <alignment horizontal="left" vertical="center" wrapText="1"/>
    </xf>
    <xf numFmtId="169" fontId="9" fillId="11" borderId="0" xfId="19" applyNumberFormat="1" applyFont="1" applyFill="1" applyBorder="1" applyAlignment="1">
      <alignment vertical="center"/>
    </xf>
    <xf numFmtId="165" fontId="9" fillId="11" borderId="0" xfId="19" applyNumberFormat="1" applyFont="1" applyFill="1" applyBorder="1" applyAlignment="1">
      <alignment horizontal="center" vertical="center" wrapText="1"/>
    </xf>
    <xf numFmtId="165" fontId="9" fillId="11" borderId="0" xfId="19" applyNumberFormat="1" applyFont="1" applyFill="1" applyBorder="1" applyAlignment="1">
      <alignment vertical="center" wrapText="1"/>
    </xf>
    <xf numFmtId="165" fontId="9" fillId="11" borderId="0" xfId="19" applyNumberFormat="1" applyFont="1" applyFill="1" applyBorder="1" applyAlignment="1">
      <alignment horizontal="left" vertical="center" wrapText="1"/>
    </xf>
    <xf numFmtId="165" fontId="9" fillId="11" borderId="0" xfId="19" applyNumberFormat="1" applyFont="1" applyFill="1" applyBorder="1" applyAlignment="1">
      <alignment vertical="center"/>
    </xf>
    <xf numFmtId="10" fontId="9" fillId="11" borderId="0" xfId="0" applyNumberFormat="1" applyFont="1" applyFill="1" applyBorder="1" applyAlignment="1">
      <alignment vertical="center"/>
    </xf>
    <xf numFmtId="9" fontId="9" fillId="11" borderId="0" xfId="0" applyNumberFormat="1" applyFont="1" applyFill="1" applyBorder="1" applyAlignment="1">
      <alignment vertical="center"/>
    </xf>
    <xf numFmtId="0" fontId="9" fillId="11" borderId="0" xfId="0" applyFont="1" applyFill="1" applyAlignment="1">
      <alignment horizontal="center" vertical="center" wrapText="1"/>
    </xf>
    <xf numFmtId="0" fontId="9" fillId="11" borderId="0" xfId="0" applyNumberFormat="1" applyFont="1" applyFill="1" applyAlignment="1">
      <alignment horizontal="center" vertical="center" wrapText="1"/>
    </xf>
    <xf numFmtId="0" fontId="9" fillId="11" borderId="0" xfId="0" applyFont="1" applyFill="1" applyAlignment="1">
      <alignment vertical="center" wrapText="1"/>
    </xf>
    <xf numFmtId="0" fontId="9" fillId="11" borderId="0" xfId="0" applyFont="1" applyFill="1" applyAlignment="1">
      <alignment horizontal="left" vertical="center" wrapText="1"/>
    </xf>
    <xf numFmtId="0" fontId="12" fillId="11" borderId="0" xfId="0" applyFont="1" applyFill="1" applyAlignment="1">
      <alignment horizontal="right" vertical="center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9" fillId="11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164" fontId="4" fillId="11" borderId="1" xfId="19" applyFont="1" applyFill="1" applyBorder="1" applyAlignment="1">
      <alignment horizontal="center" vertical="center"/>
    </xf>
    <xf numFmtId="0" fontId="3" fillId="11" borderId="4" xfId="66" applyFont="1" applyFill="1" applyBorder="1" applyAlignment="1">
      <alignment horizontal="center" vertical="center"/>
    </xf>
    <xf numFmtId="0" fontId="3" fillId="11" borderId="5" xfId="66" applyFont="1" applyFill="1" applyBorder="1" applyAlignment="1">
      <alignment horizontal="center" vertical="center"/>
    </xf>
    <xf numFmtId="0" fontId="3" fillId="11" borderId="3" xfId="66" applyFont="1" applyFill="1" applyBorder="1" applyAlignment="1">
      <alignment horizontal="center" vertical="center"/>
    </xf>
    <xf numFmtId="0" fontId="27" fillId="11" borderId="4" xfId="52" applyFont="1" applyFill="1" applyBorder="1" applyAlignment="1">
      <alignment horizontal="center" vertical="center" wrapText="1"/>
    </xf>
    <xf numFmtId="0" fontId="27" fillId="11" borderId="5" xfId="52" applyFont="1" applyFill="1" applyBorder="1" applyAlignment="1">
      <alignment horizontal="center" vertical="center" wrapText="1"/>
    </xf>
    <xf numFmtId="0" fontId="27" fillId="11" borderId="3" xfId="52" applyFont="1" applyFill="1" applyBorder="1" applyAlignment="1">
      <alignment horizontal="center" vertical="center" wrapText="1"/>
    </xf>
    <xf numFmtId="0" fontId="3" fillId="11" borderId="4" xfId="44" applyFont="1" applyFill="1" applyBorder="1" applyAlignment="1">
      <alignment horizontal="center" vertical="center" wrapText="1"/>
    </xf>
    <xf numFmtId="0" fontId="3" fillId="11" borderId="5" xfId="44" applyFont="1" applyFill="1" applyBorder="1" applyAlignment="1">
      <alignment horizontal="center" vertical="center" wrapText="1"/>
    </xf>
    <xf numFmtId="0" fontId="3" fillId="11" borderId="3" xfId="44" applyFont="1" applyFill="1" applyBorder="1" applyAlignment="1">
      <alignment horizontal="center" vertical="center" wrapText="1"/>
    </xf>
    <xf numFmtId="0" fontId="27" fillId="11" borderId="4" xfId="0" applyFont="1" applyFill="1" applyBorder="1" applyAlignment="1">
      <alignment horizontal="center" vertical="center" wrapText="1"/>
    </xf>
    <xf numFmtId="0" fontId="27" fillId="11" borderId="5" xfId="0" applyFont="1" applyFill="1" applyBorder="1" applyAlignment="1">
      <alignment horizontal="center" vertical="center" wrapText="1"/>
    </xf>
    <xf numFmtId="0" fontId="27" fillId="11" borderId="3" xfId="0" applyFont="1" applyFill="1" applyBorder="1" applyAlignment="1">
      <alignment horizontal="center" vertical="center" wrapText="1"/>
    </xf>
    <xf numFmtId="164" fontId="4" fillId="11" borderId="1" xfId="19" applyFont="1" applyFill="1" applyBorder="1" applyAlignment="1">
      <alignment horizontal="center" vertical="center" wrapText="1"/>
    </xf>
    <xf numFmtId="0" fontId="12" fillId="11" borderId="0" xfId="66" applyFont="1" applyFill="1" applyBorder="1" applyAlignment="1">
      <alignment horizontal="left" vertical="center" shrinkToFit="1"/>
    </xf>
    <xf numFmtId="0" fontId="3" fillId="11" borderId="0" xfId="66" applyFont="1" applyFill="1" applyBorder="1" applyAlignment="1">
      <alignment horizontal="center" vertical="center" wrapText="1" shrinkToFit="1"/>
    </xf>
    <xf numFmtId="0" fontId="4" fillId="11" borderId="6" xfId="0" applyFont="1" applyFill="1" applyBorder="1" applyAlignment="1">
      <alignment horizontal="right" vertical="center"/>
    </xf>
    <xf numFmtId="0" fontId="39" fillId="11" borderId="1" xfId="0" applyFont="1" applyFill="1" applyBorder="1" applyAlignment="1">
      <alignment horizontal="center" vertical="center" wrapText="1"/>
    </xf>
  </cellXfs>
  <cellStyles count="68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Comma" xfId="19" builtinId="3"/>
    <cellStyle name="Comma 10 2" xfId="20"/>
    <cellStyle name="Comma 10 2 2" xfId="21"/>
    <cellStyle name="Comma 10 3" xfId="22"/>
    <cellStyle name="Comma 2" xfId="23"/>
    <cellStyle name="Comma 2 2" xfId="24"/>
    <cellStyle name="Comma 2 2 2" xfId="25"/>
    <cellStyle name="Comma 2 2 2 2" xfId="26"/>
    <cellStyle name="Comma 2 3" xfId="27"/>
    <cellStyle name="Comma 2 3 2" xfId="28"/>
    <cellStyle name="Comma 2 3 2 2" xfId="29"/>
    <cellStyle name="Comma 2 4" xfId="30"/>
    <cellStyle name="Comma 2 4 2" xfId="31"/>
    <cellStyle name="Comma 3" xfId="32"/>
    <cellStyle name="Comma 3 2" xfId="33"/>
    <cellStyle name="Comma 3 2 2" xfId="34"/>
    <cellStyle name="Comma 3 3" xfId="35"/>
    <cellStyle name="Comma 4" xfId="36"/>
    <cellStyle name="Comma 4 2" xfId="37"/>
    <cellStyle name="Comma 4 3" xfId="38"/>
    <cellStyle name="Comma 5" xfId="39"/>
    <cellStyle name="Comma 6" xfId="40"/>
    <cellStyle name="Normal" xfId="0" builtinId="0"/>
    <cellStyle name="Normal 10" xfId="41"/>
    <cellStyle name="Normal 11" xfId="42"/>
    <cellStyle name="Normal 14" xfId="43"/>
    <cellStyle name="Normal 2" xfId="44"/>
    <cellStyle name="Normal 2 2" xfId="45"/>
    <cellStyle name="Normal 2 2 2" xfId="46"/>
    <cellStyle name="Normal 2 2 3" xfId="47"/>
    <cellStyle name="Normal 2 2_MCXETA yazarma- Copy" xfId="48"/>
    <cellStyle name="Normal 2 3" xfId="49"/>
    <cellStyle name="Normal 2_---SUL--- GORI-HOSPITALI-BOLO" xfId="50"/>
    <cellStyle name="Normal 29" xfId="51"/>
    <cellStyle name="Normal 3" xfId="52"/>
    <cellStyle name="Normal 3 2" xfId="53"/>
    <cellStyle name="Normal 4" xfId="54"/>
    <cellStyle name="Normal 5" xfId="55"/>
    <cellStyle name="Normal 6" xfId="56"/>
    <cellStyle name="Normal 7" xfId="57"/>
    <cellStyle name="Normal 7 2" xfId="58"/>
    <cellStyle name="Normal 7 2 2" xfId="59"/>
    <cellStyle name="Normal 7 3" xfId="60"/>
    <cellStyle name="Normal 8" xfId="61"/>
    <cellStyle name="Normal 8 2" xfId="62"/>
    <cellStyle name="Normal 8 2 2" xfId="63"/>
    <cellStyle name="Normal_gare wyalsadfenigagarini 2 2" xfId="64"/>
    <cellStyle name="Percent 2" xfId="65"/>
    <cellStyle name="Обычный_Лист1" xfId="66"/>
    <cellStyle name="Финансовый 2" xfId="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%20wlis%20proeqtebi\atenis%20wyali%20me-III%20etapi\ateni%20me-3%20etapi%20gamzadebuli\&#4304;&#4322;&#4308;&#4316;&#4312;\ateni%20gamzadebuli%20mtlianad\naxazebi%20da%20dokumentacia\&#4304;&#4322;&#4308;&#4316;&#4312;\&#4321;&#4317;&#4324;.%20&#4304;&#4322;&#4308;&#4316;&#4312;&#4321;%2013%20&#4306;&#4320;&#4304;&#4324;&#4312;&#4304;&#4316;&#43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n.barat"/>
      <sheetName val="obieqturi"/>
      <sheetName val="1-1"/>
      <sheetName val="1-2"/>
      <sheetName val="1-3"/>
      <sheetName val="1-4"/>
      <sheetName val="1-5"/>
      <sheetName val="1-6"/>
      <sheetName val="1-6.1"/>
      <sheetName val="1-6.2"/>
      <sheetName val="1-6.3"/>
      <sheetName val="1-7"/>
      <sheetName val="1-8"/>
      <sheetName val="1-9"/>
      <sheetName val="მილის და ტრანშეის მოცულო"/>
      <sheetName val="მილის და ტრანშეის მოცულო (2)"/>
    </sheetNames>
    <sheetDataSet>
      <sheetData sheetId="0" refreshError="1">
        <row r="11">
          <cell r="A11" t="str">
            <v>goris municipalitetis sof. ატენის wyalmomaragebis qselis reabilitacia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26"/>
  <sheetViews>
    <sheetView view="pageBreakPreview" zoomScaleNormal="85" zoomScaleSheetLayoutView="100" workbookViewId="0">
      <selection activeCell="G24" sqref="G24"/>
    </sheetView>
  </sheetViews>
  <sheetFormatPr defaultRowHeight="15.75"/>
  <cols>
    <col min="1" max="1" width="3.42578125" style="198" customWidth="1"/>
    <col min="2" max="2" width="7.7109375" style="198" customWidth="1"/>
    <col min="3" max="3" width="52.28515625" style="198" customWidth="1"/>
    <col min="4" max="4" width="14.28515625" style="237" customWidth="1"/>
    <col min="5" max="5" width="12.42578125" style="238" customWidth="1"/>
    <col min="6" max="6" width="14.7109375" style="239" customWidth="1"/>
    <col min="7" max="7" width="13.42578125" style="240" customWidth="1"/>
    <col min="8" max="8" width="14.85546875" style="198" customWidth="1"/>
    <col min="9" max="9" width="13.85546875" style="198" customWidth="1"/>
    <col min="10" max="10" width="13.42578125" style="76" bestFit="1" customWidth="1"/>
    <col min="11" max="11" width="10.28515625" style="76" bestFit="1" customWidth="1"/>
    <col min="12" max="13" width="9.140625" style="76"/>
    <col min="14" max="16384" width="9.140625" style="198"/>
  </cols>
  <sheetData>
    <row r="1" spans="1:13" ht="16.5">
      <c r="A1" s="197"/>
      <c r="B1" s="197"/>
      <c r="C1" s="197"/>
      <c r="D1" s="197"/>
      <c r="E1" s="197"/>
      <c r="F1" s="197"/>
      <c r="G1" s="197"/>
      <c r="H1" s="241"/>
      <c r="I1" s="241"/>
    </row>
    <row r="2" spans="1:13" ht="16.5">
      <c r="A2" s="197"/>
      <c r="B2" s="197"/>
      <c r="C2" s="197"/>
      <c r="D2" s="197"/>
      <c r="E2" s="197"/>
      <c r="F2" s="197"/>
      <c r="G2" s="197"/>
      <c r="H2" s="241"/>
      <c r="I2" s="241"/>
    </row>
    <row r="3" spans="1:13">
      <c r="A3" s="242" t="s">
        <v>23</v>
      </c>
      <c r="B3" s="242"/>
      <c r="C3" s="242"/>
      <c r="D3" s="242"/>
      <c r="E3" s="242"/>
      <c r="F3" s="242"/>
      <c r="G3" s="242"/>
      <c r="H3" s="242"/>
      <c r="I3" s="242"/>
    </row>
    <row r="4" spans="1:13" s="200" customFormat="1">
      <c r="A4" s="243" t="e">
        <f>#REF!</f>
        <v>#REF!</v>
      </c>
      <c r="B4" s="243"/>
      <c r="C4" s="243"/>
      <c r="D4" s="243"/>
      <c r="E4" s="243"/>
      <c r="F4" s="243"/>
      <c r="G4" s="243"/>
      <c r="H4" s="243"/>
      <c r="I4" s="243"/>
      <c r="J4" s="199"/>
      <c r="K4" s="199"/>
      <c r="L4" s="199"/>
      <c r="M4" s="199"/>
    </row>
    <row r="5" spans="1:13" ht="16.5" customHeight="1">
      <c r="C5" s="201"/>
      <c r="D5" s="201"/>
      <c r="E5" s="201"/>
      <c r="F5" s="244" t="s">
        <v>9</v>
      </c>
      <c r="G5" s="244"/>
      <c r="H5" s="244"/>
      <c r="I5" s="244"/>
    </row>
    <row r="6" spans="1:13" ht="15.75" customHeight="1">
      <c r="A6" s="245" t="s">
        <v>10</v>
      </c>
      <c r="B6" s="246" t="s">
        <v>11</v>
      </c>
      <c r="C6" s="246" t="s">
        <v>12</v>
      </c>
      <c r="D6" s="245" t="s">
        <v>13</v>
      </c>
      <c r="E6" s="245"/>
      <c r="F6" s="245"/>
      <c r="G6" s="245"/>
      <c r="H6" s="245"/>
      <c r="I6" s="246" t="s">
        <v>14</v>
      </c>
    </row>
    <row r="7" spans="1:13" ht="23.25" customHeight="1">
      <c r="A7" s="245"/>
      <c r="B7" s="246"/>
      <c r="C7" s="246"/>
      <c r="D7" s="246" t="s">
        <v>15</v>
      </c>
      <c r="E7" s="247" t="s">
        <v>16</v>
      </c>
      <c r="F7" s="246" t="s">
        <v>17</v>
      </c>
      <c r="G7" s="246" t="s">
        <v>18</v>
      </c>
      <c r="H7" s="245" t="s">
        <v>19</v>
      </c>
      <c r="I7" s="246"/>
    </row>
    <row r="8" spans="1:13">
      <c r="A8" s="245"/>
      <c r="B8" s="246"/>
      <c r="C8" s="246"/>
      <c r="D8" s="246"/>
      <c r="E8" s="247"/>
      <c r="F8" s="246"/>
      <c r="G8" s="246"/>
      <c r="H8" s="245"/>
      <c r="I8" s="246"/>
    </row>
    <row r="9" spans="1:13" ht="14.25" customHeight="1">
      <c r="A9" s="202">
        <v>1</v>
      </c>
      <c r="B9" s="203">
        <v>2</v>
      </c>
      <c r="C9" s="202">
        <v>3</v>
      </c>
      <c r="D9" s="203">
        <v>4</v>
      </c>
      <c r="E9" s="204">
        <v>5</v>
      </c>
      <c r="F9" s="203">
        <v>6</v>
      </c>
      <c r="G9" s="203">
        <v>7</v>
      </c>
      <c r="H9" s="205">
        <v>8</v>
      </c>
      <c r="I9" s="202">
        <v>9</v>
      </c>
    </row>
    <row r="10" spans="1:13">
      <c r="A10" s="202">
        <v>3</v>
      </c>
      <c r="B10" s="206"/>
      <c r="C10" s="207" t="s">
        <v>99</v>
      </c>
      <c r="D10" s="165" t="e">
        <f>'შიდა ქსელი'!M398</f>
        <v>#REF!</v>
      </c>
      <c r="E10" s="208"/>
      <c r="F10" s="208"/>
      <c r="G10" s="209"/>
      <c r="H10" s="208" t="e">
        <f>SUM(D10:G10)</f>
        <v>#REF!</v>
      </c>
      <c r="I10" s="210"/>
    </row>
    <row r="11" spans="1:13">
      <c r="A11" s="202"/>
      <c r="B11" s="206"/>
      <c r="C11" s="207" t="s">
        <v>2</v>
      </c>
      <c r="D11" s="165"/>
      <c r="E11" s="208"/>
      <c r="F11" s="208"/>
      <c r="G11" s="209"/>
      <c r="H11" s="208" t="e">
        <f>SUM(H10:H10)</f>
        <v>#REF!</v>
      </c>
      <c r="I11" s="210"/>
    </row>
    <row r="12" spans="1:13" ht="21" customHeight="1">
      <c r="A12" s="211"/>
      <c r="B12" s="211"/>
      <c r="C12" s="212" t="s">
        <v>20</v>
      </c>
      <c r="D12" s="208"/>
      <c r="E12" s="208"/>
      <c r="F12" s="208"/>
      <c r="G12" s="208"/>
      <c r="H12" s="208" t="e">
        <f>H11*3%</f>
        <v>#REF!</v>
      </c>
      <c r="I12" s="210"/>
    </row>
    <row r="13" spans="1:13">
      <c r="A13" s="211"/>
      <c r="B13" s="211"/>
      <c r="C13" s="212" t="s">
        <v>2</v>
      </c>
      <c r="D13" s="208"/>
      <c r="E13" s="208"/>
      <c r="F13" s="208"/>
      <c r="G13" s="208"/>
      <c r="H13" s="208" t="e">
        <f>H11+H12</f>
        <v>#REF!</v>
      </c>
      <c r="I13" s="210"/>
    </row>
    <row r="14" spans="1:13" ht="18.75" customHeight="1">
      <c r="A14" s="211"/>
      <c r="B14" s="211"/>
      <c r="C14" s="212" t="s">
        <v>21</v>
      </c>
      <c r="D14" s="208"/>
      <c r="E14" s="208"/>
      <c r="F14" s="208"/>
      <c r="G14" s="208"/>
      <c r="H14" s="208" t="e">
        <f>H13*18%</f>
        <v>#REF!</v>
      </c>
      <c r="I14" s="210"/>
    </row>
    <row r="15" spans="1:13" s="76" customFormat="1" ht="17.25" customHeight="1">
      <c r="A15" s="211"/>
      <c r="B15" s="211"/>
      <c r="C15" s="212" t="s">
        <v>2</v>
      </c>
      <c r="D15" s="208"/>
      <c r="E15" s="208"/>
      <c r="F15" s="208"/>
      <c r="G15" s="208"/>
      <c r="H15" s="208" t="e">
        <f>H14+H13</f>
        <v>#REF!</v>
      </c>
      <c r="I15" s="210"/>
      <c r="J15" s="213"/>
      <c r="K15" s="214"/>
    </row>
    <row r="16" spans="1:13" s="76" customFormat="1">
      <c r="C16" s="215"/>
      <c r="D16" s="216"/>
      <c r="E16" s="216"/>
      <c r="F16" s="217"/>
      <c r="G16" s="218"/>
      <c r="H16" s="219"/>
      <c r="I16" s="220"/>
    </row>
    <row r="17" spans="1:13" s="221" customFormat="1" ht="13.5">
      <c r="A17" s="90"/>
      <c r="B17" s="9"/>
      <c r="D17" s="90"/>
      <c r="E17" s="90"/>
      <c r="F17" s="90"/>
      <c r="J17" s="90"/>
      <c r="K17" s="90"/>
      <c r="L17" s="91"/>
      <c r="M17" s="222"/>
    </row>
    <row r="18" spans="1:13" s="76" customFormat="1">
      <c r="D18" s="201"/>
      <c r="E18" s="224"/>
      <c r="F18" s="225"/>
      <c r="G18" s="223"/>
    </row>
    <row r="19" spans="1:13" s="76" customFormat="1">
      <c r="D19" s="201"/>
      <c r="E19" s="224"/>
      <c r="F19" s="225"/>
      <c r="G19" s="223"/>
    </row>
    <row r="20" spans="1:13" s="76" customFormat="1">
      <c r="D20" s="201"/>
      <c r="E20" s="224"/>
      <c r="F20" s="225"/>
      <c r="G20" s="223"/>
    </row>
    <row r="21" spans="1:13" s="76" customFormat="1">
      <c r="D21" s="201"/>
      <c r="E21" s="224"/>
      <c r="F21" s="225"/>
      <c r="G21" s="223"/>
    </row>
    <row r="22" spans="1:13" s="76" customFormat="1">
      <c r="D22" s="201"/>
      <c r="E22" s="224"/>
      <c r="F22" s="225"/>
      <c r="G22" s="223"/>
    </row>
    <row r="23" spans="1:13" s="76" customFormat="1">
      <c r="D23" s="201"/>
      <c r="E23" s="224"/>
      <c r="F23" s="225"/>
      <c r="G23" s="223"/>
    </row>
    <row r="24" spans="1:13" s="76" customFormat="1">
      <c r="D24" s="226"/>
      <c r="E24" s="227"/>
      <c r="F24" s="228"/>
      <c r="G24" s="229"/>
      <c r="H24" s="230"/>
    </row>
    <row r="25" spans="1:13" s="76" customFormat="1">
      <c r="D25" s="231"/>
      <c r="E25" s="227"/>
      <c r="F25" s="232"/>
      <c r="G25" s="233"/>
      <c r="H25" s="234"/>
    </row>
    <row r="26" spans="1:13" s="76" customFormat="1">
      <c r="B26" s="235"/>
      <c r="D26" s="231"/>
      <c r="E26" s="227"/>
      <c r="F26" s="232"/>
      <c r="G26" s="233"/>
      <c r="H26" s="234"/>
    </row>
    <row r="27" spans="1:13" s="76" customFormat="1">
      <c r="D27" s="231"/>
      <c r="E27" s="227"/>
      <c r="F27" s="232"/>
      <c r="G27" s="233"/>
      <c r="H27" s="234"/>
    </row>
    <row r="28" spans="1:13" s="76" customFormat="1">
      <c r="B28" s="235"/>
      <c r="D28" s="231"/>
      <c r="E28" s="227"/>
      <c r="F28" s="232"/>
      <c r="G28" s="233"/>
      <c r="H28" s="234"/>
    </row>
    <row r="29" spans="1:13" s="76" customFormat="1">
      <c r="D29" s="231"/>
      <c r="E29" s="227"/>
      <c r="F29" s="232"/>
      <c r="G29" s="233"/>
      <c r="H29" s="234"/>
    </row>
    <row r="30" spans="1:13" s="76" customFormat="1">
      <c r="D30" s="231"/>
      <c r="E30" s="227"/>
      <c r="F30" s="232"/>
      <c r="G30" s="233"/>
      <c r="H30" s="234"/>
    </row>
    <row r="31" spans="1:13" s="76" customFormat="1">
      <c r="D31" s="231"/>
      <c r="E31" s="227"/>
      <c r="F31" s="232"/>
      <c r="G31" s="233"/>
      <c r="H31" s="234"/>
    </row>
    <row r="32" spans="1:13" s="76" customFormat="1">
      <c r="D32" s="231"/>
      <c r="E32" s="227"/>
      <c r="F32" s="232"/>
      <c r="G32" s="233"/>
      <c r="H32" s="234"/>
    </row>
    <row r="33" spans="2:8" s="76" customFormat="1">
      <c r="B33" s="235"/>
      <c r="D33" s="231"/>
      <c r="E33" s="227"/>
      <c r="F33" s="232"/>
      <c r="G33" s="233"/>
      <c r="H33" s="234"/>
    </row>
    <row r="34" spans="2:8" s="76" customFormat="1">
      <c r="B34" s="235"/>
      <c r="D34" s="231"/>
      <c r="E34" s="227"/>
      <c r="F34" s="232"/>
      <c r="G34" s="233"/>
      <c r="H34" s="234"/>
    </row>
    <row r="35" spans="2:8" s="76" customFormat="1">
      <c r="B35" s="235"/>
      <c r="D35" s="231"/>
      <c r="E35" s="227"/>
      <c r="F35" s="232"/>
      <c r="G35" s="233"/>
      <c r="H35" s="234"/>
    </row>
    <row r="36" spans="2:8" s="76" customFormat="1">
      <c r="D36" s="231"/>
      <c r="E36" s="227"/>
      <c r="F36" s="232"/>
      <c r="G36" s="233"/>
      <c r="H36" s="234"/>
    </row>
    <row r="37" spans="2:8" s="76" customFormat="1">
      <c r="D37" s="231"/>
      <c r="E37" s="227"/>
      <c r="F37" s="232"/>
      <c r="G37" s="233"/>
      <c r="H37" s="234"/>
    </row>
    <row r="38" spans="2:8" s="76" customFormat="1">
      <c r="D38" s="231"/>
      <c r="E38" s="227"/>
      <c r="F38" s="232"/>
      <c r="G38" s="233"/>
      <c r="H38" s="234"/>
    </row>
    <row r="39" spans="2:8" s="76" customFormat="1">
      <c r="B39" s="235"/>
      <c r="D39" s="231"/>
      <c r="E39" s="227"/>
      <c r="F39" s="232"/>
      <c r="G39" s="233"/>
      <c r="H39" s="234"/>
    </row>
    <row r="40" spans="2:8" s="76" customFormat="1">
      <c r="D40" s="231"/>
      <c r="E40" s="227"/>
      <c r="F40" s="232"/>
      <c r="G40" s="233"/>
      <c r="H40" s="234"/>
    </row>
    <row r="41" spans="2:8" s="76" customFormat="1">
      <c r="D41" s="231"/>
      <c r="E41" s="227"/>
      <c r="F41" s="232"/>
      <c r="G41" s="233"/>
      <c r="H41" s="234"/>
    </row>
    <row r="42" spans="2:8" s="76" customFormat="1">
      <c r="D42" s="231"/>
      <c r="E42" s="227"/>
      <c r="F42" s="232"/>
      <c r="G42" s="233"/>
      <c r="H42" s="234"/>
    </row>
    <row r="43" spans="2:8" s="76" customFormat="1">
      <c r="D43" s="231"/>
      <c r="E43" s="227"/>
      <c r="F43" s="232"/>
      <c r="G43" s="233"/>
      <c r="H43" s="234"/>
    </row>
    <row r="44" spans="2:8" s="76" customFormat="1">
      <c r="D44" s="231"/>
      <c r="E44" s="227"/>
      <c r="F44" s="232"/>
      <c r="G44" s="233"/>
      <c r="H44" s="234"/>
    </row>
    <row r="45" spans="2:8" s="76" customFormat="1">
      <c r="D45" s="231"/>
      <c r="E45" s="227"/>
      <c r="F45" s="232"/>
      <c r="G45" s="233"/>
      <c r="H45" s="234"/>
    </row>
    <row r="46" spans="2:8" s="76" customFormat="1">
      <c r="B46" s="236"/>
      <c r="D46" s="231"/>
      <c r="E46" s="227"/>
      <c r="F46" s="232"/>
      <c r="G46" s="233"/>
      <c r="H46" s="234"/>
    </row>
    <row r="47" spans="2:8" s="76" customFormat="1">
      <c r="D47" s="231"/>
      <c r="E47" s="227"/>
      <c r="F47" s="232"/>
      <c r="G47" s="233"/>
      <c r="H47" s="234"/>
    </row>
    <row r="48" spans="2:8" s="76" customFormat="1">
      <c r="D48" s="231"/>
      <c r="E48" s="227"/>
      <c r="F48" s="232"/>
      <c r="G48" s="233"/>
      <c r="H48" s="234"/>
    </row>
    <row r="49" spans="4:8" s="76" customFormat="1">
      <c r="D49" s="231"/>
      <c r="E49" s="227"/>
      <c r="F49" s="232"/>
      <c r="G49" s="233"/>
      <c r="H49" s="234"/>
    </row>
    <row r="50" spans="4:8" s="76" customFormat="1">
      <c r="D50" s="231"/>
      <c r="E50" s="227"/>
      <c r="F50" s="232"/>
      <c r="G50" s="233"/>
      <c r="H50" s="234"/>
    </row>
    <row r="51" spans="4:8" s="76" customFormat="1">
      <c r="D51" s="231"/>
      <c r="E51" s="227"/>
      <c r="F51" s="232"/>
      <c r="G51" s="233"/>
      <c r="H51" s="234"/>
    </row>
    <row r="52" spans="4:8" s="76" customFormat="1">
      <c r="D52" s="231"/>
      <c r="E52" s="227"/>
      <c r="F52" s="232"/>
      <c r="G52" s="233"/>
      <c r="H52" s="234"/>
    </row>
    <row r="53" spans="4:8" s="76" customFormat="1">
      <c r="D53" s="201"/>
      <c r="E53" s="224"/>
      <c r="F53" s="225"/>
      <c r="G53" s="223"/>
    </row>
    <row r="54" spans="4:8" s="76" customFormat="1">
      <c r="D54" s="201"/>
      <c r="E54" s="224"/>
      <c r="F54" s="225"/>
      <c r="G54" s="223"/>
    </row>
    <row r="55" spans="4:8" s="76" customFormat="1">
      <c r="D55" s="201"/>
      <c r="E55" s="224"/>
      <c r="F55" s="225"/>
      <c r="G55" s="223"/>
    </row>
    <row r="56" spans="4:8" s="76" customFormat="1">
      <c r="D56" s="201"/>
      <c r="E56" s="224"/>
      <c r="F56" s="225"/>
      <c r="G56" s="223"/>
    </row>
    <row r="57" spans="4:8" s="76" customFormat="1">
      <c r="D57" s="201"/>
      <c r="E57" s="224"/>
      <c r="F57" s="225"/>
      <c r="G57" s="223"/>
    </row>
    <row r="58" spans="4:8" s="76" customFormat="1">
      <c r="D58" s="201"/>
      <c r="E58" s="224"/>
      <c r="F58" s="225"/>
      <c r="G58" s="223"/>
    </row>
    <row r="59" spans="4:8" s="76" customFormat="1">
      <c r="D59" s="201"/>
      <c r="E59" s="224"/>
      <c r="F59" s="225"/>
      <c r="G59" s="223"/>
    </row>
    <row r="60" spans="4:8" s="76" customFormat="1">
      <c r="D60" s="201"/>
      <c r="E60" s="224"/>
      <c r="F60" s="225"/>
      <c r="G60" s="223"/>
    </row>
    <row r="61" spans="4:8" s="76" customFormat="1">
      <c r="D61" s="201"/>
      <c r="E61" s="224"/>
      <c r="F61" s="225"/>
      <c r="G61" s="223"/>
    </row>
    <row r="62" spans="4:8" s="76" customFormat="1">
      <c r="D62" s="201"/>
      <c r="E62" s="224"/>
      <c r="F62" s="225"/>
      <c r="G62" s="223"/>
    </row>
    <row r="63" spans="4:8" s="76" customFormat="1">
      <c r="D63" s="201"/>
      <c r="E63" s="224"/>
      <c r="F63" s="225"/>
      <c r="G63" s="223"/>
    </row>
    <row r="64" spans="4:8" s="76" customFormat="1">
      <c r="D64" s="201"/>
      <c r="E64" s="224"/>
      <c r="F64" s="225"/>
      <c r="G64" s="223"/>
    </row>
    <row r="65" spans="4:7" s="76" customFormat="1">
      <c r="D65" s="201"/>
      <c r="E65" s="224"/>
      <c r="F65" s="225"/>
      <c r="G65" s="223"/>
    </row>
    <row r="66" spans="4:7" s="76" customFormat="1">
      <c r="D66" s="201"/>
      <c r="E66" s="224"/>
      <c r="F66" s="225"/>
      <c r="G66" s="223"/>
    </row>
    <row r="67" spans="4:7" s="76" customFormat="1">
      <c r="D67" s="201"/>
      <c r="E67" s="224"/>
      <c r="F67" s="225"/>
      <c r="G67" s="223"/>
    </row>
    <row r="68" spans="4:7" s="76" customFormat="1">
      <c r="D68" s="201"/>
      <c r="E68" s="224"/>
      <c r="F68" s="225"/>
      <c r="G68" s="223"/>
    </row>
    <row r="69" spans="4:7" s="76" customFormat="1">
      <c r="D69" s="201"/>
      <c r="E69" s="224"/>
      <c r="F69" s="225"/>
      <c r="G69" s="223"/>
    </row>
    <row r="70" spans="4:7" s="76" customFormat="1">
      <c r="D70" s="201"/>
      <c r="E70" s="224"/>
      <c r="F70" s="225"/>
      <c r="G70" s="223"/>
    </row>
    <row r="71" spans="4:7" s="76" customFormat="1">
      <c r="D71" s="201"/>
      <c r="E71" s="224"/>
      <c r="F71" s="225"/>
      <c r="G71" s="223"/>
    </row>
    <row r="72" spans="4:7" s="76" customFormat="1">
      <c r="D72" s="201"/>
      <c r="E72" s="224"/>
      <c r="F72" s="225"/>
      <c r="G72" s="223"/>
    </row>
    <row r="73" spans="4:7" s="76" customFormat="1">
      <c r="D73" s="201"/>
      <c r="E73" s="224"/>
      <c r="F73" s="225"/>
      <c r="G73" s="223"/>
    </row>
    <row r="74" spans="4:7" s="76" customFormat="1">
      <c r="D74" s="201"/>
      <c r="E74" s="224"/>
      <c r="F74" s="225"/>
      <c r="G74" s="223"/>
    </row>
    <row r="75" spans="4:7" s="76" customFormat="1">
      <c r="D75" s="201"/>
      <c r="E75" s="224"/>
      <c r="F75" s="225"/>
      <c r="G75" s="223"/>
    </row>
    <row r="76" spans="4:7" s="76" customFormat="1">
      <c r="D76" s="201"/>
      <c r="E76" s="224"/>
      <c r="F76" s="225"/>
      <c r="G76" s="223"/>
    </row>
    <row r="77" spans="4:7" s="76" customFormat="1">
      <c r="D77" s="201"/>
      <c r="E77" s="224"/>
      <c r="F77" s="225"/>
      <c r="G77" s="223"/>
    </row>
    <row r="78" spans="4:7" s="76" customFormat="1">
      <c r="D78" s="201"/>
      <c r="E78" s="224"/>
      <c r="F78" s="225"/>
      <c r="G78" s="223"/>
    </row>
    <row r="79" spans="4:7" s="76" customFormat="1">
      <c r="D79" s="201"/>
      <c r="E79" s="224"/>
      <c r="F79" s="225"/>
      <c r="G79" s="223"/>
    </row>
    <row r="80" spans="4:7" s="76" customFormat="1">
      <c r="D80" s="201"/>
      <c r="E80" s="224"/>
      <c r="F80" s="225"/>
      <c r="G80" s="223"/>
    </row>
    <row r="81" spans="4:7" s="76" customFormat="1">
      <c r="D81" s="201"/>
      <c r="E81" s="224"/>
      <c r="F81" s="225"/>
      <c r="G81" s="223"/>
    </row>
    <row r="82" spans="4:7" s="76" customFormat="1">
      <c r="D82" s="201"/>
      <c r="E82" s="224"/>
      <c r="F82" s="225"/>
      <c r="G82" s="223"/>
    </row>
    <row r="83" spans="4:7" s="76" customFormat="1">
      <c r="D83" s="201"/>
      <c r="E83" s="224"/>
      <c r="F83" s="225"/>
      <c r="G83" s="223"/>
    </row>
    <row r="84" spans="4:7" s="76" customFormat="1">
      <c r="D84" s="201"/>
      <c r="E84" s="224"/>
      <c r="F84" s="225"/>
      <c r="G84" s="223"/>
    </row>
    <row r="85" spans="4:7" s="76" customFormat="1">
      <c r="D85" s="201"/>
      <c r="E85" s="224"/>
      <c r="F85" s="225"/>
      <c r="G85" s="223"/>
    </row>
    <row r="86" spans="4:7" s="76" customFormat="1">
      <c r="D86" s="201"/>
      <c r="E86" s="224"/>
      <c r="F86" s="225"/>
      <c r="G86" s="223"/>
    </row>
    <row r="87" spans="4:7" s="76" customFormat="1">
      <c r="D87" s="201"/>
      <c r="E87" s="224"/>
      <c r="F87" s="225"/>
      <c r="G87" s="223"/>
    </row>
    <row r="88" spans="4:7" s="76" customFormat="1">
      <c r="D88" s="201"/>
      <c r="E88" s="224"/>
      <c r="F88" s="225"/>
      <c r="G88" s="223"/>
    </row>
    <row r="89" spans="4:7" s="76" customFormat="1">
      <c r="D89" s="201"/>
      <c r="E89" s="224"/>
      <c r="F89" s="225"/>
      <c r="G89" s="223"/>
    </row>
    <row r="90" spans="4:7" s="76" customFormat="1">
      <c r="D90" s="201"/>
      <c r="E90" s="224"/>
      <c r="F90" s="225"/>
      <c r="G90" s="223"/>
    </row>
    <row r="91" spans="4:7" s="76" customFormat="1">
      <c r="D91" s="201"/>
      <c r="E91" s="224"/>
      <c r="F91" s="225"/>
      <c r="G91" s="223"/>
    </row>
    <row r="92" spans="4:7" s="76" customFormat="1">
      <c r="D92" s="201"/>
      <c r="E92" s="224"/>
      <c r="F92" s="225"/>
      <c r="G92" s="223"/>
    </row>
    <row r="93" spans="4:7" s="76" customFormat="1">
      <c r="D93" s="201"/>
      <c r="E93" s="224"/>
      <c r="F93" s="225"/>
      <c r="G93" s="223"/>
    </row>
    <row r="94" spans="4:7" s="76" customFormat="1">
      <c r="D94" s="201"/>
      <c r="E94" s="224"/>
      <c r="F94" s="225"/>
      <c r="G94" s="223"/>
    </row>
    <row r="95" spans="4:7" s="76" customFormat="1">
      <c r="D95" s="201"/>
      <c r="E95" s="224"/>
      <c r="F95" s="225"/>
      <c r="G95" s="223"/>
    </row>
    <row r="96" spans="4:7" s="76" customFormat="1">
      <c r="D96" s="201"/>
      <c r="E96" s="224"/>
      <c r="F96" s="225"/>
      <c r="G96" s="223"/>
    </row>
    <row r="97" spans="4:7" s="76" customFormat="1">
      <c r="D97" s="201"/>
      <c r="E97" s="224"/>
      <c r="F97" s="225"/>
      <c r="G97" s="223"/>
    </row>
    <row r="98" spans="4:7" s="76" customFormat="1">
      <c r="D98" s="201"/>
      <c r="E98" s="224"/>
      <c r="F98" s="225"/>
      <c r="G98" s="223"/>
    </row>
    <row r="99" spans="4:7" s="76" customFormat="1">
      <c r="D99" s="201"/>
      <c r="E99" s="224"/>
      <c r="F99" s="225"/>
      <c r="G99" s="223"/>
    </row>
    <row r="100" spans="4:7" s="76" customFormat="1">
      <c r="D100" s="201"/>
      <c r="E100" s="224"/>
      <c r="F100" s="225"/>
      <c r="G100" s="223"/>
    </row>
    <row r="101" spans="4:7" s="76" customFormat="1">
      <c r="D101" s="201"/>
      <c r="E101" s="224"/>
      <c r="F101" s="225"/>
      <c r="G101" s="223"/>
    </row>
    <row r="102" spans="4:7" s="76" customFormat="1">
      <c r="D102" s="201"/>
      <c r="E102" s="224"/>
      <c r="F102" s="225"/>
      <c r="G102" s="223"/>
    </row>
    <row r="103" spans="4:7" s="76" customFormat="1">
      <c r="D103" s="201"/>
      <c r="E103" s="224"/>
      <c r="F103" s="225"/>
      <c r="G103" s="223"/>
    </row>
    <row r="104" spans="4:7" s="76" customFormat="1">
      <c r="D104" s="201"/>
      <c r="E104" s="224"/>
      <c r="F104" s="225"/>
      <c r="G104" s="223"/>
    </row>
    <row r="105" spans="4:7" s="76" customFormat="1">
      <c r="D105" s="201"/>
      <c r="E105" s="224"/>
      <c r="F105" s="225"/>
      <c r="G105" s="223"/>
    </row>
    <row r="106" spans="4:7" s="76" customFormat="1">
      <c r="D106" s="201"/>
      <c r="E106" s="224"/>
      <c r="F106" s="225"/>
      <c r="G106" s="223"/>
    </row>
    <row r="107" spans="4:7" s="76" customFormat="1">
      <c r="D107" s="201"/>
      <c r="E107" s="224"/>
      <c r="F107" s="225"/>
      <c r="G107" s="223"/>
    </row>
    <row r="108" spans="4:7" s="76" customFormat="1">
      <c r="D108" s="201"/>
      <c r="E108" s="224"/>
      <c r="F108" s="225"/>
      <c r="G108" s="223"/>
    </row>
    <row r="109" spans="4:7" s="76" customFormat="1">
      <c r="D109" s="201"/>
      <c r="E109" s="224"/>
      <c r="F109" s="225"/>
      <c r="G109" s="223"/>
    </row>
    <row r="110" spans="4:7" s="76" customFormat="1">
      <c r="D110" s="201"/>
      <c r="E110" s="224"/>
      <c r="F110" s="225"/>
      <c r="G110" s="223"/>
    </row>
    <row r="111" spans="4:7" s="76" customFormat="1">
      <c r="D111" s="201"/>
      <c r="E111" s="224"/>
      <c r="F111" s="225"/>
      <c r="G111" s="223"/>
    </row>
    <row r="112" spans="4:7" s="76" customFormat="1">
      <c r="D112" s="201"/>
      <c r="E112" s="224"/>
      <c r="F112" s="225"/>
      <c r="G112" s="223"/>
    </row>
    <row r="113" spans="4:7" s="76" customFormat="1">
      <c r="D113" s="201"/>
      <c r="E113" s="224"/>
      <c r="F113" s="225"/>
      <c r="G113" s="223"/>
    </row>
    <row r="114" spans="4:7" s="76" customFormat="1">
      <c r="D114" s="201"/>
      <c r="E114" s="224"/>
      <c r="F114" s="225"/>
      <c r="G114" s="223"/>
    </row>
    <row r="115" spans="4:7" s="76" customFormat="1">
      <c r="D115" s="201"/>
      <c r="E115" s="224"/>
      <c r="F115" s="225"/>
      <c r="G115" s="223"/>
    </row>
    <row r="116" spans="4:7" s="76" customFormat="1">
      <c r="D116" s="201"/>
      <c r="E116" s="224"/>
      <c r="F116" s="225"/>
      <c r="G116" s="223"/>
    </row>
    <row r="117" spans="4:7" s="76" customFormat="1">
      <c r="D117" s="201"/>
      <c r="E117" s="224"/>
      <c r="F117" s="225"/>
      <c r="G117" s="223"/>
    </row>
    <row r="118" spans="4:7" s="76" customFormat="1">
      <c r="D118" s="201"/>
      <c r="E118" s="224"/>
      <c r="F118" s="225"/>
      <c r="G118" s="223"/>
    </row>
    <row r="119" spans="4:7" s="76" customFormat="1">
      <c r="D119" s="201"/>
      <c r="E119" s="224"/>
      <c r="F119" s="225"/>
      <c r="G119" s="223"/>
    </row>
    <row r="120" spans="4:7" s="76" customFormat="1">
      <c r="D120" s="201"/>
      <c r="E120" s="224"/>
      <c r="F120" s="225"/>
      <c r="G120" s="223"/>
    </row>
    <row r="121" spans="4:7" s="76" customFormat="1">
      <c r="D121" s="201"/>
      <c r="E121" s="224"/>
      <c r="F121" s="225"/>
      <c r="G121" s="223"/>
    </row>
    <row r="122" spans="4:7" s="76" customFormat="1">
      <c r="D122" s="201"/>
      <c r="E122" s="224"/>
      <c r="F122" s="225"/>
      <c r="G122" s="223"/>
    </row>
    <row r="123" spans="4:7" s="76" customFormat="1">
      <c r="D123" s="201"/>
      <c r="E123" s="224"/>
      <c r="F123" s="225"/>
      <c r="G123" s="223"/>
    </row>
    <row r="124" spans="4:7" s="76" customFormat="1">
      <c r="D124" s="201"/>
      <c r="E124" s="224"/>
      <c r="F124" s="225"/>
      <c r="G124" s="223"/>
    </row>
    <row r="125" spans="4:7" s="76" customFormat="1">
      <c r="D125" s="201"/>
      <c r="E125" s="224"/>
      <c r="F125" s="225"/>
      <c r="G125" s="223"/>
    </row>
    <row r="126" spans="4:7" s="76" customFormat="1">
      <c r="D126" s="201"/>
      <c r="E126" s="224"/>
      <c r="F126" s="225"/>
      <c r="G126" s="223"/>
    </row>
  </sheetData>
  <mergeCells count="15">
    <mergeCell ref="A6:A8"/>
    <mergeCell ref="B6:B8"/>
    <mergeCell ref="C6:C8"/>
    <mergeCell ref="D6:H6"/>
    <mergeCell ref="I6:I8"/>
    <mergeCell ref="D7:D8"/>
    <mergeCell ref="E7:E8"/>
    <mergeCell ref="F7:F8"/>
    <mergeCell ref="G7:G8"/>
    <mergeCell ref="H7:H8"/>
    <mergeCell ref="H1:I1"/>
    <mergeCell ref="H2:I2"/>
    <mergeCell ref="A3:I3"/>
    <mergeCell ref="A4:I4"/>
    <mergeCell ref="F5:I5"/>
  </mergeCells>
  <printOptions horizontalCentered="1"/>
  <pageMargins left="0.31496062992125984" right="0.11811023622047245" top="0.55118110236220474" bottom="0.55118110236220474" header="0.31496062992125984" footer="0.31496062992125984"/>
  <pageSetup paperSize="9" scale="99" fitToHeight="0" orientation="landscape" horizontalDpi="4294967293" verticalDpi="4294967293" r:id="rId1"/>
  <headerFooter alignWithMargins="0">
    <oddHeader>&amp;Rდანართი № 1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00"/>
  <sheetViews>
    <sheetView tabSelected="1" view="pageBreakPreview" topLeftCell="A385" zoomScale="115" zoomScaleNormal="115" zoomScaleSheetLayoutView="115" workbookViewId="0">
      <selection activeCell="B395" sqref="B395"/>
    </sheetView>
  </sheetViews>
  <sheetFormatPr defaultRowHeight="13.5"/>
  <cols>
    <col min="1" max="1" width="9.140625" style="62"/>
    <col min="2" max="2" width="44.42578125" style="62" customWidth="1"/>
    <col min="3" max="3" width="9.85546875" style="148" customWidth="1"/>
    <col min="4" max="4" width="8.85546875" style="62" customWidth="1"/>
    <col min="5" max="5" width="9.5703125" style="62" bestFit="1" customWidth="1"/>
    <col min="6" max="6" width="9.85546875" style="62" bestFit="1" customWidth="1"/>
    <col min="7" max="7" width="10" style="180" customWidth="1"/>
    <col min="8" max="8" width="12.28515625" style="180" customWidth="1"/>
    <col min="9" max="9" width="10" style="180" customWidth="1"/>
    <col min="10" max="10" width="12.140625" style="180" bestFit="1" customWidth="1"/>
    <col min="11" max="11" width="10" style="180" customWidth="1"/>
    <col min="12" max="12" width="11.7109375" style="180" bestFit="1" customWidth="1"/>
    <col min="13" max="13" width="14.5703125" style="180" customWidth="1"/>
    <col min="14" max="14" width="10.7109375" style="62" bestFit="1" customWidth="1"/>
    <col min="15" max="16384" width="9.140625" style="62"/>
  </cols>
  <sheetData>
    <row r="1" spans="1:13" ht="16.5">
      <c r="A1" s="2"/>
      <c r="B1" s="61"/>
      <c r="C1" s="127"/>
      <c r="D1" s="2"/>
      <c r="E1" s="2"/>
      <c r="F1" s="263" t="s">
        <v>24</v>
      </c>
      <c r="G1" s="263"/>
      <c r="H1" s="263"/>
      <c r="I1" s="263"/>
      <c r="J1" s="149"/>
      <c r="K1" s="149"/>
      <c r="L1" s="149"/>
      <c r="M1" s="150"/>
    </row>
    <row r="2" spans="1:13" s="63" customFormat="1">
      <c r="A2" s="264" t="str">
        <f>[1]gan.barat!A11</f>
        <v>goris municipalitetis sof. ატენის wyalmomaragebis qselis reabilitacia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s="63" customFormat="1" ht="17.25" customHeight="1">
      <c r="A3" s="264" t="s">
        <v>171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s="63" customFormat="1" ht="20.25" customHeight="1">
      <c r="A4" s="2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151"/>
      <c r="M4" s="151"/>
    </row>
    <row r="5" spans="1:13" s="63" customFormat="1" ht="18.75" customHeight="1">
      <c r="A5" s="248" t="s">
        <v>1</v>
      </c>
      <c r="B5" s="248" t="s">
        <v>32</v>
      </c>
      <c r="C5" s="266" t="s">
        <v>50</v>
      </c>
      <c r="D5" s="248" t="s">
        <v>33</v>
      </c>
      <c r="E5" s="248" t="s">
        <v>360</v>
      </c>
      <c r="F5" s="248" t="s">
        <v>34</v>
      </c>
      <c r="G5" s="249" t="s">
        <v>35</v>
      </c>
      <c r="H5" s="249"/>
      <c r="I5" s="249" t="s">
        <v>36</v>
      </c>
      <c r="J5" s="249"/>
      <c r="K5" s="262" t="s">
        <v>37</v>
      </c>
      <c r="L5" s="262"/>
      <c r="M5" s="183" t="s">
        <v>51</v>
      </c>
    </row>
    <row r="6" spans="1:13" s="63" customFormat="1" ht="15" customHeight="1">
      <c r="A6" s="248"/>
      <c r="B6" s="248"/>
      <c r="C6" s="266"/>
      <c r="D6" s="248"/>
      <c r="E6" s="248"/>
      <c r="F6" s="248"/>
      <c r="G6" s="183" t="s">
        <v>38</v>
      </c>
      <c r="H6" s="183" t="s">
        <v>2</v>
      </c>
      <c r="I6" s="183" t="s">
        <v>38</v>
      </c>
      <c r="J6" s="183" t="s">
        <v>2</v>
      </c>
      <c r="K6" s="183" t="s">
        <v>38</v>
      </c>
      <c r="L6" s="183" t="s">
        <v>39</v>
      </c>
      <c r="M6" s="183" t="s">
        <v>40</v>
      </c>
    </row>
    <row r="7" spans="1:13" s="63" customFormat="1" ht="13.5" customHeight="1">
      <c r="A7" s="182">
        <v>1</v>
      </c>
      <c r="B7" s="182">
        <v>2</v>
      </c>
      <c r="C7" s="184">
        <v>3</v>
      </c>
      <c r="D7" s="182">
        <v>4</v>
      </c>
      <c r="E7" s="182">
        <v>5</v>
      </c>
      <c r="F7" s="182">
        <v>6</v>
      </c>
      <c r="G7" s="181">
        <v>7</v>
      </c>
      <c r="H7" s="182">
        <v>8</v>
      </c>
      <c r="I7" s="182">
        <v>9</v>
      </c>
      <c r="J7" s="181">
        <v>10</v>
      </c>
      <c r="K7" s="182">
        <v>11</v>
      </c>
      <c r="L7" s="182">
        <v>12</v>
      </c>
      <c r="M7" s="182">
        <v>13</v>
      </c>
    </row>
    <row r="8" spans="1:13" s="63" customFormat="1" ht="32.25" customHeight="1">
      <c r="A8" s="17"/>
      <c r="B8" s="253" t="s">
        <v>218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5"/>
    </row>
    <row r="9" spans="1:13" s="63" customFormat="1" ht="15.75">
      <c r="A9" s="33">
        <v>1</v>
      </c>
      <c r="B9" s="34" t="s">
        <v>100</v>
      </c>
      <c r="C9" s="128" t="s">
        <v>101</v>
      </c>
      <c r="D9" s="35" t="s">
        <v>57</v>
      </c>
      <c r="E9" s="36"/>
      <c r="F9" s="65">
        <v>200</v>
      </c>
      <c r="G9" s="152"/>
      <c r="H9" s="153"/>
      <c r="I9" s="152"/>
      <c r="J9" s="154"/>
      <c r="K9" s="152"/>
      <c r="L9" s="153"/>
      <c r="M9" s="154"/>
    </row>
    <row r="10" spans="1:13" s="63" customFormat="1">
      <c r="A10" s="20"/>
      <c r="B10" s="66" t="s">
        <v>3</v>
      </c>
      <c r="C10" s="184"/>
      <c r="D10" s="67" t="s">
        <v>4</v>
      </c>
      <c r="E10" s="67">
        <v>1.6</v>
      </c>
      <c r="F10" s="39">
        <f>F9*E10</f>
        <v>320</v>
      </c>
      <c r="G10" s="154"/>
      <c r="H10" s="154"/>
      <c r="I10" s="154"/>
      <c r="J10" s="154">
        <f>F10*I10</f>
        <v>0</v>
      </c>
      <c r="K10" s="154"/>
      <c r="L10" s="154"/>
      <c r="M10" s="154">
        <f>H10+J10+L10</f>
        <v>0</v>
      </c>
    </row>
    <row r="11" spans="1:13" s="63" customFormat="1">
      <c r="A11" s="5"/>
      <c r="B11" s="68" t="s">
        <v>83</v>
      </c>
      <c r="C11" s="184" t="s">
        <v>279</v>
      </c>
      <c r="D11" s="41" t="s">
        <v>63</v>
      </c>
      <c r="E11" s="67">
        <v>1.9099999999999999E-2</v>
      </c>
      <c r="F11" s="38">
        <f>E11*F9</f>
        <v>3.82</v>
      </c>
      <c r="G11" s="153"/>
      <c r="H11" s="153"/>
      <c r="I11" s="153"/>
      <c r="J11" s="153"/>
      <c r="K11" s="153"/>
      <c r="L11" s="155">
        <f>F11*K11</f>
        <v>0</v>
      </c>
      <c r="M11" s="153">
        <f>L11+J11+H11</f>
        <v>0</v>
      </c>
    </row>
    <row r="12" spans="1:13" s="63" customFormat="1">
      <c r="A12" s="20"/>
      <c r="B12" s="66" t="s">
        <v>84</v>
      </c>
      <c r="C12" s="184" t="s">
        <v>280</v>
      </c>
      <c r="D12" s="41" t="s">
        <v>63</v>
      </c>
      <c r="E12" s="67">
        <v>0.77500000000000002</v>
      </c>
      <c r="F12" s="69">
        <f>E12*F9</f>
        <v>155</v>
      </c>
      <c r="G12" s="154"/>
      <c r="H12" s="154"/>
      <c r="I12" s="154"/>
      <c r="J12" s="154"/>
      <c r="K12" s="154"/>
      <c r="L12" s="155">
        <f>F12*K12</f>
        <v>0</v>
      </c>
      <c r="M12" s="154">
        <f>H12+J12+L12</f>
        <v>0</v>
      </c>
    </row>
    <row r="13" spans="1:13" s="63" customFormat="1" ht="40.5">
      <c r="A13" s="99">
        <v>2</v>
      </c>
      <c r="B13" s="70" t="s">
        <v>102</v>
      </c>
      <c r="C13" s="129" t="s">
        <v>67</v>
      </c>
      <c r="D13" s="28" t="s">
        <v>57</v>
      </c>
      <c r="E13" s="29"/>
      <c r="F13" s="23">
        <f>F9</f>
        <v>200</v>
      </c>
      <c r="G13" s="156"/>
      <c r="H13" s="156"/>
      <c r="I13" s="156"/>
      <c r="J13" s="156"/>
      <c r="K13" s="156"/>
      <c r="L13" s="156"/>
      <c r="M13" s="156"/>
    </row>
    <row r="14" spans="1:13" s="63" customFormat="1">
      <c r="A14" s="30"/>
      <c r="B14" s="31" t="s">
        <v>55</v>
      </c>
      <c r="C14" s="130"/>
      <c r="D14" s="25" t="s">
        <v>4</v>
      </c>
      <c r="E14" s="25">
        <f>0.02</f>
        <v>0.02</v>
      </c>
      <c r="F14" s="25">
        <f>E14*F13</f>
        <v>4</v>
      </c>
      <c r="G14" s="157"/>
      <c r="H14" s="157"/>
      <c r="I14" s="157"/>
      <c r="J14" s="157">
        <f>I14*F14</f>
        <v>0</v>
      </c>
      <c r="K14" s="157"/>
      <c r="L14" s="157"/>
      <c r="M14" s="157">
        <f>L14+J14+H14</f>
        <v>0</v>
      </c>
    </row>
    <row r="15" spans="1:13" s="63" customFormat="1">
      <c r="A15" s="30"/>
      <c r="B15" s="31" t="s">
        <v>68</v>
      </c>
      <c r="C15" s="132" t="s">
        <v>281</v>
      </c>
      <c r="D15" s="25" t="s">
        <v>43</v>
      </c>
      <c r="E15" s="25">
        <f>0.0448</f>
        <v>4.48E-2</v>
      </c>
      <c r="F15" s="25">
        <f>E15*F13</f>
        <v>8.9599999999999991</v>
      </c>
      <c r="G15" s="157"/>
      <c r="H15" s="157"/>
      <c r="I15" s="157"/>
      <c r="J15" s="157"/>
      <c r="K15" s="157"/>
      <c r="L15" s="157">
        <f>K15*F15</f>
        <v>0</v>
      </c>
      <c r="M15" s="157">
        <f>L15+J15+H15</f>
        <v>0</v>
      </c>
    </row>
    <row r="16" spans="1:13" s="63" customFormat="1">
      <c r="A16" s="30"/>
      <c r="B16" s="31" t="s">
        <v>26</v>
      </c>
      <c r="C16" s="130"/>
      <c r="D16" s="25" t="s">
        <v>5</v>
      </c>
      <c r="E16" s="25">
        <f>0.0021</f>
        <v>2.0999999999999999E-3</v>
      </c>
      <c r="F16" s="25">
        <f>E16*F13</f>
        <v>0.42</v>
      </c>
      <c r="G16" s="157"/>
      <c r="H16" s="157"/>
      <c r="I16" s="157"/>
      <c r="J16" s="157"/>
      <c r="K16" s="157"/>
      <c r="L16" s="157">
        <f>K16*F16</f>
        <v>0</v>
      </c>
      <c r="M16" s="157">
        <f>L16+J16+H16</f>
        <v>0</v>
      </c>
    </row>
    <row r="17" spans="1:13" s="63" customFormat="1">
      <c r="A17" s="30"/>
      <c r="B17" s="41" t="s">
        <v>41</v>
      </c>
      <c r="C17" s="130"/>
      <c r="D17" s="25"/>
      <c r="E17" s="25"/>
      <c r="F17" s="25"/>
      <c r="G17" s="157"/>
      <c r="H17" s="157"/>
      <c r="I17" s="157"/>
      <c r="J17" s="157"/>
      <c r="K17" s="157"/>
      <c r="L17" s="157"/>
      <c r="M17" s="157"/>
    </row>
    <row r="18" spans="1:13" s="63" customFormat="1">
      <c r="A18" s="20"/>
      <c r="B18" s="66" t="s">
        <v>29</v>
      </c>
      <c r="C18" s="184" t="s">
        <v>282</v>
      </c>
      <c r="D18" s="67" t="s">
        <v>5</v>
      </c>
      <c r="E18" s="67">
        <v>5.0000000000000002E-5</v>
      </c>
      <c r="F18" s="25">
        <f>E18*F13</f>
        <v>0.01</v>
      </c>
      <c r="G18" s="155"/>
      <c r="H18" s="154">
        <f>F18*G18</f>
        <v>0</v>
      </c>
      <c r="I18" s="155"/>
      <c r="J18" s="155"/>
      <c r="K18" s="155"/>
      <c r="L18" s="155"/>
      <c r="M18" s="154">
        <f>L18+J18+H18</f>
        <v>0</v>
      </c>
    </row>
    <row r="19" spans="1:13" s="63" customFormat="1" ht="40.5">
      <c r="A19" s="42">
        <v>3</v>
      </c>
      <c r="B19" s="70" t="s">
        <v>103</v>
      </c>
      <c r="C19" s="184" t="s">
        <v>269</v>
      </c>
      <c r="D19" s="22" t="s">
        <v>27</v>
      </c>
      <c r="E19" s="22"/>
      <c r="F19" s="23">
        <f>F13*1.7</f>
        <v>340</v>
      </c>
      <c r="G19" s="152"/>
      <c r="H19" s="152"/>
      <c r="I19" s="152"/>
      <c r="J19" s="152"/>
      <c r="K19" s="157"/>
      <c r="L19" s="157">
        <f>K19*F19</f>
        <v>0</v>
      </c>
      <c r="M19" s="157">
        <f>H19+J19+L19</f>
        <v>0</v>
      </c>
    </row>
    <row r="20" spans="1:13" s="63" customFormat="1" ht="27">
      <c r="A20" s="33">
        <v>4</v>
      </c>
      <c r="B20" s="34" t="s">
        <v>104</v>
      </c>
      <c r="C20" s="128" t="s">
        <v>283</v>
      </c>
      <c r="D20" s="35" t="s">
        <v>58</v>
      </c>
      <c r="E20" s="36"/>
      <c r="F20" s="65">
        <v>2000</v>
      </c>
      <c r="G20" s="152"/>
      <c r="H20" s="153"/>
      <c r="I20" s="152"/>
      <c r="J20" s="154"/>
      <c r="K20" s="152"/>
      <c r="L20" s="153"/>
      <c r="M20" s="154"/>
    </row>
    <row r="21" spans="1:13" s="63" customFormat="1">
      <c r="A21" s="20"/>
      <c r="B21" s="66" t="s">
        <v>3</v>
      </c>
      <c r="C21" s="184"/>
      <c r="D21" s="67" t="s">
        <v>4</v>
      </c>
      <c r="E21" s="67">
        <f>0.0375</f>
        <v>3.7499999999999999E-2</v>
      </c>
      <c r="F21" s="71">
        <f>F20*E21</f>
        <v>75</v>
      </c>
      <c r="G21" s="154"/>
      <c r="H21" s="154"/>
      <c r="I21" s="154"/>
      <c r="J21" s="154">
        <f>F21*I21</f>
        <v>0</v>
      </c>
      <c r="K21" s="154"/>
      <c r="L21" s="154"/>
      <c r="M21" s="154">
        <f>H21+J21+L21</f>
        <v>0</v>
      </c>
    </row>
    <row r="22" spans="1:13" s="63" customFormat="1">
      <c r="A22" s="20"/>
      <c r="B22" s="66" t="s">
        <v>85</v>
      </c>
      <c r="C22" s="184" t="s">
        <v>284</v>
      </c>
      <c r="D22" s="41" t="s">
        <v>63</v>
      </c>
      <c r="E22" s="67">
        <v>3.7000000000000002E-3</v>
      </c>
      <c r="F22" s="71">
        <f>E22*F20</f>
        <v>7.4</v>
      </c>
      <c r="G22" s="154"/>
      <c r="H22" s="154"/>
      <c r="I22" s="154"/>
      <c r="J22" s="154"/>
      <c r="K22" s="154"/>
      <c r="L22" s="154">
        <f>F22*K22</f>
        <v>0</v>
      </c>
      <c r="M22" s="154">
        <f t="shared" ref="M22:M28" si="0">H22+J22+L22</f>
        <v>0</v>
      </c>
    </row>
    <row r="23" spans="1:13" s="63" customFormat="1">
      <c r="A23" s="20"/>
      <c r="B23" s="66" t="s">
        <v>86</v>
      </c>
      <c r="C23" s="184" t="s">
        <v>285</v>
      </c>
      <c r="D23" s="41" t="s">
        <v>63</v>
      </c>
      <c r="E23" s="67">
        <v>1.11E-2</v>
      </c>
      <c r="F23" s="71">
        <f>E23*F20</f>
        <v>22.2</v>
      </c>
      <c r="G23" s="154"/>
      <c r="H23" s="154"/>
      <c r="I23" s="154"/>
      <c r="J23" s="154"/>
      <c r="K23" s="154"/>
      <c r="L23" s="154">
        <f>F23*K23</f>
        <v>0</v>
      </c>
      <c r="M23" s="154">
        <f t="shared" si="0"/>
        <v>0</v>
      </c>
    </row>
    <row r="24" spans="1:13" s="63" customFormat="1">
      <c r="A24" s="20"/>
      <c r="B24" s="66" t="s">
        <v>105</v>
      </c>
      <c r="C24" s="184" t="s">
        <v>286</v>
      </c>
      <c r="D24" s="41" t="s">
        <v>63</v>
      </c>
      <c r="E24" s="67">
        <v>3.0200000000000001E-3</v>
      </c>
      <c r="F24" s="71">
        <f>E24*F20</f>
        <v>6.04</v>
      </c>
      <c r="G24" s="154"/>
      <c r="H24" s="154"/>
      <c r="I24" s="154"/>
      <c r="J24" s="154"/>
      <c r="K24" s="154"/>
      <c r="L24" s="154">
        <f>F24*K24</f>
        <v>0</v>
      </c>
      <c r="M24" s="154">
        <f t="shared" si="0"/>
        <v>0</v>
      </c>
    </row>
    <row r="25" spans="1:13" s="63" customFormat="1">
      <c r="A25" s="20"/>
      <c r="B25" s="66" t="s">
        <v>22</v>
      </c>
      <c r="C25" s="184"/>
      <c r="D25" s="41" t="s">
        <v>0</v>
      </c>
      <c r="E25" s="67">
        <v>2.3E-3</v>
      </c>
      <c r="F25" s="71">
        <f>E25*F20</f>
        <v>4.5999999999999996</v>
      </c>
      <c r="G25" s="154"/>
      <c r="H25" s="154"/>
      <c r="I25" s="154"/>
      <c r="J25" s="154"/>
      <c r="K25" s="154"/>
      <c r="L25" s="154">
        <f>F25*K25</f>
        <v>0</v>
      </c>
      <c r="M25" s="154">
        <f t="shared" si="0"/>
        <v>0</v>
      </c>
    </row>
    <row r="26" spans="1:13" s="63" customFormat="1">
      <c r="A26" s="20"/>
      <c r="B26" s="41" t="s">
        <v>41</v>
      </c>
      <c r="C26" s="184"/>
      <c r="D26" s="67"/>
      <c r="E26" s="67"/>
      <c r="F26" s="71"/>
      <c r="G26" s="154"/>
      <c r="H26" s="154"/>
      <c r="I26" s="154"/>
      <c r="J26" s="154"/>
      <c r="K26" s="154"/>
      <c r="L26" s="154"/>
      <c r="M26" s="154">
        <f t="shared" si="0"/>
        <v>0</v>
      </c>
    </row>
    <row r="27" spans="1:13" s="63" customFormat="1">
      <c r="A27" s="20"/>
      <c r="B27" s="66" t="s">
        <v>106</v>
      </c>
      <c r="C27" s="184" t="s">
        <v>287</v>
      </c>
      <c r="D27" s="67" t="s">
        <v>27</v>
      </c>
      <c r="E27" s="67">
        <f>0.0974</f>
        <v>9.74E-2</v>
      </c>
      <c r="F27" s="71">
        <f>F20*E27</f>
        <v>194.8</v>
      </c>
      <c r="G27" s="154"/>
      <c r="H27" s="154">
        <f>F27*G27</f>
        <v>0</v>
      </c>
      <c r="I27" s="154"/>
      <c r="J27" s="154"/>
      <c r="K27" s="154"/>
      <c r="L27" s="154"/>
      <c r="M27" s="154">
        <f t="shared" si="0"/>
        <v>0</v>
      </c>
    </row>
    <row r="28" spans="1:13" s="63" customFormat="1">
      <c r="A28" s="42"/>
      <c r="B28" s="66" t="s">
        <v>6</v>
      </c>
      <c r="C28" s="131"/>
      <c r="D28" s="41" t="s">
        <v>0</v>
      </c>
      <c r="E28" s="41">
        <v>1.4500000000000001E-2</v>
      </c>
      <c r="F28" s="72">
        <f>E28*F20</f>
        <v>29</v>
      </c>
      <c r="G28" s="153"/>
      <c r="H28" s="153">
        <f>F28*G28</f>
        <v>0</v>
      </c>
      <c r="I28" s="154"/>
      <c r="J28" s="153"/>
      <c r="K28" s="153"/>
      <c r="L28" s="153"/>
      <c r="M28" s="154">
        <f t="shared" si="0"/>
        <v>0</v>
      </c>
    </row>
    <row r="29" spans="1:13" s="63" customFormat="1" ht="27">
      <c r="A29" s="33">
        <v>5</v>
      </c>
      <c r="B29" s="34" t="s">
        <v>107</v>
      </c>
      <c r="C29" s="128" t="s">
        <v>288</v>
      </c>
      <c r="D29" s="35" t="s">
        <v>58</v>
      </c>
      <c r="E29" s="36"/>
      <c r="F29" s="65">
        <v>2000</v>
      </c>
      <c r="G29" s="152"/>
      <c r="H29" s="153"/>
      <c r="I29" s="152"/>
      <c r="J29" s="154"/>
      <c r="K29" s="152"/>
      <c r="L29" s="153"/>
      <c r="M29" s="154"/>
    </row>
    <row r="30" spans="1:13" s="63" customFormat="1">
      <c r="A30" s="20"/>
      <c r="B30" s="66" t="s">
        <v>3</v>
      </c>
      <c r="C30" s="184"/>
      <c r="D30" s="67" t="s">
        <v>4</v>
      </c>
      <c r="E30" s="67">
        <v>3.7359999999999997E-2</v>
      </c>
      <c r="F30" s="71">
        <f>F29*E30</f>
        <v>74.72</v>
      </c>
      <c r="G30" s="154"/>
      <c r="H30" s="154"/>
      <c r="I30" s="154"/>
      <c r="J30" s="154">
        <f>F30*I30</f>
        <v>0</v>
      </c>
      <c r="K30" s="154"/>
      <c r="L30" s="154"/>
      <c r="M30" s="154">
        <f>H30+J30+L30</f>
        <v>0</v>
      </c>
    </row>
    <row r="31" spans="1:13" s="63" customFormat="1">
      <c r="A31" s="20"/>
      <c r="B31" s="66" t="s">
        <v>85</v>
      </c>
      <c r="C31" s="184" t="s">
        <v>284</v>
      </c>
      <c r="D31" s="41" t="s">
        <v>63</v>
      </c>
      <c r="E31" s="67">
        <v>3.7000000000000002E-3</v>
      </c>
      <c r="F31" s="71">
        <f>E31*F29</f>
        <v>7.4</v>
      </c>
      <c r="G31" s="154"/>
      <c r="H31" s="154"/>
      <c r="I31" s="154"/>
      <c r="J31" s="154"/>
      <c r="K31" s="154"/>
      <c r="L31" s="154">
        <f>F31*K31</f>
        <v>0</v>
      </c>
      <c r="M31" s="154">
        <f t="shared" ref="M31:M37" si="1">H31+J31+L31</f>
        <v>0</v>
      </c>
    </row>
    <row r="32" spans="1:13" s="63" customFormat="1">
      <c r="A32" s="20"/>
      <c r="B32" s="66" t="s">
        <v>86</v>
      </c>
      <c r="C32" s="184" t="s">
        <v>285</v>
      </c>
      <c r="D32" s="41" t="s">
        <v>63</v>
      </c>
      <c r="E32" s="67">
        <v>1.11E-2</v>
      </c>
      <c r="F32" s="71">
        <f>E32*F29</f>
        <v>22.2</v>
      </c>
      <c r="G32" s="154"/>
      <c r="H32" s="154"/>
      <c r="I32" s="154"/>
      <c r="J32" s="154"/>
      <c r="K32" s="154"/>
      <c r="L32" s="154">
        <f>F32*K32</f>
        <v>0</v>
      </c>
      <c r="M32" s="154">
        <f t="shared" si="1"/>
        <v>0</v>
      </c>
    </row>
    <row r="33" spans="1:17" s="63" customFormat="1">
      <c r="A33" s="20"/>
      <c r="B33" s="66" t="s">
        <v>105</v>
      </c>
      <c r="C33" s="184" t="s">
        <v>286</v>
      </c>
      <c r="D33" s="41" t="s">
        <v>63</v>
      </c>
      <c r="E33" s="67">
        <v>3.0200000000000001E-3</v>
      </c>
      <c r="F33" s="71">
        <f>E33*F29</f>
        <v>6.04</v>
      </c>
      <c r="G33" s="154"/>
      <c r="H33" s="154"/>
      <c r="I33" s="154"/>
      <c r="J33" s="154"/>
      <c r="K33" s="154"/>
      <c r="L33" s="154">
        <f>F33*K33</f>
        <v>0</v>
      </c>
      <c r="M33" s="154">
        <f t="shared" si="1"/>
        <v>0</v>
      </c>
    </row>
    <row r="34" spans="1:17" s="63" customFormat="1">
      <c r="A34" s="20"/>
      <c r="B34" s="66" t="s">
        <v>22</v>
      </c>
      <c r="C34" s="184"/>
      <c r="D34" s="41" t="s">
        <v>0</v>
      </c>
      <c r="E34" s="67">
        <v>2.3E-3</v>
      </c>
      <c r="F34" s="71">
        <f>E34*F29</f>
        <v>4.5999999999999996</v>
      </c>
      <c r="G34" s="154"/>
      <c r="H34" s="154"/>
      <c r="I34" s="154"/>
      <c r="J34" s="154"/>
      <c r="K34" s="154"/>
      <c r="L34" s="154">
        <f>F34*K34</f>
        <v>0</v>
      </c>
      <c r="M34" s="154">
        <f t="shared" si="1"/>
        <v>0</v>
      </c>
    </row>
    <row r="35" spans="1:17" s="63" customFormat="1">
      <c r="A35" s="20"/>
      <c r="B35" s="41" t="s">
        <v>41</v>
      </c>
      <c r="C35" s="184"/>
      <c r="D35" s="67"/>
      <c r="E35" s="67"/>
      <c r="F35" s="71"/>
      <c r="G35" s="154"/>
      <c r="H35" s="154"/>
      <c r="I35" s="154"/>
      <c r="J35" s="154"/>
      <c r="K35" s="154"/>
      <c r="L35" s="154"/>
      <c r="M35" s="154">
        <f t="shared" si="1"/>
        <v>0</v>
      </c>
    </row>
    <row r="36" spans="1:17" s="63" customFormat="1">
      <c r="A36" s="20"/>
      <c r="B36" s="66" t="s">
        <v>108</v>
      </c>
      <c r="C36" s="184" t="s">
        <v>290</v>
      </c>
      <c r="D36" s="67" t="s">
        <v>27</v>
      </c>
      <c r="E36" s="67">
        <v>7.3200000000000001E-2</v>
      </c>
      <c r="F36" s="39">
        <f>F29*E36</f>
        <v>146.4</v>
      </c>
      <c r="G36" s="154"/>
      <c r="H36" s="154">
        <f>F36*G36</f>
        <v>0</v>
      </c>
      <c r="I36" s="154"/>
      <c r="J36" s="154"/>
      <c r="K36" s="154"/>
      <c r="L36" s="154"/>
      <c r="M36" s="154">
        <f t="shared" si="1"/>
        <v>0</v>
      </c>
    </row>
    <row r="37" spans="1:17" s="63" customFormat="1">
      <c r="A37" s="42"/>
      <c r="B37" s="66" t="s">
        <v>6</v>
      </c>
      <c r="C37" s="131"/>
      <c r="D37" s="41" t="s">
        <v>0</v>
      </c>
      <c r="E37" s="41">
        <v>1.41E-2</v>
      </c>
      <c r="F37" s="72">
        <f>E37*F29</f>
        <v>28.2</v>
      </c>
      <c r="G37" s="153"/>
      <c r="H37" s="153">
        <f>F37*G37</f>
        <v>0</v>
      </c>
      <c r="I37" s="154"/>
      <c r="J37" s="153"/>
      <c r="K37" s="153"/>
      <c r="L37" s="153"/>
      <c r="M37" s="154">
        <f t="shared" si="1"/>
        <v>0</v>
      </c>
    </row>
    <row r="38" spans="1:17" s="63" customFormat="1" ht="27">
      <c r="A38" s="42">
        <v>6</v>
      </c>
      <c r="B38" s="21" t="s">
        <v>109</v>
      </c>
      <c r="C38" s="184" t="s">
        <v>289</v>
      </c>
      <c r="D38" s="22" t="s">
        <v>57</v>
      </c>
      <c r="E38" s="22"/>
      <c r="F38" s="23">
        <v>1985</v>
      </c>
      <c r="G38" s="152"/>
      <c r="H38" s="152"/>
      <c r="I38" s="152"/>
      <c r="J38" s="152"/>
      <c r="K38" s="152"/>
      <c r="L38" s="152"/>
      <c r="M38" s="152"/>
    </row>
    <row r="39" spans="1:17" s="63" customFormat="1">
      <c r="A39" s="20"/>
      <c r="B39" s="66" t="s">
        <v>3</v>
      </c>
      <c r="C39" s="184"/>
      <c r="D39" s="67" t="s">
        <v>4</v>
      </c>
      <c r="E39" s="185">
        <v>0.89</v>
      </c>
      <c r="F39" s="71">
        <f>E39*F38</f>
        <v>1766.65</v>
      </c>
      <c r="G39" s="154"/>
      <c r="H39" s="154"/>
      <c r="I39" s="154"/>
      <c r="J39" s="154">
        <f>I39*F39</f>
        <v>0</v>
      </c>
      <c r="K39" s="154"/>
      <c r="L39" s="154"/>
      <c r="M39" s="154">
        <f>L39+J39+H39</f>
        <v>0</v>
      </c>
    </row>
    <row r="40" spans="1:17" s="63" customFormat="1">
      <c r="A40" s="20"/>
      <c r="B40" s="66" t="s">
        <v>22</v>
      </c>
      <c r="C40" s="184"/>
      <c r="D40" s="41" t="s">
        <v>0</v>
      </c>
      <c r="E40" s="67">
        <v>0.37</v>
      </c>
      <c r="F40" s="71">
        <f>E40*F38</f>
        <v>734.45</v>
      </c>
      <c r="G40" s="154"/>
      <c r="H40" s="154"/>
      <c r="I40" s="154"/>
      <c r="J40" s="154"/>
      <c r="K40" s="154"/>
      <c r="L40" s="154">
        <f>K40*F40</f>
        <v>0</v>
      </c>
      <c r="M40" s="154">
        <f>L40+J40+H40</f>
        <v>0</v>
      </c>
    </row>
    <row r="41" spans="1:17" s="63" customFormat="1">
      <c r="A41" s="20"/>
      <c r="B41" s="41" t="s">
        <v>41</v>
      </c>
      <c r="C41" s="184"/>
      <c r="D41" s="67"/>
      <c r="E41" s="67"/>
      <c r="F41" s="39"/>
      <c r="G41" s="154"/>
      <c r="H41" s="154"/>
      <c r="I41" s="155"/>
      <c r="J41" s="155">
        <f>I41*F41</f>
        <v>0</v>
      </c>
      <c r="K41" s="155"/>
      <c r="L41" s="155">
        <f>F41*K41</f>
        <v>0</v>
      </c>
      <c r="M41" s="154"/>
    </row>
    <row r="42" spans="1:17" s="63" customFormat="1">
      <c r="A42" s="20"/>
      <c r="B42" s="66" t="s">
        <v>87</v>
      </c>
      <c r="C42" s="184" t="s">
        <v>361</v>
      </c>
      <c r="D42" s="67" t="s">
        <v>5</v>
      </c>
      <c r="E42" s="67">
        <v>1.1000000000000001</v>
      </c>
      <c r="F42" s="39">
        <f>E42*F38</f>
        <v>2183.5</v>
      </c>
      <c r="G42" s="155"/>
      <c r="H42" s="155">
        <f>F42*G42</f>
        <v>0</v>
      </c>
      <c r="I42" s="155"/>
      <c r="J42" s="155">
        <f>I42*F42</f>
        <v>0</v>
      </c>
      <c r="K42" s="155"/>
      <c r="L42" s="155">
        <f>F42*K42</f>
        <v>0</v>
      </c>
      <c r="M42" s="154">
        <f>H42+J42+L42</f>
        <v>0</v>
      </c>
    </row>
    <row r="43" spans="1:17" s="63" customFormat="1">
      <c r="A43" s="42"/>
      <c r="B43" s="66" t="s">
        <v>6</v>
      </c>
      <c r="C43" s="131"/>
      <c r="D43" s="41" t="s">
        <v>0</v>
      </c>
      <c r="E43" s="41">
        <v>0.02</v>
      </c>
      <c r="F43" s="72">
        <f>E43*F38</f>
        <v>39.700000000000003</v>
      </c>
      <c r="G43" s="153"/>
      <c r="H43" s="155">
        <f>F43*G43</f>
        <v>0</v>
      </c>
      <c r="I43" s="154"/>
      <c r="J43" s="153"/>
      <c r="K43" s="153"/>
      <c r="L43" s="153"/>
      <c r="M43" s="153">
        <f>H43+J43+L43</f>
        <v>0</v>
      </c>
    </row>
    <row r="44" spans="1:17" s="63" customFormat="1" ht="40.5">
      <c r="A44" s="20">
        <v>7</v>
      </c>
      <c r="B44" s="34" t="s">
        <v>110</v>
      </c>
      <c r="C44" s="184" t="s">
        <v>291</v>
      </c>
      <c r="D44" s="20" t="s">
        <v>5</v>
      </c>
      <c r="E44" s="20"/>
      <c r="F44" s="74">
        <v>400</v>
      </c>
      <c r="G44" s="152"/>
      <c r="H44" s="152"/>
      <c r="I44" s="152"/>
      <c r="J44" s="152"/>
      <c r="K44" s="157"/>
      <c r="L44" s="157"/>
      <c r="M44" s="157"/>
    </row>
    <row r="45" spans="1:17" s="63" customFormat="1">
      <c r="A45" s="20"/>
      <c r="B45" s="24" t="s">
        <v>3</v>
      </c>
      <c r="C45" s="132"/>
      <c r="D45" s="25" t="s">
        <v>4</v>
      </c>
      <c r="E45" s="25">
        <v>0.216</v>
      </c>
      <c r="F45" s="26">
        <f>E45*F44</f>
        <v>86.4</v>
      </c>
      <c r="G45" s="157"/>
      <c r="H45" s="157"/>
      <c r="I45" s="157"/>
      <c r="J45" s="157">
        <f>F45*I45</f>
        <v>0</v>
      </c>
      <c r="K45" s="157"/>
      <c r="L45" s="157"/>
      <c r="M45" s="157">
        <f>H45+J45+L45</f>
        <v>0</v>
      </c>
    </row>
    <row r="46" spans="1:17" s="63" customFormat="1">
      <c r="A46" s="20"/>
      <c r="B46" s="24" t="s">
        <v>292</v>
      </c>
      <c r="C46" s="184" t="s">
        <v>279</v>
      </c>
      <c r="D46" s="3" t="s">
        <v>63</v>
      </c>
      <c r="E46" s="25">
        <v>1.24E-2</v>
      </c>
      <c r="F46" s="27">
        <f>E46*F44</f>
        <v>4.96</v>
      </c>
      <c r="G46" s="157"/>
      <c r="H46" s="157"/>
      <c r="I46" s="157"/>
      <c r="J46" s="157"/>
      <c r="K46" s="157"/>
      <c r="L46" s="157">
        <f t="shared" ref="L46:L51" si="2">F46*K46</f>
        <v>0</v>
      </c>
      <c r="M46" s="157">
        <f>H46+J46+L46</f>
        <v>0</v>
      </c>
    </row>
    <row r="47" spans="1:17" s="63" customFormat="1">
      <c r="A47" s="5"/>
      <c r="B47" s="73" t="s">
        <v>293</v>
      </c>
      <c r="C47" s="184" t="s">
        <v>369</v>
      </c>
      <c r="D47" s="3" t="s">
        <v>63</v>
      </c>
      <c r="E47" s="25">
        <v>2.58E-2</v>
      </c>
      <c r="F47" s="75">
        <f>E47*F44</f>
        <v>10.32</v>
      </c>
      <c r="G47" s="155"/>
      <c r="H47" s="155"/>
      <c r="I47" s="155"/>
      <c r="J47" s="155"/>
      <c r="K47" s="155"/>
      <c r="L47" s="155">
        <f t="shared" si="2"/>
        <v>0</v>
      </c>
      <c r="M47" s="155">
        <f>L47+J47+H47</f>
        <v>0</v>
      </c>
    </row>
    <row r="48" spans="1:17" s="63" customFormat="1">
      <c r="A48" s="20"/>
      <c r="B48" s="24" t="s">
        <v>294</v>
      </c>
      <c r="C48" s="184" t="s">
        <v>295</v>
      </c>
      <c r="D48" s="3" t="s">
        <v>63</v>
      </c>
      <c r="E48" s="25">
        <v>4.1000000000000003E-3</v>
      </c>
      <c r="F48" s="27">
        <f>E48*F44</f>
        <v>1.6400000000000001</v>
      </c>
      <c r="G48" s="157"/>
      <c r="H48" s="157"/>
      <c r="I48" s="157"/>
      <c r="J48" s="157"/>
      <c r="K48" s="157"/>
      <c r="L48" s="157">
        <f t="shared" si="2"/>
        <v>0</v>
      </c>
      <c r="M48" s="157">
        <f>H48+J48+L48</f>
        <v>0</v>
      </c>
      <c r="N48" s="109"/>
      <c r="O48" s="109"/>
      <c r="P48" s="109"/>
      <c r="Q48" s="109"/>
    </row>
    <row r="49" spans="1:17" s="63" customFormat="1">
      <c r="A49" s="20"/>
      <c r="B49" s="24" t="s">
        <v>296</v>
      </c>
      <c r="C49" s="184" t="s">
        <v>284</v>
      </c>
      <c r="D49" s="3" t="s">
        <v>63</v>
      </c>
      <c r="E49" s="25">
        <v>7.5999999999999998E-2</v>
      </c>
      <c r="F49" s="27">
        <f>E49*F44</f>
        <v>30.4</v>
      </c>
      <c r="G49" s="157"/>
      <c r="H49" s="157"/>
      <c r="I49" s="157"/>
      <c r="J49" s="157"/>
      <c r="K49" s="158"/>
      <c r="L49" s="157">
        <f t="shared" si="2"/>
        <v>0</v>
      </c>
      <c r="M49" s="157">
        <f>H49+J49+L49</f>
        <v>0</v>
      </c>
      <c r="N49" s="109"/>
      <c r="O49" s="109"/>
      <c r="P49" s="109"/>
      <c r="Q49" s="109"/>
    </row>
    <row r="50" spans="1:17" s="63" customFormat="1">
      <c r="A50" s="20"/>
      <c r="B50" s="24" t="s">
        <v>297</v>
      </c>
      <c r="C50" s="184" t="s">
        <v>285</v>
      </c>
      <c r="D50" s="3" t="s">
        <v>63</v>
      </c>
      <c r="E50" s="25">
        <v>0.151</v>
      </c>
      <c r="F50" s="27">
        <f>E50*F44</f>
        <v>60.4</v>
      </c>
      <c r="G50" s="157"/>
      <c r="H50" s="157"/>
      <c r="I50" s="157"/>
      <c r="J50" s="157"/>
      <c r="K50" s="158"/>
      <c r="L50" s="157">
        <f t="shared" si="2"/>
        <v>0</v>
      </c>
      <c r="M50" s="155">
        <f>L50+J50+H50</f>
        <v>0</v>
      </c>
      <c r="N50" s="109"/>
      <c r="O50" s="110"/>
      <c r="P50" s="109"/>
      <c r="Q50" s="109"/>
    </row>
    <row r="51" spans="1:17" s="63" customFormat="1">
      <c r="A51" s="20"/>
      <c r="B51" s="24" t="s">
        <v>88</v>
      </c>
      <c r="C51" s="184" t="s">
        <v>298</v>
      </c>
      <c r="D51" s="25" t="s">
        <v>63</v>
      </c>
      <c r="E51" s="25">
        <v>9.7000000000000003E-3</v>
      </c>
      <c r="F51" s="26">
        <f>F44*E51</f>
        <v>3.88</v>
      </c>
      <c r="G51" s="157"/>
      <c r="H51" s="157"/>
      <c r="I51" s="159"/>
      <c r="J51" s="159"/>
      <c r="K51" s="157"/>
      <c r="L51" s="157">
        <f t="shared" si="2"/>
        <v>0</v>
      </c>
      <c r="M51" s="155">
        <f>L51+J51+H51</f>
        <v>0</v>
      </c>
    </row>
    <row r="52" spans="1:17" s="63" customFormat="1">
      <c r="A52" s="20"/>
      <c r="B52" s="3" t="s">
        <v>41</v>
      </c>
      <c r="C52" s="132"/>
      <c r="D52" s="25"/>
      <c r="E52" s="25"/>
      <c r="F52" s="26"/>
      <c r="G52" s="157"/>
      <c r="H52" s="157"/>
      <c r="I52" s="157"/>
      <c r="J52" s="157"/>
      <c r="K52" s="157"/>
      <c r="L52" s="157"/>
      <c r="M52" s="157"/>
    </row>
    <row r="53" spans="1:17" s="63" customFormat="1">
      <c r="A53" s="20"/>
      <c r="B53" s="24" t="s">
        <v>29</v>
      </c>
      <c r="C53" s="132"/>
      <c r="D53" s="25" t="s">
        <v>5</v>
      </c>
      <c r="E53" s="25">
        <v>1.26</v>
      </c>
      <c r="F53" s="26">
        <f>F44*E53</f>
        <v>504</v>
      </c>
      <c r="G53" s="157"/>
      <c r="H53" s="157">
        <f>F53*G53</f>
        <v>0</v>
      </c>
      <c r="I53" s="157"/>
      <c r="J53" s="157"/>
      <c r="K53" s="157"/>
      <c r="L53" s="157"/>
      <c r="M53" s="155">
        <f>L53+J53+H53</f>
        <v>0</v>
      </c>
    </row>
    <row r="54" spans="1:17" s="63" customFormat="1" ht="26.25" customHeight="1">
      <c r="A54" s="20"/>
      <c r="B54" s="24" t="s">
        <v>66</v>
      </c>
      <c r="C54" s="132" t="s">
        <v>299</v>
      </c>
      <c r="D54" s="25" t="s">
        <v>5</v>
      </c>
      <c r="E54" s="25">
        <v>7.0000000000000007E-2</v>
      </c>
      <c r="F54" s="27">
        <f>F44*E54</f>
        <v>28.000000000000004</v>
      </c>
      <c r="G54" s="157"/>
      <c r="H54" s="157">
        <f>F54*G54</f>
        <v>0</v>
      </c>
      <c r="I54" s="157"/>
      <c r="J54" s="157"/>
      <c r="K54" s="157"/>
      <c r="L54" s="157"/>
      <c r="M54" s="157">
        <f>H54+J54+L54</f>
        <v>0</v>
      </c>
    </row>
    <row r="55" spans="1:17" s="63" customFormat="1" ht="40.5">
      <c r="A55" s="10">
        <v>8</v>
      </c>
      <c r="B55" s="11" t="s">
        <v>81</v>
      </c>
      <c r="C55" s="134" t="s">
        <v>301</v>
      </c>
      <c r="D55" s="12" t="s">
        <v>5</v>
      </c>
      <c r="E55" s="13"/>
      <c r="F55" s="14">
        <v>4653.6000000000004</v>
      </c>
      <c r="G55" s="152"/>
      <c r="H55" s="152"/>
      <c r="I55" s="152"/>
      <c r="J55" s="152"/>
      <c r="K55" s="152"/>
      <c r="L55" s="152"/>
      <c r="M55" s="152"/>
    </row>
    <row r="56" spans="1:17" s="63" customFormat="1">
      <c r="A56" s="15"/>
      <c r="B56" s="16" t="s">
        <v>3</v>
      </c>
      <c r="C56" s="133"/>
      <c r="D56" s="18" t="s">
        <v>4</v>
      </c>
      <c r="E56" s="19">
        <v>1.6500000000000001E-2</v>
      </c>
      <c r="F56" s="1">
        <f>F55*E56</f>
        <v>76.784400000000005</v>
      </c>
      <c r="G56" s="157"/>
      <c r="H56" s="157"/>
      <c r="I56" s="157"/>
      <c r="J56" s="157">
        <f>I56*F56</f>
        <v>0</v>
      </c>
      <c r="K56" s="157"/>
      <c r="L56" s="157"/>
      <c r="M56" s="157">
        <f>L56+J56+H56</f>
        <v>0</v>
      </c>
    </row>
    <row r="57" spans="1:17" s="63" customFormat="1">
      <c r="A57" s="15"/>
      <c r="B57" s="16" t="s">
        <v>64</v>
      </c>
      <c r="C57" s="132" t="s">
        <v>281</v>
      </c>
      <c r="D57" s="15" t="s">
        <v>63</v>
      </c>
      <c r="E57" s="19">
        <v>3.6999999999999998E-2</v>
      </c>
      <c r="F57" s="1">
        <f>E57*F55</f>
        <v>172.1832</v>
      </c>
      <c r="G57" s="157"/>
      <c r="H57" s="157"/>
      <c r="I57" s="157"/>
      <c r="J57" s="157"/>
      <c r="K57" s="157"/>
      <c r="L57" s="157">
        <f>K57*F57</f>
        <v>0</v>
      </c>
      <c r="M57" s="157">
        <f>L57+J57+H57</f>
        <v>0</v>
      </c>
    </row>
    <row r="58" spans="1:17" s="63" customFormat="1">
      <c r="A58" s="15"/>
      <c r="B58" s="16" t="s">
        <v>70</v>
      </c>
      <c r="C58" s="133"/>
      <c r="D58" s="15" t="s">
        <v>71</v>
      </c>
      <c r="E58" s="19">
        <v>0</v>
      </c>
      <c r="F58" s="1">
        <f>F55*E58</f>
        <v>0</v>
      </c>
      <c r="G58" s="157"/>
      <c r="H58" s="157">
        <f>G58*F58</f>
        <v>0</v>
      </c>
      <c r="I58" s="157"/>
      <c r="J58" s="157"/>
      <c r="K58" s="157"/>
      <c r="L58" s="157"/>
      <c r="M58" s="157">
        <f>L58+J58+H58</f>
        <v>0</v>
      </c>
    </row>
    <row r="59" spans="1:17" s="63" customFormat="1" ht="27">
      <c r="A59" s="20">
        <v>9</v>
      </c>
      <c r="B59" s="21" t="s">
        <v>93</v>
      </c>
      <c r="C59" s="132" t="s">
        <v>92</v>
      </c>
      <c r="D59" s="22" t="s">
        <v>5</v>
      </c>
      <c r="E59" s="22"/>
      <c r="F59" s="14">
        <v>250</v>
      </c>
      <c r="G59" s="152"/>
      <c r="H59" s="152"/>
      <c r="I59" s="152"/>
      <c r="J59" s="152"/>
      <c r="K59" s="152"/>
      <c r="L59" s="152"/>
      <c r="M59" s="152"/>
    </row>
    <row r="60" spans="1:17" s="63" customFormat="1">
      <c r="A60" s="3"/>
      <c r="B60" s="24" t="s">
        <v>3</v>
      </c>
      <c r="C60" s="184"/>
      <c r="D60" s="25" t="s">
        <v>4</v>
      </c>
      <c r="E60" s="25">
        <v>2.06</v>
      </c>
      <c r="F60" s="26">
        <f>F59*E60</f>
        <v>515</v>
      </c>
      <c r="G60" s="157"/>
      <c r="H60" s="157"/>
      <c r="I60" s="157"/>
      <c r="J60" s="157">
        <f>F60*I60</f>
        <v>0</v>
      </c>
      <c r="K60" s="157"/>
      <c r="L60" s="157"/>
      <c r="M60" s="157">
        <f>H60+J60+L60</f>
        <v>0</v>
      </c>
    </row>
    <row r="61" spans="1:17" s="63" customFormat="1" ht="40.5">
      <c r="A61" s="10">
        <v>10</v>
      </c>
      <c r="B61" s="11" t="s">
        <v>80</v>
      </c>
      <c r="C61" s="134" t="s">
        <v>300</v>
      </c>
      <c r="D61" s="12" t="s">
        <v>5</v>
      </c>
      <c r="E61" s="13"/>
      <c r="F61" s="14">
        <v>2000</v>
      </c>
      <c r="G61" s="152"/>
      <c r="H61" s="152"/>
      <c r="I61" s="152"/>
      <c r="J61" s="152"/>
      <c r="K61" s="152"/>
      <c r="L61" s="152"/>
      <c r="M61" s="152"/>
    </row>
    <row r="62" spans="1:17" s="63" customFormat="1">
      <c r="A62" s="15"/>
      <c r="B62" s="16" t="s">
        <v>3</v>
      </c>
      <c r="C62" s="133"/>
      <c r="D62" s="18" t="s">
        <v>4</v>
      </c>
      <c r="E62" s="19">
        <v>2.1499999999999998E-2</v>
      </c>
      <c r="F62" s="1">
        <f>F61*E62</f>
        <v>43</v>
      </c>
      <c r="G62" s="157"/>
      <c r="H62" s="157"/>
      <c r="I62" s="157"/>
      <c r="J62" s="157">
        <f>I62*F62</f>
        <v>0</v>
      </c>
      <c r="K62" s="157"/>
      <c r="L62" s="157"/>
      <c r="M62" s="157">
        <f>L62+J62+H62</f>
        <v>0</v>
      </c>
    </row>
    <row r="63" spans="1:17" s="63" customFormat="1">
      <c r="A63" s="15"/>
      <c r="B63" s="16" t="s">
        <v>64</v>
      </c>
      <c r="C63" s="132" t="s">
        <v>281</v>
      </c>
      <c r="D63" s="15" t="s">
        <v>63</v>
      </c>
      <c r="E63" s="19">
        <v>4.82E-2</v>
      </c>
      <c r="F63" s="1">
        <f>E63*F61</f>
        <v>96.4</v>
      </c>
      <c r="G63" s="157"/>
      <c r="H63" s="157"/>
      <c r="I63" s="157"/>
      <c r="J63" s="157"/>
      <c r="K63" s="157"/>
      <c r="L63" s="157">
        <f>K63*F63</f>
        <v>0</v>
      </c>
      <c r="M63" s="157">
        <f>L63+J63+H63</f>
        <v>0</v>
      </c>
    </row>
    <row r="64" spans="1:17" s="63" customFormat="1" ht="27">
      <c r="A64" s="20">
        <v>11</v>
      </c>
      <c r="B64" s="21" t="s">
        <v>91</v>
      </c>
      <c r="C64" s="132" t="s">
        <v>302</v>
      </c>
      <c r="D64" s="22" t="s">
        <v>5</v>
      </c>
      <c r="E64" s="22"/>
      <c r="F64" s="14">
        <v>150</v>
      </c>
      <c r="G64" s="152"/>
      <c r="H64" s="152"/>
      <c r="I64" s="152"/>
      <c r="J64" s="152"/>
      <c r="K64" s="152"/>
      <c r="L64" s="152"/>
      <c r="M64" s="152"/>
    </row>
    <row r="65" spans="1:13" s="63" customFormat="1">
      <c r="A65" s="3"/>
      <c r="B65" s="24" t="s">
        <v>3</v>
      </c>
      <c r="C65" s="184"/>
      <c r="D65" s="25" t="s">
        <v>4</v>
      </c>
      <c r="E65" s="25">
        <v>2.99</v>
      </c>
      <c r="F65" s="26">
        <f>F64*E65</f>
        <v>448.50000000000006</v>
      </c>
      <c r="G65" s="157"/>
      <c r="H65" s="157"/>
      <c r="I65" s="157"/>
      <c r="J65" s="157">
        <f>F65*I65</f>
        <v>0</v>
      </c>
      <c r="K65" s="157"/>
      <c r="L65" s="157"/>
      <c r="M65" s="157">
        <f>H65+J65+L65</f>
        <v>0</v>
      </c>
    </row>
    <row r="66" spans="1:13" s="76" customFormat="1" ht="40.5">
      <c r="A66" s="10">
        <v>12</v>
      </c>
      <c r="B66" s="11" t="s">
        <v>82</v>
      </c>
      <c r="C66" s="134" t="s">
        <v>303</v>
      </c>
      <c r="D66" s="12" t="s">
        <v>5</v>
      </c>
      <c r="E66" s="13"/>
      <c r="F66" s="14">
        <v>175</v>
      </c>
      <c r="G66" s="152"/>
      <c r="H66" s="152"/>
      <c r="I66" s="152"/>
      <c r="J66" s="152"/>
      <c r="K66" s="152"/>
      <c r="L66" s="152"/>
      <c r="M66" s="152"/>
    </row>
    <row r="67" spans="1:13" s="76" customFormat="1" ht="15.75">
      <c r="A67" s="15"/>
      <c r="B67" s="16" t="s">
        <v>3</v>
      </c>
      <c r="C67" s="133"/>
      <c r="D67" s="18" t="s">
        <v>4</v>
      </c>
      <c r="E67" s="19">
        <f>29*0.001</f>
        <v>2.9000000000000001E-2</v>
      </c>
      <c r="F67" s="1">
        <f>F66*E67</f>
        <v>5.0750000000000002</v>
      </c>
      <c r="G67" s="157"/>
      <c r="H67" s="157"/>
      <c r="I67" s="157"/>
      <c r="J67" s="157">
        <f>I67*F67</f>
        <v>0</v>
      </c>
      <c r="K67" s="157"/>
      <c r="L67" s="157"/>
      <c r="M67" s="157">
        <f>L67+J67+H67</f>
        <v>0</v>
      </c>
    </row>
    <row r="68" spans="1:13" s="76" customFormat="1" ht="15.75">
      <c r="A68" s="15"/>
      <c r="B68" s="16" t="s">
        <v>64</v>
      </c>
      <c r="C68" s="132" t="s">
        <v>281</v>
      </c>
      <c r="D68" s="15" t="s">
        <v>63</v>
      </c>
      <c r="E68" s="19">
        <f>65*0.001</f>
        <v>6.5000000000000002E-2</v>
      </c>
      <c r="F68" s="1">
        <f>E68*F66</f>
        <v>11.375</v>
      </c>
      <c r="G68" s="157"/>
      <c r="H68" s="157"/>
      <c r="I68" s="157"/>
      <c r="J68" s="157"/>
      <c r="K68" s="157"/>
      <c r="L68" s="157">
        <f>K68*F68</f>
        <v>0</v>
      </c>
      <c r="M68" s="157">
        <f>L68+J68+H68</f>
        <v>0</v>
      </c>
    </row>
    <row r="69" spans="1:13" s="76" customFormat="1" ht="27">
      <c r="A69" s="99">
        <v>13</v>
      </c>
      <c r="B69" s="21" t="s">
        <v>89</v>
      </c>
      <c r="C69" s="129" t="s">
        <v>67</v>
      </c>
      <c r="D69" s="28" t="s">
        <v>5</v>
      </c>
      <c r="E69" s="29"/>
      <c r="F69" s="23">
        <v>4022</v>
      </c>
      <c r="G69" s="156"/>
      <c r="H69" s="156"/>
      <c r="I69" s="156"/>
      <c r="J69" s="156"/>
      <c r="K69" s="156"/>
      <c r="L69" s="156"/>
      <c r="M69" s="156"/>
    </row>
    <row r="70" spans="1:13" s="76" customFormat="1" ht="15.75">
      <c r="A70" s="30"/>
      <c r="B70" s="31" t="s">
        <v>55</v>
      </c>
      <c r="C70" s="130"/>
      <c r="D70" s="25" t="s">
        <v>4</v>
      </c>
      <c r="E70" s="19">
        <f>29*0.001</f>
        <v>2.9000000000000001E-2</v>
      </c>
      <c r="F70" s="1">
        <f>F69*E70</f>
        <v>116.63800000000001</v>
      </c>
      <c r="G70" s="157"/>
      <c r="H70" s="157"/>
      <c r="I70" s="157"/>
      <c r="J70" s="157">
        <f>I70*F70</f>
        <v>0</v>
      </c>
      <c r="K70" s="157"/>
      <c r="L70" s="157"/>
      <c r="M70" s="157">
        <f>L70+J70+H70</f>
        <v>0</v>
      </c>
    </row>
    <row r="71" spans="1:13" s="76" customFormat="1" ht="15.75">
      <c r="A71" s="30"/>
      <c r="B71" s="31" t="s">
        <v>68</v>
      </c>
      <c r="C71" s="132" t="s">
        <v>281</v>
      </c>
      <c r="D71" s="25" t="s">
        <v>43</v>
      </c>
      <c r="E71" s="19">
        <f>65*0.001</f>
        <v>6.5000000000000002E-2</v>
      </c>
      <c r="F71" s="1">
        <f>E71*F69</f>
        <v>261.43</v>
      </c>
      <c r="G71" s="157"/>
      <c r="H71" s="157"/>
      <c r="I71" s="157"/>
      <c r="J71" s="157"/>
      <c r="K71" s="157"/>
      <c r="L71" s="157">
        <f>K71*F71</f>
        <v>0</v>
      </c>
      <c r="M71" s="157">
        <f>L71+J71+H71</f>
        <v>0</v>
      </c>
    </row>
    <row r="72" spans="1:13" s="76" customFormat="1" ht="15.75">
      <c r="A72" s="30"/>
      <c r="B72" s="31" t="s">
        <v>26</v>
      </c>
      <c r="C72" s="130"/>
      <c r="D72" s="25" t="s">
        <v>5</v>
      </c>
      <c r="E72" s="25">
        <f>0.0021</f>
        <v>2.0999999999999999E-3</v>
      </c>
      <c r="F72" s="25">
        <f>E72*F69</f>
        <v>8.4461999999999993</v>
      </c>
      <c r="G72" s="157"/>
      <c r="H72" s="157"/>
      <c r="I72" s="157"/>
      <c r="J72" s="157"/>
      <c r="K72" s="157"/>
      <c r="L72" s="155">
        <f>F72*K72</f>
        <v>0</v>
      </c>
      <c r="M72" s="157">
        <f>L72+J72+H72</f>
        <v>0</v>
      </c>
    </row>
    <row r="73" spans="1:13" s="63" customFormat="1">
      <c r="A73" s="20"/>
      <c r="B73" s="66" t="s">
        <v>29</v>
      </c>
      <c r="C73" s="184" t="s">
        <v>282</v>
      </c>
      <c r="D73" s="67" t="s">
        <v>5</v>
      </c>
      <c r="E73" s="67">
        <v>5.0000000000000002E-5</v>
      </c>
      <c r="F73" s="25">
        <f>E73*F69</f>
        <v>0.2011</v>
      </c>
      <c r="G73" s="155"/>
      <c r="H73" s="157">
        <f>F73*G73</f>
        <v>0</v>
      </c>
      <c r="I73" s="155"/>
      <c r="J73" s="155"/>
      <c r="K73" s="155"/>
      <c r="L73" s="155"/>
      <c r="M73" s="154">
        <f>L73+J73+H73</f>
        <v>0</v>
      </c>
    </row>
    <row r="74" spans="1:13" s="76" customFormat="1" ht="27">
      <c r="A74" s="10">
        <v>14</v>
      </c>
      <c r="B74" s="11" t="s">
        <v>277</v>
      </c>
      <c r="C74" s="134" t="s">
        <v>72</v>
      </c>
      <c r="D74" s="12" t="s">
        <v>5</v>
      </c>
      <c r="E74" s="13"/>
      <c r="F74" s="14">
        <v>287</v>
      </c>
      <c r="G74" s="152"/>
      <c r="H74" s="152"/>
      <c r="I74" s="152"/>
      <c r="J74" s="152"/>
      <c r="K74" s="152"/>
      <c r="L74" s="152"/>
      <c r="M74" s="152"/>
    </row>
    <row r="75" spans="1:13" s="76" customFormat="1" ht="15.75">
      <c r="A75" s="15"/>
      <c r="B75" s="16" t="s">
        <v>3</v>
      </c>
      <c r="C75" s="133"/>
      <c r="D75" s="18" t="s">
        <v>4</v>
      </c>
      <c r="E75" s="19">
        <v>1.8</v>
      </c>
      <c r="F75" s="32">
        <f>F74*E75</f>
        <v>516.6</v>
      </c>
      <c r="G75" s="157"/>
      <c r="H75" s="157"/>
      <c r="I75" s="157"/>
      <c r="J75" s="157">
        <f>I75*F75</f>
        <v>0</v>
      </c>
      <c r="K75" s="157"/>
      <c r="L75" s="157"/>
      <c r="M75" s="157">
        <f>L75+J75+H75</f>
        <v>0</v>
      </c>
    </row>
    <row r="76" spans="1:13" s="76" customFormat="1" ht="15.75">
      <c r="A76" s="15"/>
      <c r="B76" s="16" t="s">
        <v>278</v>
      </c>
      <c r="C76" s="133" t="s">
        <v>256</v>
      </c>
      <c r="D76" s="15" t="s">
        <v>73</v>
      </c>
      <c r="E76" s="19">
        <v>1.1000000000000001</v>
      </c>
      <c r="F76" s="32">
        <f>F74*E76</f>
        <v>315.70000000000005</v>
      </c>
      <c r="G76" s="157"/>
      <c r="H76" s="157">
        <f>G76*F76</f>
        <v>0</v>
      </c>
      <c r="I76" s="157"/>
      <c r="J76" s="157"/>
      <c r="K76" s="157"/>
      <c r="L76" s="157"/>
      <c r="M76" s="157">
        <f>L76+J76+H76</f>
        <v>0</v>
      </c>
    </row>
    <row r="77" spans="1:13" s="76" customFormat="1" ht="27">
      <c r="A77" s="10">
        <v>15</v>
      </c>
      <c r="B77" s="11" t="s">
        <v>172</v>
      </c>
      <c r="C77" s="134" t="s">
        <v>304</v>
      </c>
      <c r="D77" s="12" t="s">
        <v>5</v>
      </c>
      <c r="E77" s="13"/>
      <c r="F77" s="14">
        <v>1750</v>
      </c>
      <c r="G77" s="152"/>
      <c r="H77" s="152"/>
      <c r="I77" s="152"/>
      <c r="J77" s="152"/>
      <c r="K77" s="152"/>
      <c r="L77" s="152"/>
      <c r="M77" s="152"/>
    </row>
    <row r="78" spans="1:13" s="76" customFormat="1" ht="15.75">
      <c r="A78" s="15"/>
      <c r="B78" s="16" t="s">
        <v>3</v>
      </c>
      <c r="C78" s="133"/>
      <c r="D78" s="18" t="s">
        <v>4</v>
      </c>
      <c r="E78" s="19">
        <v>1.8</v>
      </c>
      <c r="F78" s="32">
        <f>F77*E78</f>
        <v>3150</v>
      </c>
      <c r="G78" s="157"/>
      <c r="H78" s="157"/>
      <c r="I78" s="157"/>
      <c r="J78" s="157">
        <f>I78*F78</f>
        <v>0</v>
      </c>
      <c r="K78" s="157"/>
      <c r="L78" s="157"/>
      <c r="M78" s="157">
        <f>L78+J78+H78</f>
        <v>0</v>
      </c>
    </row>
    <row r="79" spans="1:13" s="76" customFormat="1" ht="15.75">
      <c r="A79" s="15"/>
      <c r="B79" s="16" t="s">
        <v>161</v>
      </c>
      <c r="C79" s="133" t="s">
        <v>256</v>
      </c>
      <c r="D79" s="15" t="s">
        <v>73</v>
      </c>
      <c r="E79" s="19">
        <v>1.1000000000000001</v>
      </c>
      <c r="F79" s="32">
        <f>F77*E79</f>
        <v>1925.0000000000002</v>
      </c>
      <c r="G79" s="157"/>
      <c r="H79" s="157">
        <f>G79*F79</f>
        <v>0</v>
      </c>
      <c r="I79" s="157"/>
      <c r="J79" s="157"/>
      <c r="K79" s="157"/>
      <c r="L79" s="157"/>
      <c r="M79" s="157">
        <f>L79+J79+H79</f>
        <v>0</v>
      </c>
    </row>
    <row r="80" spans="1:13" s="76" customFormat="1" ht="27">
      <c r="A80" s="10">
        <v>16</v>
      </c>
      <c r="B80" s="11" t="s">
        <v>74</v>
      </c>
      <c r="C80" s="134" t="s">
        <v>305</v>
      </c>
      <c r="D80" s="12" t="s">
        <v>5</v>
      </c>
      <c r="E80" s="13"/>
      <c r="F80" s="14">
        <v>2843.2</v>
      </c>
      <c r="G80" s="152"/>
      <c r="H80" s="152"/>
      <c r="I80" s="152"/>
      <c r="J80" s="152"/>
      <c r="K80" s="152"/>
      <c r="L80" s="152"/>
      <c r="M80" s="152"/>
    </row>
    <row r="81" spans="1:14" s="76" customFormat="1" ht="15.75">
      <c r="A81" s="15"/>
      <c r="B81" s="16" t="s">
        <v>75</v>
      </c>
      <c r="C81" s="184" t="s">
        <v>306</v>
      </c>
      <c r="D81" s="17" t="s">
        <v>76</v>
      </c>
      <c r="E81" s="111">
        <v>9.2099999999999994E-3</v>
      </c>
      <c r="F81" s="1">
        <f>F80*E81</f>
        <v>26.185871999999996</v>
      </c>
      <c r="G81" s="157"/>
      <c r="H81" s="157"/>
      <c r="I81" s="157"/>
      <c r="J81" s="157"/>
      <c r="K81" s="157"/>
      <c r="L81" s="155">
        <f>F81*K81</f>
        <v>0</v>
      </c>
      <c r="M81" s="157">
        <f>L81+J81+H81</f>
        <v>0</v>
      </c>
    </row>
    <row r="82" spans="1:14" s="76" customFormat="1" ht="27">
      <c r="A82" s="33">
        <v>17</v>
      </c>
      <c r="B82" s="34" t="s">
        <v>69</v>
      </c>
      <c r="C82" s="184" t="s">
        <v>269</v>
      </c>
      <c r="D82" s="35" t="s">
        <v>27</v>
      </c>
      <c r="E82" s="36"/>
      <c r="F82" s="37">
        <f>(F69*1.6)</f>
        <v>6435.2000000000007</v>
      </c>
      <c r="G82" s="152"/>
      <c r="H82" s="153"/>
      <c r="I82" s="152"/>
      <c r="J82" s="154"/>
      <c r="K82" s="157"/>
      <c r="L82" s="153">
        <f>K82*F82</f>
        <v>0</v>
      </c>
      <c r="M82" s="154">
        <f>H82+J82+L82</f>
        <v>0</v>
      </c>
    </row>
    <row r="83" spans="1:14" s="76" customFormat="1" ht="15.75">
      <c r="A83" s="33"/>
      <c r="B83" s="34" t="s">
        <v>2</v>
      </c>
      <c r="C83" s="128"/>
      <c r="D83" s="35"/>
      <c r="E83" s="36"/>
      <c r="F83" s="37"/>
      <c r="G83" s="152"/>
      <c r="H83" s="186">
        <f>SUM(H9:H82)</f>
        <v>0</v>
      </c>
      <c r="I83" s="152"/>
      <c r="J83" s="186">
        <f>SUM(J9:J82)</f>
        <v>0</v>
      </c>
      <c r="K83" s="152"/>
      <c r="L83" s="186">
        <f>SUM(L9:L82)</f>
        <v>0</v>
      </c>
      <c r="M83" s="186">
        <f>SUM(M10:M82)</f>
        <v>0</v>
      </c>
      <c r="N83" s="121"/>
    </row>
    <row r="84" spans="1:14" s="76" customFormat="1" ht="15.75">
      <c r="A84" s="256" t="s">
        <v>49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8"/>
    </row>
    <row r="85" spans="1:14" s="76" customFormat="1" ht="39.75">
      <c r="A85" s="33">
        <v>1</v>
      </c>
      <c r="B85" s="34" t="s">
        <v>197</v>
      </c>
      <c r="C85" s="128" t="s">
        <v>307</v>
      </c>
      <c r="D85" s="35" t="s">
        <v>7</v>
      </c>
      <c r="E85" s="36"/>
      <c r="F85" s="37">
        <v>535</v>
      </c>
      <c r="G85" s="152"/>
      <c r="H85" s="153"/>
      <c r="I85" s="152"/>
      <c r="J85" s="154"/>
      <c r="K85" s="152"/>
      <c r="L85" s="153"/>
      <c r="M85" s="154"/>
    </row>
    <row r="86" spans="1:14" s="76" customFormat="1" ht="15.75">
      <c r="A86" s="20"/>
      <c r="B86" s="24" t="s">
        <v>3</v>
      </c>
      <c r="C86" s="184"/>
      <c r="D86" s="25" t="s">
        <v>4</v>
      </c>
      <c r="E86" s="25">
        <f>181*0.001</f>
        <v>0.18099999999999999</v>
      </c>
      <c r="F86" s="26">
        <f>F85*E86</f>
        <v>96.834999999999994</v>
      </c>
      <c r="G86" s="157"/>
      <c r="H86" s="157"/>
      <c r="I86" s="157"/>
      <c r="J86" s="157">
        <f>F86*I86</f>
        <v>0</v>
      </c>
      <c r="K86" s="157"/>
      <c r="L86" s="157"/>
      <c r="M86" s="157">
        <f>H86+J86+L86</f>
        <v>0</v>
      </c>
    </row>
    <row r="87" spans="1:14" s="76" customFormat="1" ht="15.75">
      <c r="A87" s="20"/>
      <c r="B87" s="24" t="s">
        <v>22</v>
      </c>
      <c r="C87" s="184"/>
      <c r="D87" s="3" t="s">
        <v>0</v>
      </c>
      <c r="E87" s="25">
        <f>92.1*0.001</f>
        <v>9.2100000000000001E-2</v>
      </c>
      <c r="F87" s="27">
        <f>E87*F85</f>
        <v>49.273499999999999</v>
      </c>
      <c r="G87" s="157"/>
      <c r="H87" s="157"/>
      <c r="I87" s="157"/>
      <c r="J87" s="157"/>
      <c r="K87" s="157"/>
      <c r="L87" s="157">
        <f>F87*K87</f>
        <v>0</v>
      </c>
      <c r="M87" s="157">
        <f>H87+J87+L87</f>
        <v>0</v>
      </c>
    </row>
    <row r="88" spans="1:14" s="76" customFormat="1" ht="15.75">
      <c r="A88" s="42"/>
      <c r="B88" s="3" t="s">
        <v>44</v>
      </c>
      <c r="C88" s="131"/>
      <c r="D88" s="3"/>
      <c r="E88" s="3"/>
      <c r="F88" s="43"/>
      <c r="G88" s="155"/>
      <c r="H88" s="155"/>
      <c r="I88" s="157"/>
      <c r="J88" s="155"/>
      <c r="K88" s="155"/>
      <c r="L88" s="155"/>
      <c r="M88" s="155"/>
    </row>
    <row r="89" spans="1:14" s="76" customFormat="1" ht="58.5">
      <c r="A89" s="42"/>
      <c r="B89" s="44" t="s">
        <v>242</v>
      </c>
      <c r="C89" s="184" t="s">
        <v>308</v>
      </c>
      <c r="D89" s="3" t="s">
        <v>7</v>
      </c>
      <c r="E89" s="3">
        <v>1.01</v>
      </c>
      <c r="F89" s="43">
        <f>E89*F85</f>
        <v>540.35</v>
      </c>
      <c r="G89" s="155"/>
      <c r="H89" s="155">
        <f>F89*G89</f>
        <v>0</v>
      </c>
      <c r="I89" s="157"/>
      <c r="J89" s="155"/>
      <c r="K89" s="155"/>
      <c r="L89" s="155"/>
      <c r="M89" s="157">
        <f>H89+J89+L89</f>
        <v>0</v>
      </c>
    </row>
    <row r="90" spans="1:14" s="76" customFormat="1" ht="15.75">
      <c r="A90" s="42"/>
      <c r="B90" s="24" t="s">
        <v>6</v>
      </c>
      <c r="C90" s="131"/>
      <c r="D90" s="3" t="s">
        <v>0</v>
      </c>
      <c r="E90" s="3">
        <f>5.16*0.001</f>
        <v>5.1600000000000005E-3</v>
      </c>
      <c r="F90" s="45">
        <f>E90*F85</f>
        <v>2.7606000000000002</v>
      </c>
      <c r="G90" s="155"/>
      <c r="H90" s="155">
        <f>F90*G90</f>
        <v>0</v>
      </c>
      <c r="I90" s="157"/>
      <c r="J90" s="155"/>
      <c r="K90" s="155"/>
      <c r="L90" s="155"/>
      <c r="M90" s="157">
        <f>H90+J90+L90</f>
        <v>0</v>
      </c>
    </row>
    <row r="91" spans="1:14" s="76" customFormat="1" ht="39.75">
      <c r="A91" s="33">
        <v>2</v>
      </c>
      <c r="B91" s="34" t="s">
        <v>162</v>
      </c>
      <c r="C91" s="128" t="s">
        <v>309</v>
      </c>
      <c r="D91" s="35" t="s">
        <v>7</v>
      </c>
      <c r="E91" s="36"/>
      <c r="F91" s="37">
        <v>1470</v>
      </c>
      <c r="G91" s="152"/>
      <c r="H91" s="153"/>
      <c r="I91" s="152"/>
      <c r="J91" s="154"/>
      <c r="K91" s="152"/>
      <c r="L91" s="153"/>
      <c r="M91" s="154"/>
    </row>
    <row r="92" spans="1:14" s="76" customFormat="1" ht="15.75">
      <c r="A92" s="20"/>
      <c r="B92" s="24" t="s">
        <v>3</v>
      </c>
      <c r="C92" s="184"/>
      <c r="D92" s="25" t="s">
        <v>4</v>
      </c>
      <c r="E92" s="100">
        <f>170*0.001</f>
        <v>0.17</v>
      </c>
      <c r="F92" s="26">
        <f>F91*E92</f>
        <v>249.9</v>
      </c>
      <c r="G92" s="157"/>
      <c r="H92" s="157"/>
      <c r="I92" s="157"/>
      <c r="J92" s="157">
        <f>F92*I92</f>
        <v>0</v>
      </c>
      <c r="K92" s="157"/>
      <c r="L92" s="157"/>
      <c r="M92" s="157">
        <f>H92+J92+L92</f>
        <v>0</v>
      </c>
    </row>
    <row r="93" spans="1:14" s="76" customFormat="1" ht="15.75">
      <c r="A93" s="20"/>
      <c r="B93" s="24" t="s">
        <v>22</v>
      </c>
      <c r="C93" s="184"/>
      <c r="D93" s="3" t="s">
        <v>0</v>
      </c>
      <c r="E93" s="25">
        <f>81.5*0.001</f>
        <v>8.1500000000000003E-2</v>
      </c>
      <c r="F93" s="27">
        <f>E93*F91</f>
        <v>119.80500000000001</v>
      </c>
      <c r="G93" s="157"/>
      <c r="H93" s="157"/>
      <c r="I93" s="157"/>
      <c r="J93" s="157"/>
      <c r="K93" s="157"/>
      <c r="L93" s="157">
        <f>F93*K93</f>
        <v>0</v>
      </c>
      <c r="M93" s="157">
        <f>H93+J93+L93</f>
        <v>0</v>
      </c>
    </row>
    <row r="94" spans="1:14" s="76" customFormat="1" ht="15.75">
      <c r="A94" s="42"/>
      <c r="B94" s="3" t="s">
        <v>44</v>
      </c>
      <c r="C94" s="131"/>
      <c r="E94" s="25"/>
      <c r="F94" s="43"/>
      <c r="G94" s="155"/>
      <c r="H94" s="155"/>
      <c r="I94" s="157"/>
      <c r="J94" s="155"/>
      <c r="K94" s="155"/>
      <c r="L94" s="155"/>
      <c r="M94" s="155"/>
    </row>
    <row r="95" spans="1:14" s="76" customFormat="1" ht="58.5">
      <c r="A95" s="42"/>
      <c r="B95" s="44" t="s">
        <v>163</v>
      </c>
      <c r="C95" s="184" t="s">
        <v>308</v>
      </c>
      <c r="D95" s="3" t="s">
        <v>7</v>
      </c>
      <c r="E95" s="3">
        <v>1.01</v>
      </c>
      <c r="F95" s="43">
        <f>E95*F91</f>
        <v>1484.7</v>
      </c>
      <c r="G95" s="155"/>
      <c r="H95" s="155">
        <f>F95*G95</f>
        <v>0</v>
      </c>
      <c r="I95" s="157"/>
      <c r="J95" s="155"/>
      <c r="K95" s="155"/>
      <c r="L95" s="155"/>
      <c r="M95" s="155">
        <f>H95+J95+L95</f>
        <v>0</v>
      </c>
    </row>
    <row r="96" spans="1:14" s="76" customFormat="1" ht="15.75">
      <c r="A96" s="42"/>
      <c r="B96" s="24" t="s">
        <v>6</v>
      </c>
      <c r="C96" s="131"/>
      <c r="D96" s="3" t="s">
        <v>0</v>
      </c>
      <c r="E96" s="3">
        <f>3.48*0.001</f>
        <v>3.48E-3</v>
      </c>
      <c r="F96" s="45">
        <f>E96*F91</f>
        <v>5.1155999999999997</v>
      </c>
      <c r="G96" s="155"/>
      <c r="H96" s="155">
        <f>F96*G96</f>
        <v>0</v>
      </c>
      <c r="I96" s="157"/>
      <c r="J96" s="155"/>
      <c r="K96" s="155"/>
      <c r="L96" s="155"/>
      <c r="M96" s="155">
        <f>H96+J96+L96</f>
        <v>0</v>
      </c>
    </row>
    <row r="97" spans="1:13" s="76" customFormat="1" ht="39.75">
      <c r="A97" s="33">
        <v>3</v>
      </c>
      <c r="B97" s="34" t="s">
        <v>111</v>
      </c>
      <c r="C97" s="128" t="s">
        <v>77</v>
      </c>
      <c r="D97" s="40" t="s">
        <v>7</v>
      </c>
      <c r="E97" s="100"/>
      <c r="F97" s="37">
        <v>605</v>
      </c>
      <c r="G97" s="152"/>
      <c r="H97" s="153"/>
      <c r="I97" s="152"/>
      <c r="J97" s="154"/>
      <c r="K97" s="152"/>
      <c r="L97" s="153"/>
      <c r="M97" s="154"/>
    </row>
    <row r="98" spans="1:13" s="76" customFormat="1" ht="15.75">
      <c r="A98" s="20"/>
      <c r="B98" s="24" t="s">
        <v>3</v>
      </c>
      <c r="C98" s="184"/>
      <c r="D98" s="25" t="s">
        <v>4</v>
      </c>
      <c r="E98" s="25">
        <v>0.11899999999999999</v>
      </c>
      <c r="F98" s="26">
        <f>F97*E98</f>
        <v>71.99499999999999</v>
      </c>
      <c r="G98" s="157"/>
      <c r="H98" s="157"/>
      <c r="I98" s="157"/>
      <c r="J98" s="157">
        <f>F98*I98</f>
        <v>0</v>
      </c>
      <c r="K98" s="157"/>
      <c r="L98" s="157"/>
      <c r="M98" s="157">
        <f>H98+J98+L98</f>
        <v>0</v>
      </c>
    </row>
    <row r="99" spans="1:13" s="76" customFormat="1" ht="15.75">
      <c r="A99" s="20"/>
      <c r="B99" s="24" t="s">
        <v>22</v>
      </c>
      <c r="C99" s="184"/>
      <c r="D99" s="3" t="s">
        <v>0</v>
      </c>
      <c r="E99" s="25">
        <v>6.7500000000000004E-2</v>
      </c>
      <c r="F99" s="27">
        <f>E99*F97</f>
        <v>40.837500000000006</v>
      </c>
      <c r="G99" s="157"/>
      <c r="H99" s="157"/>
      <c r="I99" s="157"/>
      <c r="J99" s="157"/>
      <c r="K99" s="157"/>
      <c r="L99" s="157">
        <f>F99*K99</f>
        <v>0</v>
      </c>
      <c r="M99" s="157">
        <f>L99*1</f>
        <v>0</v>
      </c>
    </row>
    <row r="100" spans="1:13" s="76" customFormat="1" ht="15.75">
      <c r="A100" s="42"/>
      <c r="B100" s="3" t="s">
        <v>44</v>
      </c>
      <c r="C100" s="131"/>
      <c r="D100" s="3"/>
      <c r="E100" s="3"/>
      <c r="F100" s="43"/>
      <c r="G100" s="155"/>
      <c r="H100" s="155"/>
      <c r="I100" s="157"/>
      <c r="J100" s="155"/>
      <c r="K100" s="155"/>
      <c r="L100" s="155"/>
      <c r="M100" s="155"/>
    </row>
    <row r="101" spans="1:13" s="76" customFormat="1" ht="58.5">
      <c r="A101" s="42"/>
      <c r="B101" s="44" t="s">
        <v>112</v>
      </c>
      <c r="C101" s="184" t="s">
        <v>308</v>
      </c>
      <c r="D101" s="3" t="s">
        <v>7</v>
      </c>
      <c r="E101" s="3">
        <v>1.01</v>
      </c>
      <c r="F101" s="43">
        <f>E101*F97</f>
        <v>611.04999999999995</v>
      </c>
      <c r="G101" s="155"/>
      <c r="H101" s="155">
        <f>F101*G101</f>
        <v>0</v>
      </c>
      <c r="I101" s="157"/>
      <c r="J101" s="155"/>
      <c r="K101" s="155"/>
      <c r="L101" s="155"/>
      <c r="M101" s="155">
        <f>H101+J101+L101</f>
        <v>0</v>
      </c>
    </row>
    <row r="102" spans="1:13" s="76" customFormat="1" ht="15.75">
      <c r="A102" s="42"/>
      <c r="B102" s="24" t="s">
        <v>6</v>
      </c>
      <c r="C102" s="131"/>
      <c r="D102" s="3" t="s">
        <v>0</v>
      </c>
      <c r="E102" s="3">
        <v>2.16E-3</v>
      </c>
      <c r="F102" s="45">
        <f>E102*F97</f>
        <v>1.3068</v>
      </c>
      <c r="G102" s="155"/>
      <c r="H102" s="155">
        <f>F102*G102</f>
        <v>0</v>
      </c>
      <c r="I102" s="157"/>
      <c r="J102" s="155"/>
      <c r="K102" s="155"/>
      <c r="L102" s="155"/>
      <c r="M102" s="155">
        <f>H102+J102+L102</f>
        <v>0</v>
      </c>
    </row>
    <row r="103" spans="1:13" s="76" customFormat="1" ht="39.75">
      <c r="A103" s="33">
        <v>4</v>
      </c>
      <c r="B103" s="34" t="s">
        <v>113</v>
      </c>
      <c r="C103" s="128" t="s">
        <v>77</v>
      </c>
      <c r="D103" s="35" t="s">
        <v>7</v>
      </c>
      <c r="E103" s="36"/>
      <c r="F103" s="37">
        <v>2551</v>
      </c>
      <c r="G103" s="152"/>
      <c r="H103" s="153"/>
      <c r="I103" s="152"/>
      <c r="J103" s="154"/>
      <c r="K103" s="152"/>
      <c r="L103" s="153"/>
      <c r="M103" s="154"/>
    </row>
    <row r="104" spans="1:13" s="76" customFormat="1" ht="15.75">
      <c r="A104" s="20"/>
      <c r="B104" s="24" t="s">
        <v>3</v>
      </c>
      <c r="C104" s="184"/>
      <c r="D104" s="25" t="s">
        <v>4</v>
      </c>
      <c r="E104" s="25">
        <v>0.11899999999999999</v>
      </c>
      <c r="F104" s="26">
        <f>F103*E104</f>
        <v>303.56899999999996</v>
      </c>
      <c r="G104" s="157"/>
      <c r="H104" s="157"/>
      <c r="I104" s="157"/>
      <c r="J104" s="157">
        <f>F104*I104</f>
        <v>0</v>
      </c>
      <c r="K104" s="157"/>
      <c r="L104" s="157"/>
      <c r="M104" s="157">
        <f>H104+J104+L104</f>
        <v>0</v>
      </c>
    </row>
    <row r="105" spans="1:13" s="76" customFormat="1" ht="15.75">
      <c r="A105" s="20"/>
      <c r="B105" s="24" t="s">
        <v>22</v>
      </c>
      <c r="C105" s="184"/>
      <c r="D105" s="3" t="s">
        <v>0</v>
      </c>
      <c r="E105" s="25">
        <v>6.7500000000000004E-2</v>
      </c>
      <c r="F105" s="27">
        <f>E105*F103</f>
        <v>172.19250000000002</v>
      </c>
      <c r="G105" s="157"/>
      <c r="H105" s="157"/>
      <c r="I105" s="157"/>
      <c r="J105" s="157"/>
      <c r="K105" s="157"/>
      <c r="L105" s="157">
        <f>F105*K105</f>
        <v>0</v>
      </c>
      <c r="M105" s="157">
        <f>H105+J105+L105</f>
        <v>0</v>
      </c>
    </row>
    <row r="106" spans="1:13" s="76" customFormat="1" ht="15.75">
      <c r="A106" s="42"/>
      <c r="B106" s="3" t="s">
        <v>44</v>
      </c>
      <c r="C106" s="131"/>
      <c r="D106" s="3"/>
      <c r="E106" s="3"/>
      <c r="F106" s="43"/>
      <c r="G106" s="155"/>
      <c r="H106" s="155"/>
      <c r="I106" s="157"/>
      <c r="J106" s="155"/>
      <c r="K106" s="155"/>
      <c r="L106" s="155"/>
      <c r="M106" s="155"/>
    </row>
    <row r="107" spans="1:13" s="76" customFormat="1" ht="58.5">
      <c r="A107" s="42"/>
      <c r="B107" s="44" t="s">
        <v>114</v>
      </c>
      <c r="C107" s="184" t="s">
        <v>308</v>
      </c>
      <c r="D107" s="3" t="s">
        <v>7</v>
      </c>
      <c r="E107" s="3">
        <v>1.01</v>
      </c>
      <c r="F107" s="43">
        <f>E107*F103</f>
        <v>2576.5100000000002</v>
      </c>
      <c r="G107" s="155"/>
      <c r="H107" s="155">
        <f>F107*G107</f>
        <v>0</v>
      </c>
      <c r="I107" s="157"/>
      <c r="J107" s="155"/>
      <c r="K107" s="155"/>
      <c r="L107" s="155"/>
      <c r="M107" s="155">
        <f>H107+J107+L107</f>
        <v>0</v>
      </c>
    </row>
    <row r="108" spans="1:13" s="76" customFormat="1" ht="15.75">
      <c r="A108" s="42"/>
      <c r="B108" s="24" t="s">
        <v>6</v>
      </c>
      <c r="C108" s="131"/>
      <c r="D108" s="3" t="s">
        <v>0</v>
      </c>
      <c r="E108" s="3">
        <v>2.16E-3</v>
      </c>
      <c r="F108" s="45">
        <f>E108*F103</f>
        <v>5.5101599999999999</v>
      </c>
      <c r="G108" s="155"/>
      <c r="H108" s="155">
        <f>F108*G108</f>
        <v>0</v>
      </c>
      <c r="I108" s="157"/>
      <c r="J108" s="155"/>
      <c r="K108" s="155"/>
      <c r="L108" s="155"/>
      <c r="M108" s="155">
        <f>H108+J108+L108</f>
        <v>0</v>
      </c>
    </row>
    <row r="109" spans="1:13" s="76" customFormat="1" ht="39.75">
      <c r="A109" s="33">
        <v>5</v>
      </c>
      <c r="B109" s="34" t="s">
        <v>115</v>
      </c>
      <c r="C109" s="128" t="s">
        <v>310</v>
      </c>
      <c r="D109" s="40" t="s">
        <v>7</v>
      </c>
      <c r="E109" s="100"/>
      <c r="F109" s="37">
        <v>1125</v>
      </c>
      <c r="G109" s="152"/>
      <c r="H109" s="153"/>
      <c r="I109" s="152"/>
      <c r="J109" s="154"/>
      <c r="K109" s="152"/>
      <c r="L109" s="153"/>
      <c r="M109" s="154"/>
    </row>
    <row r="110" spans="1:13" s="76" customFormat="1" ht="15.75">
      <c r="A110" s="20"/>
      <c r="B110" s="24" t="s">
        <v>3</v>
      </c>
      <c r="C110" s="184"/>
      <c r="D110" s="25" t="s">
        <v>4</v>
      </c>
      <c r="E110" s="25">
        <f>105*0.001</f>
        <v>0.105</v>
      </c>
      <c r="F110" s="26">
        <f>F109*E110</f>
        <v>118.125</v>
      </c>
      <c r="G110" s="157"/>
      <c r="H110" s="157"/>
      <c r="I110" s="157"/>
      <c r="J110" s="157">
        <f>F110*I110</f>
        <v>0</v>
      </c>
      <c r="K110" s="157"/>
      <c r="L110" s="157"/>
      <c r="M110" s="157">
        <f>H110+J110+L110</f>
        <v>0</v>
      </c>
    </row>
    <row r="111" spans="1:13" s="76" customFormat="1" ht="15.75">
      <c r="A111" s="20"/>
      <c r="B111" s="24" t="s">
        <v>22</v>
      </c>
      <c r="C111" s="184"/>
      <c r="D111" s="3" t="s">
        <v>0</v>
      </c>
      <c r="E111" s="25">
        <f>53.8*0.001</f>
        <v>5.3800000000000001E-2</v>
      </c>
      <c r="F111" s="27">
        <f>E111*F109</f>
        <v>60.524999999999999</v>
      </c>
      <c r="G111" s="157"/>
      <c r="H111" s="157"/>
      <c r="I111" s="157"/>
      <c r="J111" s="157"/>
      <c r="K111" s="157"/>
      <c r="L111" s="157">
        <f>F111*K111</f>
        <v>0</v>
      </c>
      <c r="M111" s="157">
        <f>L111*1</f>
        <v>0</v>
      </c>
    </row>
    <row r="112" spans="1:13" s="63" customFormat="1">
      <c r="A112" s="42"/>
      <c r="B112" s="3" t="s">
        <v>44</v>
      </c>
      <c r="C112" s="131"/>
      <c r="D112" s="3"/>
      <c r="E112" s="3"/>
      <c r="F112" s="43"/>
      <c r="G112" s="155"/>
      <c r="H112" s="155"/>
      <c r="I112" s="157"/>
      <c r="J112" s="155"/>
      <c r="K112" s="155"/>
      <c r="L112" s="155"/>
      <c r="M112" s="155"/>
    </row>
    <row r="113" spans="1:13" s="63" customFormat="1" ht="58.5">
      <c r="A113" s="42"/>
      <c r="B113" s="44" t="s">
        <v>116</v>
      </c>
      <c r="C113" s="184" t="s">
        <v>308</v>
      </c>
      <c r="D113" s="3" t="s">
        <v>7</v>
      </c>
      <c r="E113" s="3">
        <v>1.01</v>
      </c>
      <c r="F113" s="43">
        <f>E113*F109</f>
        <v>1136.25</v>
      </c>
      <c r="G113" s="155"/>
      <c r="H113" s="155">
        <f>F113*G113</f>
        <v>0</v>
      </c>
      <c r="I113" s="157"/>
      <c r="J113" s="155"/>
      <c r="K113" s="155"/>
      <c r="L113" s="155"/>
      <c r="M113" s="155">
        <f>H113+J113+L113</f>
        <v>0</v>
      </c>
    </row>
    <row r="114" spans="1:13" s="63" customFormat="1">
      <c r="A114" s="42"/>
      <c r="B114" s="24" t="s">
        <v>6</v>
      </c>
      <c r="C114" s="131"/>
      <c r="D114" s="3" t="s">
        <v>0</v>
      </c>
      <c r="E114" s="3">
        <f>1.2*0.001</f>
        <v>1.1999999999999999E-3</v>
      </c>
      <c r="F114" s="45">
        <f>E114*F109</f>
        <v>1.3499999999999999</v>
      </c>
      <c r="G114" s="155"/>
      <c r="H114" s="155">
        <f>F114*G114</f>
        <v>0</v>
      </c>
      <c r="I114" s="157"/>
      <c r="J114" s="155"/>
      <c r="K114" s="155"/>
      <c r="L114" s="155"/>
      <c r="M114" s="155">
        <f>H114+J114+L114</f>
        <v>0</v>
      </c>
    </row>
    <row r="115" spans="1:13" ht="39.75">
      <c r="A115" s="33">
        <v>6</v>
      </c>
      <c r="B115" s="34" t="s">
        <v>117</v>
      </c>
      <c r="C115" s="128" t="s">
        <v>311</v>
      </c>
      <c r="D115" s="40" t="s">
        <v>7</v>
      </c>
      <c r="E115" s="100"/>
      <c r="F115" s="37">
        <v>2188</v>
      </c>
      <c r="G115" s="152"/>
      <c r="H115" s="153"/>
      <c r="I115" s="152"/>
      <c r="J115" s="154"/>
      <c r="K115" s="152"/>
      <c r="L115" s="153"/>
      <c r="M115" s="154"/>
    </row>
    <row r="116" spans="1:13">
      <c r="A116" s="20"/>
      <c r="B116" s="24" t="s">
        <v>3</v>
      </c>
      <c r="C116" s="184"/>
      <c r="D116" s="25" t="s">
        <v>4</v>
      </c>
      <c r="E116" s="25">
        <v>9.5899999999999999E-2</v>
      </c>
      <c r="F116" s="26">
        <f>F115*E116</f>
        <v>209.82919999999999</v>
      </c>
      <c r="G116" s="157"/>
      <c r="H116" s="157"/>
      <c r="I116" s="157"/>
      <c r="J116" s="157">
        <f>F116*I116</f>
        <v>0</v>
      </c>
      <c r="K116" s="157"/>
      <c r="L116" s="157"/>
      <c r="M116" s="157">
        <f>H116+J116+L116</f>
        <v>0</v>
      </c>
    </row>
    <row r="117" spans="1:13">
      <c r="A117" s="20"/>
      <c r="B117" s="24" t="s">
        <v>22</v>
      </c>
      <c r="C117" s="184"/>
      <c r="D117" s="3" t="s">
        <v>0</v>
      </c>
      <c r="E117" s="25">
        <v>4.5199999999999997E-2</v>
      </c>
      <c r="F117" s="27">
        <f>E117*F115</f>
        <v>98.897599999999997</v>
      </c>
      <c r="G117" s="157"/>
      <c r="H117" s="157"/>
      <c r="I117" s="157"/>
      <c r="J117" s="157"/>
      <c r="K117" s="157"/>
      <c r="L117" s="157">
        <f>F117*K117</f>
        <v>0</v>
      </c>
      <c r="M117" s="157">
        <f>L117*1</f>
        <v>0</v>
      </c>
    </row>
    <row r="118" spans="1:13">
      <c r="A118" s="42"/>
      <c r="B118" s="3" t="s">
        <v>44</v>
      </c>
      <c r="C118" s="131"/>
      <c r="D118" s="3"/>
      <c r="E118" s="3"/>
      <c r="F118" s="43"/>
      <c r="G118" s="155"/>
      <c r="H118" s="155"/>
      <c r="I118" s="157"/>
      <c r="J118" s="155"/>
      <c r="K118" s="155"/>
      <c r="L118" s="155"/>
      <c r="M118" s="155"/>
    </row>
    <row r="119" spans="1:13" ht="58.5">
      <c r="A119" s="42"/>
      <c r="B119" s="44" t="s">
        <v>118</v>
      </c>
      <c r="C119" s="184" t="s">
        <v>308</v>
      </c>
      <c r="D119" s="3" t="s">
        <v>7</v>
      </c>
      <c r="E119" s="3">
        <v>1.01</v>
      </c>
      <c r="F119" s="43">
        <f>E119*F115</f>
        <v>2209.88</v>
      </c>
      <c r="G119" s="155"/>
      <c r="H119" s="155">
        <f>F119*G119</f>
        <v>0</v>
      </c>
      <c r="I119" s="157"/>
      <c r="J119" s="155"/>
      <c r="K119" s="155"/>
      <c r="L119" s="155"/>
      <c r="M119" s="155">
        <f>H119+J119+L119</f>
        <v>0</v>
      </c>
    </row>
    <row r="120" spans="1:13">
      <c r="A120" s="42"/>
      <c r="B120" s="24" t="s">
        <v>6</v>
      </c>
      <c r="C120" s="131"/>
      <c r="D120" s="3" t="s">
        <v>0</v>
      </c>
      <c r="E120" s="3">
        <v>5.9999999999999995E-4</v>
      </c>
      <c r="F120" s="45">
        <f>E120*F115</f>
        <v>1.3128</v>
      </c>
      <c r="G120" s="155"/>
      <c r="H120" s="155">
        <f>F120*G120</f>
        <v>0</v>
      </c>
      <c r="I120" s="157"/>
      <c r="J120" s="155"/>
      <c r="K120" s="155"/>
      <c r="L120" s="155"/>
      <c r="M120" s="155">
        <f>H120+J120+L120</f>
        <v>0</v>
      </c>
    </row>
    <row r="121" spans="1:13" ht="39.75">
      <c r="A121" s="33">
        <v>7</v>
      </c>
      <c r="B121" s="34" t="s">
        <v>119</v>
      </c>
      <c r="C121" s="128" t="s">
        <v>312</v>
      </c>
      <c r="D121" s="40" t="s">
        <v>7</v>
      </c>
      <c r="E121" s="100"/>
      <c r="F121" s="37">
        <v>1611</v>
      </c>
      <c r="G121" s="152"/>
      <c r="H121" s="153"/>
      <c r="I121" s="152"/>
      <c r="J121" s="154"/>
      <c r="K121" s="152"/>
      <c r="L121" s="153"/>
      <c r="M121" s="154"/>
    </row>
    <row r="122" spans="1:13">
      <c r="A122" s="20"/>
      <c r="B122" s="24" t="s">
        <v>3</v>
      </c>
      <c r="C122" s="184"/>
      <c r="D122" s="25" t="s">
        <v>4</v>
      </c>
      <c r="E122" s="25">
        <v>9.5899999999999999E-2</v>
      </c>
      <c r="F122" s="26">
        <f>F121*E122</f>
        <v>154.4949</v>
      </c>
      <c r="G122" s="157"/>
      <c r="H122" s="157"/>
      <c r="I122" s="157"/>
      <c r="J122" s="157">
        <f>F122*I122</f>
        <v>0</v>
      </c>
      <c r="K122" s="157"/>
      <c r="L122" s="157"/>
      <c r="M122" s="157">
        <f>H122+J122+L122</f>
        <v>0</v>
      </c>
    </row>
    <row r="123" spans="1:13">
      <c r="A123" s="20"/>
      <c r="B123" s="24" t="s">
        <v>22</v>
      </c>
      <c r="C123" s="184"/>
      <c r="D123" s="3" t="s">
        <v>0</v>
      </c>
      <c r="E123" s="25">
        <v>4.5199999999999997E-2</v>
      </c>
      <c r="F123" s="27">
        <f>E123*F121</f>
        <v>72.8172</v>
      </c>
      <c r="G123" s="157"/>
      <c r="H123" s="157"/>
      <c r="I123" s="157"/>
      <c r="J123" s="157"/>
      <c r="K123" s="157"/>
      <c r="L123" s="157">
        <f>F123*K123</f>
        <v>0</v>
      </c>
      <c r="M123" s="157">
        <f>L123*1</f>
        <v>0</v>
      </c>
    </row>
    <row r="124" spans="1:13">
      <c r="A124" s="42"/>
      <c r="B124" s="3" t="s">
        <v>44</v>
      </c>
      <c r="C124" s="131"/>
      <c r="D124" s="3"/>
      <c r="E124" s="3"/>
      <c r="F124" s="43"/>
      <c r="G124" s="155"/>
      <c r="H124" s="155"/>
      <c r="I124" s="157"/>
      <c r="J124" s="155"/>
      <c r="K124" s="155"/>
      <c r="L124" s="155"/>
      <c r="M124" s="155"/>
    </row>
    <row r="125" spans="1:13" ht="58.5">
      <c r="A125" s="42"/>
      <c r="B125" s="44" t="s">
        <v>120</v>
      </c>
      <c r="C125" s="184" t="s">
        <v>308</v>
      </c>
      <c r="D125" s="3" t="s">
        <v>7</v>
      </c>
      <c r="E125" s="3">
        <v>1.01</v>
      </c>
      <c r="F125" s="43">
        <f>E125*F121</f>
        <v>1627.1100000000001</v>
      </c>
      <c r="G125" s="155"/>
      <c r="H125" s="155">
        <f>F125*G125</f>
        <v>0</v>
      </c>
      <c r="I125" s="157"/>
      <c r="J125" s="155"/>
      <c r="K125" s="155"/>
      <c r="L125" s="155"/>
      <c r="M125" s="155">
        <f>H125+J125+L125</f>
        <v>0</v>
      </c>
    </row>
    <row r="126" spans="1:13">
      <c r="A126" s="42"/>
      <c r="B126" s="24" t="s">
        <v>6</v>
      </c>
      <c r="C126" s="131"/>
      <c r="D126" s="3" t="s">
        <v>0</v>
      </c>
      <c r="E126" s="3">
        <v>5.9999999999999995E-4</v>
      </c>
      <c r="F126" s="45">
        <f>E126*F121</f>
        <v>0.9665999999999999</v>
      </c>
      <c r="G126" s="155"/>
      <c r="H126" s="155">
        <f>F126*G126</f>
        <v>0</v>
      </c>
      <c r="I126" s="157"/>
      <c r="J126" s="155"/>
      <c r="K126" s="155"/>
      <c r="L126" s="155"/>
      <c r="M126" s="155">
        <f>H126+J126+L126</f>
        <v>0</v>
      </c>
    </row>
    <row r="127" spans="1:13" ht="39.75">
      <c r="A127" s="33">
        <v>8</v>
      </c>
      <c r="B127" s="34" t="s">
        <v>121</v>
      </c>
      <c r="C127" s="128" t="s">
        <v>312</v>
      </c>
      <c r="D127" s="40" t="s">
        <v>7</v>
      </c>
      <c r="E127" s="100"/>
      <c r="F127" s="37">
        <v>1210</v>
      </c>
      <c r="G127" s="152"/>
      <c r="H127" s="153"/>
      <c r="I127" s="152"/>
      <c r="J127" s="154"/>
      <c r="K127" s="152"/>
      <c r="L127" s="153"/>
      <c r="M127" s="154"/>
    </row>
    <row r="128" spans="1:13">
      <c r="A128" s="20"/>
      <c r="B128" s="24" t="s">
        <v>3</v>
      </c>
      <c r="C128" s="184"/>
      <c r="D128" s="25" t="s">
        <v>4</v>
      </c>
      <c r="E128" s="25">
        <v>9.5899999999999999E-2</v>
      </c>
      <c r="F128" s="26">
        <f>F127*E128</f>
        <v>116.039</v>
      </c>
      <c r="G128" s="157"/>
      <c r="H128" s="157"/>
      <c r="I128" s="157"/>
      <c r="J128" s="157">
        <f>F128*I128</f>
        <v>0</v>
      </c>
      <c r="K128" s="157"/>
      <c r="L128" s="157"/>
      <c r="M128" s="157">
        <f>H128+J128+L128</f>
        <v>0</v>
      </c>
    </row>
    <row r="129" spans="1:13">
      <c r="A129" s="20"/>
      <c r="B129" s="24" t="s">
        <v>22</v>
      </c>
      <c r="C129" s="184"/>
      <c r="D129" s="3" t="s">
        <v>0</v>
      </c>
      <c r="E129" s="25">
        <v>4.5199999999999997E-2</v>
      </c>
      <c r="F129" s="27">
        <f>E129*F127</f>
        <v>54.691999999999993</v>
      </c>
      <c r="G129" s="157"/>
      <c r="H129" s="157"/>
      <c r="I129" s="157"/>
      <c r="J129" s="157"/>
      <c r="K129" s="157"/>
      <c r="L129" s="157">
        <f>F129*K129</f>
        <v>0</v>
      </c>
      <c r="M129" s="155">
        <f>H129+J129+L129</f>
        <v>0</v>
      </c>
    </row>
    <row r="130" spans="1:13">
      <c r="A130" s="42"/>
      <c r="B130" s="3" t="s">
        <v>44</v>
      </c>
      <c r="C130" s="131"/>
      <c r="D130" s="3"/>
      <c r="E130" s="3"/>
      <c r="F130" s="43"/>
      <c r="G130" s="155"/>
      <c r="H130" s="155"/>
      <c r="I130" s="157"/>
      <c r="J130" s="155"/>
      <c r="K130" s="155"/>
      <c r="L130" s="155"/>
      <c r="M130" s="155"/>
    </row>
    <row r="131" spans="1:13" ht="58.5">
      <c r="A131" s="42"/>
      <c r="B131" s="44" t="s">
        <v>122</v>
      </c>
      <c r="C131" s="184" t="s">
        <v>308</v>
      </c>
      <c r="D131" s="3" t="s">
        <v>7</v>
      </c>
      <c r="E131" s="3">
        <v>1.01</v>
      </c>
      <c r="F131" s="43">
        <f>E131*F127</f>
        <v>1222.0999999999999</v>
      </c>
      <c r="G131" s="155"/>
      <c r="H131" s="155">
        <f>F131*G131</f>
        <v>0</v>
      </c>
      <c r="I131" s="157"/>
      <c r="J131" s="155"/>
      <c r="K131" s="155"/>
      <c r="L131" s="155"/>
      <c r="M131" s="155">
        <f>H131+J131+L131</f>
        <v>0</v>
      </c>
    </row>
    <row r="132" spans="1:13">
      <c r="A132" s="42"/>
      <c r="B132" s="24" t="s">
        <v>6</v>
      </c>
      <c r="C132" s="131"/>
      <c r="D132" s="3" t="s">
        <v>0</v>
      </c>
      <c r="E132" s="3">
        <v>5.9999999999999995E-4</v>
      </c>
      <c r="F132" s="45">
        <f>E132*F127</f>
        <v>0.72599999999999998</v>
      </c>
      <c r="G132" s="155"/>
      <c r="H132" s="155">
        <f>F132*G132</f>
        <v>0</v>
      </c>
      <c r="I132" s="157"/>
      <c r="J132" s="155"/>
      <c r="K132" s="155"/>
      <c r="L132" s="155"/>
      <c r="M132" s="155">
        <f>H132+J132+L132</f>
        <v>0</v>
      </c>
    </row>
    <row r="133" spans="1:13" ht="39.75">
      <c r="A133" s="33">
        <v>9</v>
      </c>
      <c r="B133" s="34" t="s">
        <v>258</v>
      </c>
      <c r="C133" s="128" t="s">
        <v>312</v>
      </c>
      <c r="D133" s="40" t="s">
        <v>7</v>
      </c>
      <c r="E133" s="100"/>
      <c r="F133" s="37">
        <v>760</v>
      </c>
      <c r="G133" s="152"/>
      <c r="H133" s="153"/>
      <c r="I133" s="152"/>
      <c r="J133" s="154"/>
      <c r="K133" s="152"/>
      <c r="L133" s="153"/>
      <c r="M133" s="154"/>
    </row>
    <row r="134" spans="1:13">
      <c r="A134" s="20"/>
      <c r="B134" s="24" t="s">
        <v>3</v>
      </c>
      <c r="C134" s="184"/>
      <c r="D134" s="25" t="s">
        <v>4</v>
      </c>
      <c r="E134" s="25">
        <v>9.5899999999999999E-2</v>
      </c>
      <c r="F134" s="26">
        <f>F133*E134</f>
        <v>72.884</v>
      </c>
      <c r="G134" s="157"/>
      <c r="H134" s="157"/>
      <c r="I134" s="157"/>
      <c r="J134" s="157">
        <f>F134*I134</f>
        <v>0</v>
      </c>
      <c r="K134" s="157"/>
      <c r="L134" s="157"/>
      <c r="M134" s="157">
        <f>H134+J134+L134</f>
        <v>0</v>
      </c>
    </row>
    <row r="135" spans="1:13">
      <c r="A135" s="20"/>
      <c r="B135" s="24" t="s">
        <v>22</v>
      </c>
      <c r="C135" s="184"/>
      <c r="D135" s="3" t="s">
        <v>0</v>
      </c>
      <c r="E135" s="25">
        <v>4.5199999999999997E-2</v>
      </c>
      <c r="F135" s="27">
        <f>E135*F133</f>
        <v>34.351999999999997</v>
      </c>
      <c r="G135" s="157"/>
      <c r="H135" s="157"/>
      <c r="I135" s="157"/>
      <c r="J135" s="157"/>
      <c r="K135" s="157"/>
      <c r="L135" s="157">
        <f>F135*K135</f>
        <v>0</v>
      </c>
      <c r="M135" s="155">
        <f>H135+J135+L135</f>
        <v>0</v>
      </c>
    </row>
    <row r="136" spans="1:13">
      <c r="A136" s="42"/>
      <c r="B136" s="3" t="s">
        <v>44</v>
      </c>
      <c r="C136" s="131"/>
      <c r="D136" s="3"/>
      <c r="E136" s="3"/>
      <c r="F136" s="43"/>
      <c r="G136" s="155"/>
      <c r="H136" s="155"/>
      <c r="I136" s="157"/>
      <c r="J136" s="155"/>
      <c r="K136" s="155"/>
      <c r="L136" s="155"/>
      <c r="M136" s="155"/>
    </row>
    <row r="137" spans="1:13" ht="58.5">
      <c r="A137" s="42"/>
      <c r="B137" s="44" t="s">
        <v>257</v>
      </c>
      <c r="C137" s="184" t="s">
        <v>308</v>
      </c>
      <c r="D137" s="3" t="s">
        <v>7</v>
      </c>
      <c r="E137" s="3">
        <v>1.01</v>
      </c>
      <c r="F137" s="43">
        <f>E137*F133</f>
        <v>767.6</v>
      </c>
      <c r="G137" s="155"/>
      <c r="H137" s="155">
        <f>F137*G137</f>
        <v>0</v>
      </c>
      <c r="I137" s="157"/>
      <c r="J137" s="155"/>
      <c r="K137" s="155"/>
      <c r="L137" s="155"/>
      <c r="M137" s="155">
        <f>H137+J137+L137</f>
        <v>0</v>
      </c>
    </row>
    <row r="138" spans="1:13">
      <c r="A138" s="42"/>
      <c r="B138" s="24" t="s">
        <v>6</v>
      </c>
      <c r="C138" s="131"/>
      <c r="D138" s="3" t="s">
        <v>0</v>
      </c>
      <c r="E138" s="3">
        <v>5.9999999999999995E-4</v>
      </c>
      <c r="F138" s="45">
        <f>E138*F133</f>
        <v>0.45599999999999996</v>
      </c>
      <c r="G138" s="155"/>
      <c r="H138" s="155">
        <f>F138*G138</f>
        <v>0</v>
      </c>
      <c r="I138" s="157"/>
      <c r="J138" s="155"/>
      <c r="K138" s="155"/>
      <c r="L138" s="155"/>
      <c r="M138" s="155">
        <f>H138+J138+L138</f>
        <v>0</v>
      </c>
    </row>
    <row r="139" spans="1:13" ht="39.75">
      <c r="A139" s="33">
        <v>10</v>
      </c>
      <c r="B139" s="34" t="s">
        <v>260</v>
      </c>
      <c r="C139" s="128" t="s">
        <v>312</v>
      </c>
      <c r="D139" s="40" t="s">
        <v>7</v>
      </c>
      <c r="E139" s="100"/>
      <c r="F139" s="37">
        <v>3200</v>
      </c>
      <c r="G139" s="152"/>
      <c r="H139" s="153"/>
      <c r="I139" s="152"/>
      <c r="J139" s="154"/>
      <c r="K139" s="152"/>
      <c r="L139" s="153"/>
      <c r="M139" s="154"/>
    </row>
    <row r="140" spans="1:13">
      <c r="A140" s="20"/>
      <c r="B140" s="24" t="s">
        <v>3</v>
      </c>
      <c r="C140" s="184"/>
      <c r="D140" s="25" t="s">
        <v>4</v>
      </c>
      <c r="E140" s="25">
        <v>9.5899999999999999E-2</v>
      </c>
      <c r="F140" s="26">
        <f>F139*E140</f>
        <v>306.88</v>
      </c>
      <c r="G140" s="157"/>
      <c r="H140" s="157"/>
      <c r="I140" s="157"/>
      <c r="J140" s="157">
        <f>F140*I140</f>
        <v>0</v>
      </c>
      <c r="K140" s="157"/>
      <c r="L140" s="157"/>
      <c r="M140" s="157">
        <f>H140+J140+L140</f>
        <v>0</v>
      </c>
    </row>
    <row r="141" spans="1:13">
      <c r="A141" s="20"/>
      <c r="B141" s="24" t="s">
        <v>22</v>
      </c>
      <c r="C141" s="184"/>
      <c r="D141" s="3" t="s">
        <v>0</v>
      </c>
      <c r="E141" s="25">
        <v>4.5199999999999997E-2</v>
      </c>
      <c r="F141" s="27">
        <f>E141*F139</f>
        <v>144.63999999999999</v>
      </c>
      <c r="G141" s="157"/>
      <c r="H141" s="157"/>
      <c r="I141" s="157"/>
      <c r="J141" s="157"/>
      <c r="K141" s="157"/>
      <c r="L141" s="157">
        <f>F141*K141</f>
        <v>0</v>
      </c>
      <c r="M141" s="155">
        <f>H141+J141+L141</f>
        <v>0</v>
      </c>
    </row>
    <row r="142" spans="1:13">
      <c r="A142" s="42"/>
      <c r="B142" s="3" t="s">
        <v>44</v>
      </c>
      <c r="C142" s="131"/>
      <c r="D142" s="3"/>
      <c r="E142" s="3"/>
      <c r="F142" s="43"/>
      <c r="G142" s="155"/>
      <c r="H142" s="155"/>
      <c r="I142" s="157"/>
      <c r="J142" s="155"/>
      <c r="K142" s="155"/>
      <c r="L142" s="155"/>
      <c r="M142" s="155"/>
    </row>
    <row r="143" spans="1:13" ht="58.5">
      <c r="A143" s="42"/>
      <c r="B143" s="44" t="s">
        <v>259</v>
      </c>
      <c r="C143" s="184" t="s">
        <v>308</v>
      </c>
      <c r="D143" s="3" t="s">
        <v>7</v>
      </c>
      <c r="E143" s="3">
        <v>1.01</v>
      </c>
      <c r="F143" s="43">
        <f>E143*F139</f>
        <v>3232</v>
      </c>
      <c r="G143" s="155"/>
      <c r="H143" s="155">
        <f>F143*G143</f>
        <v>0</v>
      </c>
      <c r="I143" s="157"/>
      <c r="J143" s="155"/>
      <c r="K143" s="155"/>
      <c r="L143" s="155"/>
      <c r="M143" s="155">
        <f>H143+J143+L143</f>
        <v>0</v>
      </c>
    </row>
    <row r="144" spans="1:13">
      <c r="A144" s="42"/>
      <c r="B144" s="24" t="s">
        <v>6</v>
      </c>
      <c r="C144" s="131"/>
      <c r="D144" s="3" t="s">
        <v>0</v>
      </c>
      <c r="E144" s="3">
        <v>5.9999999999999995E-4</v>
      </c>
      <c r="F144" s="45">
        <f>E144*F139</f>
        <v>1.92</v>
      </c>
      <c r="G144" s="155"/>
      <c r="H144" s="155">
        <f>F144*G144</f>
        <v>0</v>
      </c>
      <c r="I144" s="157"/>
      <c r="J144" s="155"/>
      <c r="K144" s="155"/>
      <c r="L144" s="155"/>
      <c r="M144" s="155">
        <f>H144+J144+L144</f>
        <v>0</v>
      </c>
    </row>
    <row r="145" spans="1:13">
      <c r="A145" s="112">
        <v>11</v>
      </c>
      <c r="B145" s="21" t="s">
        <v>240</v>
      </c>
      <c r="C145" s="135" t="s">
        <v>241</v>
      </c>
      <c r="D145" s="20" t="s">
        <v>98</v>
      </c>
      <c r="E145" s="20"/>
      <c r="F145" s="93">
        <v>6</v>
      </c>
      <c r="G145" s="152"/>
      <c r="H145" s="160"/>
      <c r="I145" s="160"/>
      <c r="J145" s="160"/>
      <c r="K145" s="160"/>
      <c r="L145" s="160"/>
      <c r="M145" s="160"/>
    </row>
    <row r="146" spans="1:13">
      <c r="A146" s="7"/>
      <c r="B146" s="98" t="s">
        <v>45</v>
      </c>
      <c r="C146" s="132"/>
      <c r="D146" s="7" t="s">
        <v>4</v>
      </c>
      <c r="E146" s="3">
        <v>1.78</v>
      </c>
      <c r="F146" s="97">
        <f>F145*E146</f>
        <v>10.68</v>
      </c>
      <c r="G146" s="161"/>
      <c r="H146" s="162"/>
      <c r="I146" s="163"/>
      <c r="J146" s="163">
        <f>F146*I146</f>
        <v>0</v>
      </c>
      <c r="K146" s="163"/>
      <c r="L146" s="163"/>
      <c r="M146" s="163">
        <f>H146+J146+L146</f>
        <v>0</v>
      </c>
    </row>
    <row r="147" spans="1:13">
      <c r="A147" s="7"/>
      <c r="B147" s="98" t="s">
        <v>47</v>
      </c>
      <c r="C147" s="136"/>
      <c r="D147" s="7" t="s">
        <v>0</v>
      </c>
      <c r="E147" s="3">
        <v>0.12</v>
      </c>
      <c r="F147" s="97">
        <f>F145*E147</f>
        <v>0.72</v>
      </c>
      <c r="G147" s="163"/>
      <c r="H147" s="163"/>
      <c r="I147" s="163"/>
      <c r="J147" s="163"/>
      <c r="K147" s="163"/>
      <c r="L147" s="163">
        <f>F147*K147</f>
        <v>0</v>
      </c>
      <c r="M147" s="163">
        <f>H147+J147+L147</f>
        <v>0</v>
      </c>
    </row>
    <row r="148" spans="1:13">
      <c r="A148" s="7"/>
      <c r="B148" s="3" t="s">
        <v>44</v>
      </c>
      <c r="C148" s="136"/>
      <c r="D148" s="7"/>
      <c r="E148" s="3"/>
      <c r="F148" s="7"/>
      <c r="G148" s="163"/>
      <c r="H148" s="163"/>
      <c r="I148" s="163"/>
      <c r="J148" s="163"/>
      <c r="K148" s="163"/>
      <c r="L148" s="163"/>
      <c r="M148" s="163"/>
    </row>
    <row r="149" spans="1:13" ht="31.5" customHeight="1">
      <c r="A149" s="7"/>
      <c r="B149" s="24" t="s">
        <v>261</v>
      </c>
      <c r="C149" s="140" t="s">
        <v>313</v>
      </c>
      <c r="D149" s="7" t="s">
        <v>98</v>
      </c>
      <c r="E149" s="3">
        <v>1</v>
      </c>
      <c r="F149" s="7">
        <f>F145*E149</f>
        <v>6</v>
      </c>
      <c r="G149" s="155"/>
      <c r="H149" s="155">
        <f>F149*G149</f>
        <v>0</v>
      </c>
      <c r="I149" s="155"/>
      <c r="J149" s="155"/>
      <c r="K149" s="155"/>
      <c r="L149" s="155"/>
      <c r="M149" s="155">
        <f>H149+J149+L149</f>
        <v>0</v>
      </c>
    </row>
    <row r="150" spans="1:13">
      <c r="A150" s="7"/>
      <c r="B150" s="98" t="s">
        <v>6</v>
      </c>
      <c r="C150" s="136"/>
      <c r="D150" s="7" t="s">
        <v>0</v>
      </c>
      <c r="E150" s="3">
        <v>1.1299999999999999</v>
      </c>
      <c r="F150" s="7">
        <f>F145*E150</f>
        <v>6.7799999999999994</v>
      </c>
      <c r="G150" s="163"/>
      <c r="H150" s="163">
        <f>F150*G150</f>
        <v>0</v>
      </c>
      <c r="I150" s="163"/>
      <c r="J150" s="163"/>
      <c r="K150" s="163"/>
      <c r="L150" s="163"/>
      <c r="M150" s="163">
        <f>H150+J150+L150</f>
        <v>0</v>
      </c>
    </row>
    <row r="151" spans="1:13" ht="27">
      <c r="A151" s="20">
        <v>12</v>
      </c>
      <c r="B151" s="21" t="s">
        <v>78</v>
      </c>
      <c r="C151" s="132" t="s">
        <v>144</v>
      </c>
      <c r="D151" s="22" t="s">
        <v>8</v>
      </c>
      <c r="E151" s="22"/>
      <c r="F151" s="46">
        <f>SUM(F155:F172)</f>
        <v>38</v>
      </c>
      <c r="G151" s="152"/>
      <c r="H151" s="152"/>
      <c r="I151" s="152"/>
      <c r="J151" s="152"/>
      <c r="K151" s="152"/>
      <c r="L151" s="152"/>
      <c r="M151" s="152"/>
    </row>
    <row r="152" spans="1:13">
      <c r="A152" s="20"/>
      <c r="B152" s="24" t="s">
        <v>3</v>
      </c>
      <c r="C152" s="184"/>
      <c r="D152" s="25" t="s">
        <v>4</v>
      </c>
      <c r="E152" s="25">
        <v>0.58399999999999996</v>
      </c>
      <c r="F152" s="26">
        <f>F151*E152</f>
        <v>22.192</v>
      </c>
      <c r="G152" s="157"/>
      <c r="H152" s="157"/>
      <c r="I152" s="157"/>
      <c r="J152" s="157">
        <f>F152*I152</f>
        <v>0</v>
      </c>
      <c r="K152" s="157"/>
      <c r="L152" s="157"/>
      <c r="M152" s="157">
        <f>H152+J152+L152</f>
        <v>0</v>
      </c>
    </row>
    <row r="153" spans="1:13">
      <c r="A153" s="20"/>
      <c r="B153" s="24" t="s">
        <v>22</v>
      </c>
      <c r="C153" s="184"/>
      <c r="D153" s="3" t="s">
        <v>0</v>
      </c>
      <c r="E153" s="25">
        <v>0.22700000000000001</v>
      </c>
      <c r="F153" s="27">
        <f>E153*F151</f>
        <v>8.6259999999999994</v>
      </c>
      <c r="G153" s="157"/>
      <c r="H153" s="157"/>
      <c r="I153" s="157"/>
      <c r="J153" s="157"/>
      <c r="K153" s="157"/>
      <c r="L153" s="157">
        <f>F153*K153</f>
        <v>0</v>
      </c>
      <c r="M153" s="157">
        <f>L153*1</f>
        <v>0</v>
      </c>
    </row>
    <row r="154" spans="1:13">
      <c r="A154" s="42"/>
      <c r="B154" s="3" t="s">
        <v>44</v>
      </c>
      <c r="C154" s="131"/>
      <c r="D154" s="3"/>
      <c r="E154" s="3"/>
      <c r="F154" s="43"/>
      <c r="G154" s="155"/>
      <c r="H154" s="155"/>
      <c r="I154" s="157"/>
      <c r="J154" s="155"/>
      <c r="K154" s="155"/>
      <c r="L154" s="155"/>
      <c r="M154" s="155"/>
    </row>
    <row r="155" spans="1:13" ht="29.25">
      <c r="A155" s="42"/>
      <c r="B155" s="48" t="s">
        <v>198</v>
      </c>
      <c r="C155" s="140" t="s">
        <v>370</v>
      </c>
      <c r="D155" s="3" t="s">
        <v>8</v>
      </c>
      <c r="E155" s="3"/>
      <c r="F155" s="43">
        <v>2</v>
      </c>
      <c r="G155" s="157"/>
      <c r="H155" s="155">
        <f t="shared" ref="H155:H170" si="3">F155*G155</f>
        <v>0</v>
      </c>
      <c r="I155" s="157"/>
      <c r="J155" s="155"/>
      <c r="K155" s="155"/>
      <c r="L155" s="155"/>
      <c r="M155" s="155">
        <f t="shared" ref="M155:M170" si="4">H155+J155+L155</f>
        <v>0</v>
      </c>
    </row>
    <row r="156" spans="1:13" ht="29.25">
      <c r="A156" s="42"/>
      <c r="B156" s="48" t="s">
        <v>199</v>
      </c>
      <c r="C156" s="140" t="s">
        <v>370</v>
      </c>
      <c r="D156" s="3" t="s">
        <v>8</v>
      </c>
      <c r="E156" s="3"/>
      <c r="F156" s="43">
        <v>1</v>
      </c>
      <c r="G156" s="157"/>
      <c r="H156" s="155">
        <f>F156*G156</f>
        <v>0</v>
      </c>
      <c r="I156" s="157"/>
      <c r="J156" s="155"/>
      <c r="K156" s="155"/>
      <c r="L156" s="155"/>
      <c r="M156" s="155">
        <f>H156+J156+L156</f>
        <v>0</v>
      </c>
    </row>
    <row r="157" spans="1:13" ht="29.25">
      <c r="A157" s="42"/>
      <c r="B157" s="48" t="s">
        <v>123</v>
      </c>
      <c r="C157" s="140" t="s">
        <v>370</v>
      </c>
      <c r="D157" s="3" t="s">
        <v>8</v>
      </c>
      <c r="E157" s="3"/>
      <c r="F157" s="43">
        <v>2</v>
      </c>
      <c r="G157" s="157"/>
      <c r="H157" s="155">
        <f t="shared" si="3"/>
        <v>0</v>
      </c>
      <c r="I157" s="157"/>
      <c r="J157" s="155"/>
      <c r="K157" s="155"/>
      <c r="L157" s="155"/>
      <c r="M157" s="155">
        <f t="shared" si="4"/>
        <v>0</v>
      </c>
    </row>
    <row r="158" spans="1:13" ht="29.25">
      <c r="A158" s="42"/>
      <c r="B158" s="48" t="s">
        <v>124</v>
      </c>
      <c r="C158" s="140" t="s">
        <v>370</v>
      </c>
      <c r="D158" s="3" t="s">
        <v>8</v>
      </c>
      <c r="E158" s="3"/>
      <c r="F158" s="43">
        <v>2</v>
      </c>
      <c r="G158" s="157"/>
      <c r="H158" s="155">
        <f>F158*G158</f>
        <v>0</v>
      </c>
      <c r="I158" s="157"/>
      <c r="J158" s="155"/>
      <c r="K158" s="155"/>
      <c r="L158" s="155"/>
      <c r="M158" s="155">
        <f>H158+J158+L158</f>
        <v>0</v>
      </c>
    </row>
    <row r="159" spans="1:13" ht="29.25">
      <c r="A159" s="42"/>
      <c r="B159" s="48" t="s">
        <v>127</v>
      </c>
      <c r="C159" s="140" t="s">
        <v>370</v>
      </c>
      <c r="D159" s="3" t="s">
        <v>8</v>
      </c>
      <c r="E159" s="3"/>
      <c r="F159" s="43">
        <v>1</v>
      </c>
      <c r="G159" s="157"/>
      <c r="H159" s="155">
        <f t="shared" si="3"/>
        <v>0</v>
      </c>
      <c r="I159" s="157"/>
      <c r="J159" s="155"/>
      <c r="K159" s="155"/>
      <c r="L159" s="155"/>
      <c r="M159" s="155">
        <f t="shared" si="4"/>
        <v>0</v>
      </c>
    </row>
    <row r="160" spans="1:13" ht="29.25">
      <c r="A160" s="42"/>
      <c r="B160" s="48" t="s">
        <v>125</v>
      </c>
      <c r="C160" s="140" t="s">
        <v>370</v>
      </c>
      <c r="D160" s="3" t="s">
        <v>8</v>
      </c>
      <c r="E160" s="3"/>
      <c r="F160" s="43">
        <v>1</v>
      </c>
      <c r="G160" s="157"/>
      <c r="H160" s="155">
        <f t="shared" si="3"/>
        <v>0</v>
      </c>
      <c r="I160" s="157"/>
      <c r="J160" s="155"/>
      <c r="K160" s="155"/>
      <c r="L160" s="155"/>
      <c r="M160" s="155">
        <f t="shared" si="4"/>
        <v>0</v>
      </c>
    </row>
    <row r="161" spans="1:13" ht="29.25">
      <c r="A161" s="42"/>
      <c r="B161" s="48" t="s">
        <v>126</v>
      </c>
      <c r="C161" s="140" t="s">
        <v>370</v>
      </c>
      <c r="D161" s="3" t="s">
        <v>8</v>
      </c>
      <c r="E161" s="3"/>
      <c r="F161" s="43">
        <v>3</v>
      </c>
      <c r="G161" s="157"/>
      <c r="H161" s="155">
        <f t="shared" si="3"/>
        <v>0</v>
      </c>
      <c r="I161" s="157"/>
      <c r="J161" s="155"/>
      <c r="K161" s="155"/>
      <c r="L161" s="155"/>
      <c r="M161" s="155">
        <f t="shared" si="4"/>
        <v>0</v>
      </c>
    </row>
    <row r="162" spans="1:13" ht="29.25">
      <c r="A162" s="42"/>
      <c r="B162" s="48" t="s">
        <v>128</v>
      </c>
      <c r="C162" s="140" t="s">
        <v>370</v>
      </c>
      <c r="D162" s="3" t="s">
        <v>8</v>
      </c>
      <c r="E162" s="3"/>
      <c r="F162" s="43">
        <v>1</v>
      </c>
      <c r="G162" s="157"/>
      <c r="H162" s="155">
        <f t="shared" si="3"/>
        <v>0</v>
      </c>
      <c r="I162" s="157"/>
      <c r="J162" s="155"/>
      <c r="K162" s="155"/>
      <c r="L162" s="155"/>
      <c r="M162" s="155">
        <f t="shared" si="4"/>
        <v>0</v>
      </c>
    </row>
    <row r="163" spans="1:13" ht="29.25">
      <c r="A163" s="42"/>
      <c r="B163" s="48" t="s">
        <v>196</v>
      </c>
      <c r="C163" s="140" t="s">
        <v>370</v>
      </c>
      <c r="D163" s="3" t="s">
        <v>8</v>
      </c>
      <c r="E163" s="3"/>
      <c r="F163" s="43">
        <v>1</v>
      </c>
      <c r="G163" s="157"/>
      <c r="H163" s="155">
        <f>F163*G163</f>
        <v>0</v>
      </c>
      <c r="I163" s="157"/>
      <c r="J163" s="155"/>
      <c r="K163" s="155"/>
      <c r="L163" s="155"/>
      <c r="M163" s="155">
        <f>H163+J163+L163</f>
        <v>0</v>
      </c>
    </row>
    <row r="164" spans="1:13" ht="29.25">
      <c r="A164" s="42"/>
      <c r="B164" s="48" t="s">
        <v>195</v>
      </c>
      <c r="C164" s="140" t="s">
        <v>370</v>
      </c>
      <c r="D164" s="3" t="s">
        <v>8</v>
      </c>
      <c r="E164" s="3"/>
      <c r="F164" s="43">
        <v>5</v>
      </c>
      <c r="G164" s="157"/>
      <c r="H164" s="155">
        <f>F164*G164</f>
        <v>0</v>
      </c>
      <c r="I164" s="157"/>
      <c r="J164" s="155"/>
      <c r="K164" s="155"/>
      <c r="L164" s="155"/>
      <c r="M164" s="155">
        <f>H164+J164+L164</f>
        <v>0</v>
      </c>
    </row>
    <row r="165" spans="1:13" ht="29.25">
      <c r="A165" s="42"/>
      <c r="B165" s="48" t="s">
        <v>129</v>
      </c>
      <c r="C165" s="140" t="s">
        <v>370</v>
      </c>
      <c r="D165" s="3" t="s">
        <v>8</v>
      </c>
      <c r="E165" s="3"/>
      <c r="F165" s="43">
        <v>5</v>
      </c>
      <c r="G165" s="157"/>
      <c r="H165" s="155">
        <f>F165*G165</f>
        <v>0</v>
      </c>
      <c r="I165" s="157"/>
      <c r="J165" s="155"/>
      <c r="K165" s="155"/>
      <c r="L165" s="155"/>
      <c r="M165" s="155">
        <f>H165+J165+L165</f>
        <v>0</v>
      </c>
    </row>
    <row r="166" spans="1:13" ht="29.25">
      <c r="A166" s="42"/>
      <c r="B166" s="48" t="s">
        <v>130</v>
      </c>
      <c r="C166" s="140" t="s">
        <v>370</v>
      </c>
      <c r="D166" s="3" t="s">
        <v>8</v>
      </c>
      <c r="E166" s="3"/>
      <c r="F166" s="43">
        <v>3</v>
      </c>
      <c r="G166" s="157"/>
      <c r="H166" s="155">
        <f>F166*G166</f>
        <v>0</v>
      </c>
      <c r="I166" s="157"/>
      <c r="J166" s="155"/>
      <c r="K166" s="155"/>
      <c r="L166" s="155"/>
      <c r="M166" s="155">
        <f>H166+J166+L166</f>
        <v>0</v>
      </c>
    </row>
    <row r="167" spans="1:13" ht="29.25">
      <c r="A167" s="42"/>
      <c r="B167" s="48" t="s">
        <v>131</v>
      </c>
      <c r="C167" s="140" t="s">
        <v>370</v>
      </c>
      <c r="D167" s="3" t="s">
        <v>8</v>
      </c>
      <c r="E167" s="3"/>
      <c r="F167" s="43">
        <v>2</v>
      </c>
      <c r="G167" s="157"/>
      <c r="H167" s="155">
        <f t="shared" si="3"/>
        <v>0</v>
      </c>
      <c r="I167" s="157"/>
      <c r="J167" s="155"/>
      <c r="K167" s="155"/>
      <c r="L167" s="155"/>
      <c r="M167" s="155">
        <f t="shared" si="4"/>
        <v>0</v>
      </c>
    </row>
    <row r="168" spans="1:13" ht="29.25">
      <c r="A168" s="42"/>
      <c r="B168" s="48" t="s">
        <v>132</v>
      </c>
      <c r="C168" s="140" t="s">
        <v>370</v>
      </c>
      <c r="D168" s="3" t="s">
        <v>8</v>
      </c>
      <c r="E168" s="3"/>
      <c r="F168" s="43">
        <v>1</v>
      </c>
      <c r="G168" s="157"/>
      <c r="H168" s="155">
        <f t="shared" si="3"/>
        <v>0</v>
      </c>
      <c r="I168" s="157"/>
      <c r="J168" s="155"/>
      <c r="K168" s="155"/>
      <c r="L168" s="155"/>
      <c r="M168" s="155">
        <f t="shared" si="4"/>
        <v>0</v>
      </c>
    </row>
    <row r="169" spans="1:13" ht="29.25">
      <c r="A169" s="42"/>
      <c r="B169" s="48" t="s">
        <v>200</v>
      </c>
      <c r="C169" s="140" t="s">
        <v>370</v>
      </c>
      <c r="D169" s="3" t="s">
        <v>8</v>
      </c>
      <c r="E169" s="3"/>
      <c r="F169" s="43">
        <v>2</v>
      </c>
      <c r="G169" s="157"/>
      <c r="H169" s="155">
        <f t="shared" si="3"/>
        <v>0</v>
      </c>
      <c r="I169" s="157"/>
      <c r="J169" s="155"/>
      <c r="K169" s="155"/>
      <c r="L169" s="155"/>
      <c r="M169" s="155">
        <f t="shared" si="4"/>
        <v>0</v>
      </c>
    </row>
    <row r="170" spans="1:13" ht="29.25">
      <c r="A170" s="42"/>
      <c r="B170" s="48" t="s">
        <v>194</v>
      </c>
      <c r="C170" s="140" t="s">
        <v>370</v>
      </c>
      <c r="D170" s="3" t="s">
        <v>8</v>
      </c>
      <c r="E170" s="3"/>
      <c r="F170" s="43">
        <v>2</v>
      </c>
      <c r="G170" s="157"/>
      <c r="H170" s="155">
        <f t="shared" si="3"/>
        <v>0</v>
      </c>
      <c r="I170" s="157"/>
      <c r="J170" s="155"/>
      <c r="K170" s="155"/>
      <c r="L170" s="155"/>
      <c r="M170" s="155">
        <f t="shared" si="4"/>
        <v>0</v>
      </c>
    </row>
    <row r="171" spans="1:13" ht="29.25">
      <c r="A171" s="42"/>
      <c r="B171" s="48" t="s">
        <v>133</v>
      </c>
      <c r="C171" s="140" t="s">
        <v>370</v>
      </c>
      <c r="D171" s="3" t="s">
        <v>8</v>
      </c>
      <c r="E171" s="3"/>
      <c r="F171" s="43">
        <v>2</v>
      </c>
      <c r="G171" s="157"/>
      <c r="H171" s="155">
        <f>F171*G171</f>
        <v>0</v>
      </c>
      <c r="I171" s="157"/>
      <c r="J171" s="155"/>
      <c r="K171" s="155"/>
      <c r="L171" s="155"/>
      <c r="M171" s="155">
        <f>H171+J171+L171</f>
        <v>0</v>
      </c>
    </row>
    <row r="172" spans="1:13" ht="29.25">
      <c r="A172" s="42"/>
      <c r="B172" s="48" t="s">
        <v>201</v>
      </c>
      <c r="C172" s="140" t="s">
        <v>370</v>
      </c>
      <c r="D172" s="3" t="s">
        <v>8</v>
      </c>
      <c r="E172" s="3"/>
      <c r="F172" s="43">
        <v>2</v>
      </c>
      <c r="G172" s="157"/>
      <c r="H172" s="155">
        <f>F172*G172</f>
        <v>0</v>
      </c>
      <c r="I172" s="157"/>
      <c r="J172" s="155"/>
      <c r="K172" s="155"/>
      <c r="L172" s="155"/>
      <c r="M172" s="155">
        <f>H172+J172+L172</f>
        <v>0</v>
      </c>
    </row>
    <row r="173" spans="1:13">
      <c r="A173" s="42"/>
      <c r="B173" s="24" t="s">
        <v>6</v>
      </c>
      <c r="C173" s="131"/>
      <c r="D173" s="3" t="s">
        <v>0</v>
      </c>
      <c r="E173" s="3">
        <v>2.4E-2</v>
      </c>
      <c r="F173" s="45">
        <f>E173*F151</f>
        <v>0.91200000000000003</v>
      </c>
      <c r="G173" s="155"/>
      <c r="H173" s="155">
        <f>F173*G173</f>
        <v>0</v>
      </c>
      <c r="I173" s="157"/>
      <c r="J173" s="155"/>
      <c r="K173" s="155"/>
      <c r="L173" s="155"/>
      <c r="M173" s="155">
        <f>H173+J173+L173</f>
        <v>0</v>
      </c>
    </row>
    <row r="174" spans="1:13" ht="27">
      <c r="A174" s="20" t="s">
        <v>314</v>
      </c>
      <c r="B174" s="21" t="s">
        <v>78</v>
      </c>
      <c r="C174" s="132" t="s">
        <v>315</v>
      </c>
      <c r="D174" s="22" t="s">
        <v>8</v>
      </c>
      <c r="E174" s="22"/>
      <c r="F174" s="46">
        <f>SUM(F177:F196)</f>
        <v>575</v>
      </c>
      <c r="G174" s="152"/>
      <c r="H174" s="152"/>
      <c r="I174" s="152"/>
      <c r="J174" s="152"/>
      <c r="K174" s="152"/>
      <c r="L174" s="152"/>
      <c r="M174" s="152"/>
    </row>
    <row r="175" spans="1:13">
      <c r="A175" s="20"/>
      <c r="B175" s="24" t="s">
        <v>3</v>
      </c>
      <c r="C175" s="184"/>
      <c r="D175" s="25" t="s">
        <v>4</v>
      </c>
      <c r="E175" s="25">
        <v>0.58399999999999996</v>
      </c>
      <c r="F175" s="26">
        <f>F174*E175</f>
        <v>335.79999999999995</v>
      </c>
      <c r="G175" s="157"/>
      <c r="H175" s="157"/>
      <c r="I175" s="157"/>
      <c r="J175" s="157">
        <f>F175*I175</f>
        <v>0</v>
      </c>
      <c r="K175" s="157"/>
      <c r="L175" s="157"/>
      <c r="M175" s="157">
        <f>H175+J175+L175</f>
        <v>0</v>
      </c>
    </row>
    <row r="176" spans="1:13">
      <c r="A176" s="20"/>
      <c r="B176" s="24" t="s">
        <v>22</v>
      </c>
      <c r="C176" s="184"/>
      <c r="D176" s="3" t="s">
        <v>0</v>
      </c>
      <c r="E176" s="25">
        <v>0.22700000000000001</v>
      </c>
      <c r="F176" s="27">
        <f>E176*F174</f>
        <v>130.52500000000001</v>
      </c>
      <c r="G176" s="157"/>
      <c r="H176" s="157"/>
      <c r="I176" s="157"/>
      <c r="J176" s="157"/>
      <c r="K176" s="157"/>
      <c r="L176" s="157">
        <f>F176*K176</f>
        <v>0</v>
      </c>
      <c r="M176" s="157">
        <f>H176+J176+L176</f>
        <v>0</v>
      </c>
    </row>
    <row r="177" spans="1:13" ht="29.25">
      <c r="A177" s="42"/>
      <c r="B177" s="48" t="s">
        <v>202</v>
      </c>
      <c r="C177" s="140" t="s">
        <v>370</v>
      </c>
      <c r="D177" s="3" t="s">
        <v>8</v>
      </c>
      <c r="E177" s="3"/>
      <c r="F177" s="43">
        <v>1</v>
      </c>
      <c r="G177" s="157"/>
      <c r="H177" s="155">
        <f t="shared" ref="H177:H196" si="5">F177*G177</f>
        <v>0</v>
      </c>
      <c r="I177" s="157"/>
      <c r="J177" s="155"/>
      <c r="K177" s="155"/>
      <c r="L177" s="155"/>
      <c r="M177" s="155">
        <f t="shared" ref="M177:M196" si="6">H177+J177+L177</f>
        <v>0</v>
      </c>
    </row>
    <row r="178" spans="1:13" ht="29.25">
      <c r="A178" s="42"/>
      <c r="B178" s="48" t="s">
        <v>203</v>
      </c>
      <c r="C178" s="140" t="s">
        <v>370</v>
      </c>
      <c r="D178" s="3" t="s">
        <v>8</v>
      </c>
      <c r="E178" s="3"/>
      <c r="F178" s="43">
        <v>1</v>
      </c>
      <c r="G178" s="157"/>
      <c r="H178" s="155">
        <f>F178*G178</f>
        <v>0</v>
      </c>
      <c r="I178" s="157"/>
      <c r="J178" s="155"/>
      <c r="K178" s="155"/>
      <c r="L178" s="155"/>
      <c r="M178" s="155">
        <f>H178+J178+L178</f>
        <v>0</v>
      </c>
    </row>
    <row r="179" spans="1:13" ht="29.25">
      <c r="A179" s="42"/>
      <c r="B179" s="48" t="s">
        <v>205</v>
      </c>
      <c r="C179" s="140" t="s">
        <v>370</v>
      </c>
      <c r="D179" s="3" t="s">
        <v>8</v>
      </c>
      <c r="E179" s="3"/>
      <c r="F179" s="43">
        <v>1</v>
      </c>
      <c r="G179" s="157"/>
      <c r="H179" s="155">
        <f>F179*G179</f>
        <v>0</v>
      </c>
      <c r="I179" s="157"/>
      <c r="J179" s="155"/>
      <c r="K179" s="155"/>
      <c r="L179" s="155"/>
      <c r="M179" s="155">
        <f>H179+J179+L179</f>
        <v>0</v>
      </c>
    </row>
    <row r="180" spans="1:13" ht="29.25">
      <c r="A180" s="42"/>
      <c r="B180" s="48" t="s">
        <v>204</v>
      </c>
      <c r="C180" s="140" t="s">
        <v>370</v>
      </c>
      <c r="D180" s="3" t="s">
        <v>8</v>
      </c>
      <c r="E180" s="3"/>
      <c r="F180" s="43">
        <v>1</v>
      </c>
      <c r="G180" s="157"/>
      <c r="H180" s="155">
        <f>F180*G180</f>
        <v>0</v>
      </c>
      <c r="I180" s="157"/>
      <c r="J180" s="155"/>
      <c r="K180" s="155"/>
      <c r="L180" s="155"/>
      <c r="M180" s="155">
        <f>H180+J180+L180</f>
        <v>0</v>
      </c>
    </row>
    <row r="181" spans="1:13" ht="29.25">
      <c r="A181" s="42"/>
      <c r="B181" s="48" t="s">
        <v>206</v>
      </c>
      <c r="C181" s="140" t="s">
        <v>370</v>
      </c>
      <c r="D181" s="3" t="s">
        <v>8</v>
      </c>
      <c r="E181" s="3"/>
      <c r="F181" s="43">
        <v>2</v>
      </c>
      <c r="G181" s="157"/>
      <c r="H181" s="155">
        <f>F181*G181</f>
        <v>0</v>
      </c>
      <c r="I181" s="157"/>
      <c r="J181" s="155"/>
      <c r="K181" s="155"/>
      <c r="L181" s="155"/>
      <c r="M181" s="155">
        <f>H181+J181+L181</f>
        <v>0</v>
      </c>
    </row>
    <row r="182" spans="1:13" ht="29.25">
      <c r="A182" s="42"/>
      <c r="B182" s="48" t="s">
        <v>207</v>
      </c>
      <c r="C182" s="140" t="s">
        <v>370</v>
      </c>
      <c r="D182" s="3" t="s">
        <v>8</v>
      </c>
      <c r="E182" s="3"/>
      <c r="F182" s="43">
        <v>1</v>
      </c>
      <c r="G182" s="157"/>
      <c r="H182" s="155">
        <f>F182*G182</f>
        <v>0</v>
      </c>
      <c r="I182" s="157"/>
      <c r="J182" s="155"/>
      <c r="K182" s="155"/>
      <c r="L182" s="155"/>
      <c r="M182" s="155">
        <f>H182+J182+L182</f>
        <v>0</v>
      </c>
    </row>
    <row r="183" spans="1:13" ht="29.25">
      <c r="A183" s="42"/>
      <c r="B183" s="48" t="s">
        <v>208</v>
      </c>
      <c r="C183" s="140" t="s">
        <v>370</v>
      </c>
      <c r="D183" s="3" t="s">
        <v>8</v>
      </c>
      <c r="E183" s="3"/>
      <c r="F183" s="43">
        <v>6</v>
      </c>
      <c r="G183" s="157"/>
      <c r="H183" s="155">
        <f t="shared" si="5"/>
        <v>0</v>
      </c>
      <c r="I183" s="157"/>
      <c r="J183" s="155"/>
      <c r="K183" s="155"/>
      <c r="L183" s="155"/>
      <c r="M183" s="155">
        <f t="shared" si="6"/>
        <v>0</v>
      </c>
    </row>
    <row r="184" spans="1:13" ht="29.25">
      <c r="A184" s="42"/>
      <c r="B184" s="48" t="s">
        <v>209</v>
      </c>
      <c r="C184" s="140" t="s">
        <v>370</v>
      </c>
      <c r="D184" s="3" t="s">
        <v>8</v>
      </c>
      <c r="E184" s="3"/>
      <c r="F184" s="43">
        <v>8</v>
      </c>
      <c r="G184" s="157"/>
      <c r="H184" s="155">
        <f t="shared" si="5"/>
        <v>0</v>
      </c>
      <c r="I184" s="157"/>
      <c r="J184" s="155"/>
      <c r="K184" s="155"/>
      <c r="L184" s="155"/>
      <c r="M184" s="155">
        <f t="shared" si="6"/>
        <v>0</v>
      </c>
    </row>
    <row r="185" spans="1:13" ht="29.25">
      <c r="A185" s="42"/>
      <c r="B185" s="48" t="s">
        <v>210</v>
      </c>
      <c r="C185" s="140" t="s">
        <v>370</v>
      </c>
      <c r="D185" s="3" t="s">
        <v>8</v>
      </c>
      <c r="E185" s="3"/>
      <c r="F185" s="43">
        <v>13</v>
      </c>
      <c r="G185" s="157"/>
      <c r="H185" s="155">
        <f t="shared" si="5"/>
        <v>0</v>
      </c>
      <c r="I185" s="157"/>
      <c r="J185" s="155"/>
      <c r="K185" s="155"/>
      <c r="L185" s="155"/>
      <c r="M185" s="155">
        <f t="shared" si="6"/>
        <v>0</v>
      </c>
    </row>
    <row r="186" spans="1:13" ht="29.25">
      <c r="A186" s="42"/>
      <c r="B186" s="48" t="s">
        <v>211</v>
      </c>
      <c r="C186" s="140" t="s">
        <v>370</v>
      </c>
      <c r="D186" s="3" t="s">
        <v>8</v>
      </c>
      <c r="E186" s="3"/>
      <c r="F186" s="43">
        <v>10</v>
      </c>
      <c r="G186" s="157"/>
      <c r="H186" s="155">
        <f>F186*G186</f>
        <v>0</v>
      </c>
      <c r="I186" s="157"/>
      <c r="J186" s="155"/>
      <c r="K186" s="155"/>
      <c r="L186" s="155"/>
      <c r="M186" s="155">
        <f>H186+J186+L186</f>
        <v>0</v>
      </c>
    </row>
    <row r="187" spans="1:13" ht="29.25">
      <c r="A187" s="42"/>
      <c r="B187" s="48" t="s">
        <v>212</v>
      </c>
      <c r="C187" s="140" t="s">
        <v>370</v>
      </c>
      <c r="D187" s="3" t="s">
        <v>8</v>
      </c>
      <c r="E187" s="43"/>
      <c r="F187" s="43">
        <v>7</v>
      </c>
      <c r="G187" s="157"/>
      <c r="H187" s="155">
        <f t="shared" si="5"/>
        <v>0</v>
      </c>
      <c r="I187" s="157"/>
      <c r="J187" s="155"/>
      <c r="K187" s="155"/>
      <c r="L187" s="155"/>
      <c r="M187" s="155">
        <f t="shared" si="6"/>
        <v>0</v>
      </c>
    </row>
    <row r="188" spans="1:13" ht="29.25">
      <c r="A188" s="42"/>
      <c r="B188" s="48" t="s">
        <v>134</v>
      </c>
      <c r="C188" s="140" t="s">
        <v>370</v>
      </c>
      <c r="D188" s="3" t="s">
        <v>8</v>
      </c>
      <c r="E188" s="43"/>
      <c r="F188" s="43">
        <v>9</v>
      </c>
      <c r="G188" s="157"/>
      <c r="H188" s="155">
        <f t="shared" si="5"/>
        <v>0</v>
      </c>
      <c r="I188" s="157"/>
      <c r="J188" s="155"/>
      <c r="K188" s="155"/>
      <c r="L188" s="155"/>
      <c r="M188" s="155">
        <f t="shared" si="6"/>
        <v>0</v>
      </c>
    </row>
    <row r="189" spans="1:13" ht="29.25">
      <c r="A189" s="42"/>
      <c r="B189" s="48" t="s">
        <v>135</v>
      </c>
      <c r="C189" s="140" t="s">
        <v>370</v>
      </c>
      <c r="D189" s="3" t="s">
        <v>8</v>
      </c>
      <c r="E189" s="43"/>
      <c r="F189" s="43">
        <v>10</v>
      </c>
      <c r="G189" s="157"/>
      <c r="H189" s="155">
        <f t="shared" si="5"/>
        <v>0</v>
      </c>
      <c r="I189" s="157"/>
      <c r="J189" s="155"/>
      <c r="K189" s="155"/>
      <c r="L189" s="155"/>
      <c r="M189" s="155">
        <f t="shared" si="6"/>
        <v>0</v>
      </c>
    </row>
    <row r="190" spans="1:13" ht="29.25">
      <c r="A190" s="42"/>
      <c r="B190" s="48" t="s">
        <v>136</v>
      </c>
      <c r="C190" s="140" t="s">
        <v>370</v>
      </c>
      <c r="D190" s="3" t="s">
        <v>8</v>
      </c>
      <c r="E190" s="43"/>
      <c r="F190" s="43">
        <v>36</v>
      </c>
      <c r="G190" s="157"/>
      <c r="H190" s="155">
        <f t="shared" si="5"/>
        <v>0</v>
      </c>
      <c r="I190" s="157"/>
      <c r="J190" s="155"/>
      <c r="K190" s="155"/>
      <c r="L190" s="155"/>
      <c r="M190" s="155">
        <f t="shared" si="6"/>
        <v>0</v>
      </c>
    </row>
    <row r="191" spans="1:13" ht="29.25">
      <c r="A191" s="42"/>
      <c r="B191" s="48" t="s">
        <v>137</v>
      </c>
      <c r="C191" s="140" t="s">
        <v>370</v>
      </c>
      <c r="D191" s="3" t="s">
        <v>8</v>
      </c>
      <c r="E191" s="43"/>
      <c r="F191" s="43">
        <v>14</v>
      </c>
      <c r="G191" s="157"/>
      <c r="H191" s="155">
        <f t="shared" si="5"/>
        <v>0</v>
      </c>
      <c r="I191" s="157"/>
      <c r="J191" s="155"/>
      <c r="K191" s="155"/>
      <c r="L191" s="155"/>
      <c r="M191" s="155">
        <f t="shared" si="6"/>
        <v>0</v>
      </c>
    </row>
    <row r="192" spans="1:13" ht="29.25">
      <c r="A192" s="42"/>
      <c r="B192" s="48" t="s">
        <v>138</v>
      </c>
      <c r="C192" s="140" t="s">
        <v>370</v>
      </c>
      <c r="D192" s="3" t="s">
        <v>8</v>
      </c>
      <c r="E192" s="43"/>
      <c r="F192" s="43">
        <v>15</v>
      </c>
      <c r="G192" s="157"/>
      <c r="H192" s="155">
        <f t="shared" si="5"/>
        <v>0</v>
      </c>
      <c r="I192" s="157"/>
      <c r="J192" s="155"/>
      <c r="K192" s="155"/>
      <c r="L192" s="155"/>
      <c r="M192" s="155">
        <f t="shared" si="6"/>
        <v>0</v>
      </c>
    </row>
    <row r="193" spans="1:13" ht="29.25">
      <c r="A193" s="42"/>
      <c r="B193" s="48" t="s">
        <v>139</v>
      </c>
      <c r="C193" s="140" t="s">
        <v>370</v>
      </c>
      <c r="D193" s="3" t="s">
        <v>8</v>
      </c>
      <c r="E193" s="43"/>
      <c r="F193" s="43">
        <v>15</v>
      </c>
      <c r="G193" s="157"/>
      <c r="H193" s="155">
        <f t="shared" si="5"/>
        <v>0</v>
      </c>
      <c r="I193" s="157"/>
      <c r="J193" s="155"/>
      <c r="K193" s="155"/>
      <c r="L193" s="155"/>
      <c r="M193" s="155">
        <f t="shared" si="6"/>
        <v>0</v>
      </c>
    </row>
    <row r="194" spans="1:13" ht="29.25">
      <c r="A194" s="42"/>
      <c r="B194" s="48" t="s">
        <v>140</v>
      </c>
      <c r="C194" s="140" t="s">
        <v>370</v>
      </c>
      <c r="D194" s="3" t="s">
        <v>8</v>
      </c>
      <c r="E194" s="43"/>
      <c r="F194" s="43">
        <v>18</v>
      </c>
      <c r="G194" s="157"/>
      <c r="H194" s="155">
        <f t="shared" si="5"/>
        <v>0</v>
      </c>
      <c r="I194" s="157"/>
      <c r="J194" s="155"/>
      <c r="K194" s="155"/>
      <c r="L194" s="155"/>
      <c r="M194" s="155">
        <f t="shared" si="6"/>
        <v>0</v>
      </c>
    </row>
    <row r="195" spans="1:13" ht="29.25">
      <c r="A195" s="42"/>
      <c r="B195" s="48" t="s">
        <v>141</v>
      </c>
      <c r="C195" s="140" t="s">
        <v>370</v>
      </c>
      <c r="D195" s="3" t="s">
        <v>8</v>
      </c>
      <c r="E195" s="43"/>
      <c r="F195" s="43">
        <v>7</v>
      </c>
      <c r="G195" s="157"/>
      <c r="H195" s="155">
        <f t="shared" si="5"/>
        <v>0</v>
      </c>
      <c r="I195" s="157"/>
      <c r="J195" s="155"/>
      <c r="K195" s="155"/>
      <c r="L195" s="155"/>
      <c r="M195" s="155">
        <f t="shared" si="6"/>
        <v>0</v>
      </c>
    </row>
    <row r="196" spans="1:13" ht="29.25">
      <c r="A196" s="42"/>
      <c r="B196" s="48" t="s">
        <v>142</v>
      </c>
      <c r="C196" s="140" t="s">
        <v>370</v>
      </c>
      <c r="D196" s="3" t="s">
        <v>8</v>
      </c>
      <c r="E196" s="43"/>
      <c r="F196" s="43">
        <v>400</v>
      </c>
      <c r="G196" s="157"/>
      <c r="H196" s="155">
        <f t="shared" si="5"/>
        <v>0</v>
      </c>
      <c r="I196" s="157"/>
      <c r="J196" s="155"/>
      <c r="K196" s="155"/>
      <c r="L196" s="155"/>
      <c r="M196" s="155">
        <f t="shared" si="6"/>
        <v>0</v>
      </c>
    </row>
    <row r="197" spans="1:13">
      <c r="A197" s="42"/>
      <c r="B197" s="24" t="s">
        <v>6</v>
      </c>
      <c r="C197" s="131"/>
      <c r="D197" s="47" t="s">
        <v>0</v>
      </c>
      <c r="E197" s="3">
        <f>0.24*0.1</f>
        <v>2.4E-2</v>
      </c>
      <c r="F197" s="45">
        <f>E197*F174</f>
        <v>13.8</v>
      </c>
      <c r="G197" s="155"/>
      <c r="H197" s="155">
        <f>F197*G197</f>
        <v>0</v>
      </c>
      <c r="I197" s="155"/>
      <c r="J197" s="155"/>
      <c r="K197" s="155"/>
      <c r="L197" s="155">
        <f>G197+I197+K197</f>
        <v>0</v>
      </c>
      <c r="M197" s="155">
        <f>H197+J197+L197</f>
        <v>0</v>
      </c>
    </row>
    <row r="198" spans="1:13" ht="27">
      <c r="A198" s="20">
        <v>13</v>
      </c>
      <c r="B198" s="21" t="s">
        <v>143</v>
      </c>
      <c r="C198" s="132" t="s">
        <v>144</v>
      </c>
      <c r="D198" s="22" t="s">
        <v>8</v>
      </c>
      <c r="E198" s="22"/>
      <c r="F198" s="46">
        <f>SUM(F202:F213)</f>
        <v>407</v>
      </c>
      <c r="G198" s="152"/>
      <c r="H198" s="152"/>
      <c r="I198" s="152"/>
      <c r="J198" s="152"/>
      <c r="K198" s="152"/>
      <c r="L198" s="152"/>
      <c r="M198" s="152"/>
    </row>
    <row r="199" spans="1:13">
      <c r="A199" s="20"/>
      <c r="B199" s="24" t="s">
        <v>3</v>
      </c>
      <c r="C199" s="184"/>
      <c r="D199" s="25" t="s">
        <v>4</v>
      </c>
      <c r="E199" s="25">
        <f>5.84/10</f>
        <v>0.58399999999999996</v>
      </c>
      <c r="F199" s="26">
        <f>F198*E199</f>
        <v>237.68799999999999</v>
      </c>
      <c r="G199" s="157"/>
      <c r="H199" s="157"/>
      <c r="I199" s="157"/>
      <c r="J199" s="157">
        <f>F199*I199</f>
        <v>0</v>
      </c>
      <c r="K199" s="157"/>
      <c r="L199" s="157"/>
      <c r="M199" s="157">
        <f>H199+J199+L199</f>
        <v>0</v>
      </c>
    </row>
    <row r="200" spans="1:13">
      <c r="A200" s="20"/>
      <c r="B200" s="24" t="s">
        <v>22</v>
      </c>
      <c r="C200" s="184"/>
      <c r="D200" s="3" t="s">
        <v>0</v>
      </c>
      <c r="E200" s="25">
        <f>1.51/10</f>
        <v>0.151</v>
      </c>
      <c r="F200" s="27">
        <f>E200*F198</f>
        <v>61.457000000000001</v>
      </c>
      <c r="G200" s="157"/>
      <c r="H200" s="157"/>
      <c r="I200" s="157"/>
      <c r="J200" s="157"/>
      <c r="K200" s="157"/>
      <c r="L200" s="157">
        <f>F200*K200</f>
        <v>0</v>
      </c>
      <c r="M200" s="157">
        <f>H200+J200+L200</f>
        <v>0</v>
      </c>
    </row>
    <row r="201" spans="1:13">
      <c r="A201" s="42"/>
      <c r="B201" s="3" t="s">
        <v>44</v>
      </c>
      <c r="C201" s="131"/>
      <c r="D201" s="3"/>
      <c r="E201" s="3"/>
      <c r="F201" s="43"/>
      <c r="G201" s="155"/>
      <c r="H201" s="155"/>
      <c r="I201" s="157"/>
      <c r="J201" s="155"/>
      <c r="K201" s="155"/>
      <c r="L201" s="155"/>
      <c r="M201" s="155"/>
    </row>
    <row r="202" spans="1:13" ht="29.25">
      <c r="A202" s="42"/>
      <c r="B202" s="44" t="s">
        <v>215</v>
      </c>
      <c r="C202" s="140" t="s">
        <v>370</v>
      </c>
      <c r="D202" s="3" t="s">
        <v>7</v>
      </c>
      <c r="E202" s="3"/>
      <c r="F202" s="43">
        <v>11</v>
      </c>
      <c r="G202" s="157"/>
      <c r="H202" s="155">
        <f>F202*G202</f>
        <v>0</v>
      </c>
      <c r="I202" s="157"/>
      <c r="J202" s="155"/>
      <c r="K202" s="155"/>
      <c r="L202" s="155"/>
      <c r="M202" s="155">
        <f>H202+J202+L202</f>
        <v>0</v>
      </c>
    </row>
    <row r="203" spans="1:13" ht="29.25">
      <c r="A203" s="42"/>
      <c r="B203" s="44" t="s">
        <v>164</v>
      </c>
      <c r="C203" s="140" t="s">
        <v>370</v>
      </c>
      <c r="D203" s="3" t="s">
        <v>7</v>
      </c>
      <c r="E203" s="3"/>
      <c r="F203" s="43">
        <v>55</v>
      </c>
      <c r="G203" s="157"/>
      <c r="H203" s="155">
        <f t="shared" ref="H203:H212" si="7">F203*G203</f>
        <v>0</v>
      </c>
      <c r="I203" s="157"/>
      <c r="J203" s="155"/>
      <c r="K203" s="155"/>
      <c r="L203" s="155"/>
      <c r="M203" s="155">
        <f t="shared" ref="M203:M212" si="8">H203+J203+L203</f>
        <v>0</v>
      </c>
    </row>
    <row r="204" spans="1:13" ht="29.25">
      <c r="A204" s="42"/>
      <c r="B204" s="44" t="s">
        <v>214</v>
      </c>
      <c r="C204" s="140" t="s">
        <v>370</v>
      </c>
      <c r="D204" s="3" t="s">
        <v>7</v>
      </c>
      <c r="E204" s="3"/>
      <c r="F204" s="43">
        <v>3</v>
      </c>
      <c r="G204" s="157"/>
      <c r="H204" s="155">
        <f>F204*G204</f>
        <v>0</v>
      </c>
      <c r="I204" s="157"/>
      <c r="J204" s="155"/>
      <c r="K204" s="155"/>
      <c r="L204" s="155"/>
      <c r="M204" s="155">
        <f>H204+J204+L204</f>
        <v>0</v>
      </c>
    </row>
    <row r="205" spans="1:13" ht="29.25">
      <c r="A205" s="42"/>
      <c r="B205" s="44" t="s">
        <v>165</v>
      </c>
      <c r="C205" s="140" t="s">
        <v>370</v>
      </c>
      <c r="D205" s="3" t="s">
        <v>7</v>
      </c>
      <c r="E205" s="3"/>
      <c r="F205" s="43">
        <v>32</v>
      </c>
      <c r="G205" s="157"/>
      <c r="H205" s="155">
        <f t="shared" si="7"/>
        <v>0</v>
      </c>
      <c r="I205" s="157"/>
      <c r="J205" s="155"/>
      <c r="K205" s="155"/>
      <c r="L205" s="155"/>
      <c r="M205" s="155">
        <f t="shared" si="8"/>
        <v>0</v>
      </c>
    </row>
    <row r="206" spans="1:13" ht="29.25">
      <c r="A206" s="42"/>
      <c r="B206" s="44" t="s">
        <v>217</v>
      </c>
      <c r="C206" s="140" t="s">
        <v>370</v>
      </c>
      <c r="D206" s="3" t="s">
        <v>7</v>
      </c>
      <c r="E206" s="3"/>
      <c r="F206" s="43">
        <v>2</v>
      </c>
      <c r="G206" s="157"/>
      <c r="H206" s="155">
        <f>F206*G206</f>
        <v>0</v>
      </c>
      <c r="I206" s="157"/>
      <c r="J206" s="155"/>
      <c r="K206" s="155"/>
      <c r="L206" s="155"/>
      <c r="M206" s="155">
        <f>H206+J206+L206</f>
        <v>0</v>
      </c>
    </row>
    <row r="207" spans="1:13" ht="29.25">
      <c r="A207" s="42"/>
      <c r="B207" s="44" t="s">
        <v>166</v>
      </c>
      <c r="C207" s="140" t="s">
        <v>370</v>
      </c>
      <c r="D207" s="3" t="s">
        <v>7</v>
      </c>
      <c r="E207" s="3"/>
      <c r="F207" s="43">
        <v>98</v>
      </c>
      <c r="G207" s="157"/>
      <c r="H207" s="155">
        <f t="shared" si="7"/>
        <v>0</v>
      </c>
      <c r="I207" s="157"/>
      <c r="J207" s="155"/>
      <c r="K207" s="155"/>
      <c r="L207" s="155"/>
      <c r="M207" s="155">
        <f t="shared" si="8"/>
        <v>0</v>
      </c>
    </row>
    <row r="208" spans="1:13" ht="29.25">
      <c r="A208" s="42"/>
      <c r="B208" s="44" t="s">
        <v>216</v>
      </c>
      <c r="C208" s="140" t="s">
        <v>370</v>
      </c>
      <c r="D208" s="3" t="s">
        <v>7</v>
      </c>
      <c r="E208" s="3"/>
      <c r="F208" s="43">
        <v>2</v>
      </c>
      <c r="G208" s="157"/>
      <c r="H208" s="155">
        <f>F208*G208</f>
        <v>0</v>
      </c>
      <c r="I208" s="157"/>
      <c r="J208" s="155"/>
      <c r="K208" s="155"/>
      <c r="L208" s="155"/>
      <c r="M208" s="155">
        <f>H208+J208+L208</f>
        <v>0</v>
      </c>
    </row>
    <row r="209" spans="1:13" ht="29.25">
      <c r="A209" s="42"/>
      <c r="B209" s="44" t="s">
        <v>167</v>
      </c>
      <c r="C209" s="140" t="s">
        <v>370</v>
      </c>
      <c r="D209" s="3" t="s">
        <v>7</v>
      </c>
      <c r="E209" s="3"/>
      <c r="F209" s="43">
        <v>45</v>
      </c>
      <c r="G209" s="157"/>
      <c r="H209" s="155">
        <f t="shared" si="7"/>
        <v>0</v>
      </c>
      <c r="I209" s="157"/>
      <c r="J209" s="155"/>
      <c r="K209" s="155"/>
      <c r="L209" s="155"/>
      <c r="M209" s="155">
        <f t="shared" si="8"/>
        <v>0</v>
      </c>
    </row>
    <row r="210" spans="1:13" ht="29.25">
      <c r="A210" s="42"/>
      <c r="B210" s="44" t="s">
        <v>168</v>
      </c>
      <c r="C210" s="140" t="s">
        <v>370</v>
      </c>
      <c r="D210" s="3" t="s">
        <v>7</v>
      </c>
      <c r="E210" s="3"/>
      <c r="F210" s="43">
        <v>53</v>
      </c>
      <c r="G210" s="157"/>
      <c r="H210" s="155">
        <f t="shared" si="7"/>
        <v>0</v>
      </c>
      <c r="I210" s="157"/>
      <c r="J210" s="155"/>
      <c r="K210" s="155"/>
      <c r="L210" s="155"/>
      <c r="M210" s="155">
        <f t="shared" si="8"/>
        <v>0</v>
      </c>
    </row>
    <row r="211" spans="1:13" ht="29.25">
      <c r="A211" s="42"/>
      <c r="B211" s="44" t="s">
        <v>169</v>
      </c>
      <c r="C211" s="140" t="s">
        <v>370</v>
      </c>
      <c r="D211" s="3" t="s">
        <v>7</v>
      </c>
      <c r="E211" s="3"/>
      <c r="F211" s="43">
        <v>50</v>
      </c>
      <c r="G211" s="157"/>
      <c r="H211" s="155">
        <f t="shared" si="7"/>
        <v>0</v>
      </c>
      <c r="I211" s="157"/>
      <c r="J211" s="155"/>
      <c r="K211" s="155"/>
      <c r="L211" s="155"/>
      <c r="M211" s="155">
        <f t="shared" si="8"/>
        <v>0</v>
      </c>
    </row>
    <row r="212" spans="1:13">
      <c r="A212" s="42"/>
      <c r="B212" s="44" t="s">
        <v>170</v>
      </c>
      <c r="C212" s="140" t="s">
        <v>31</v>
      </c>
      <c r="D212" s="3" t="s">
        <v>7</v>
      </c>
      <c r="E212" s="3"/>
      <c r="F212" s="43">
        <v>39</v>
      </c>
      <c r="G212" s="157"/>
      <c r="H212" s="155">
        <f t="shared" si="7"/>
        <v>0</v>
      </c>
      <c r="I212" s="157"/>
      <c r="J212" s="155"/>
      <c r="K212" s="155"/>
      <c r="L212" s="155"/>
      <c r="M212" s="155">
        <f t="shared" si="8"/>
        <v>0</v>
      </c>
    </row>
    <row r="213" spans="1:13">
      <c r="A213" s="42"/>
      <c r="B213" s="44" t="s">
        <v>213</v>
      </c>
      <c r="C213" s="140" t="s">
        <v>31</v>
      </c>
      <c r="D213" s="3" t="s">
        <v>7</v>
      </c>
      <c r="E213" s="3"/>
      <c r="F213" s="43">
        <v>17</v>
      </c>
      <c r="G213" s="157"/>
      <c r="H213" s="155">
        <f>F213*G213</f>
        <v>0</v>
      </c>
      <c r="I213" s="157"/>
      <c r="J213" s="155"/>
      <c r="K213" s="155"/>
      <c r="L213" s="155"/>
      <c r="M213" s="155">
        <f>H213+J213+L213</f>
        <v>0</v>
      </c>
    </row>
    <row r="214" spans="1:13">
      <c r="A214" s="42"/>
      <c r="B214" s="24" t="s">
        <v>6</v>
      </c>
      <c r="C214" s="131"/>
      <c r="D214" s="3" t="s">
        <v>0</v>
      </c>
      <c r="E214" s="3">
        <v>2.4E-2</v>
      </c>
      <c r="F214" s="45">
        <f>E214*F198</f>
        <v>9.7680000000000007</v>
      </c>
      <c r="G214" s="155"/>
      <c r="H214" s="155">
        <f>F214*G214</f>
        <v>0</v>
      </c>
      <c r="I214" s="157"/>
      <c r="J214" s="155"/>
      <c r="K214" s="155"/>
      <c r="L214" s="155"/>
      <c r="M214" s="155">
        <f>H214+J214+L214</f>
        <v>0</v>
      </c>
    </row>
    <row r="215" spans="1:13" ht="19.5">
      <c r="A215" s="42">
        <v>14</v>
      </c>
      <c r="B215" s="49" t="s">
        <v>145</v>
      </c>
      <c r="C215" s="137" t="s">
        <v>146</v>
      </c>
      <c r="D215" s="51" t="s">
        <v>147</v>
      </c>
      <c r="E215" s="52"/>
      <c r="F215" s="53">
        <v>1300</v>
      </c>
      <c r="G215" s="164"/>
      <c r="H215" s="155"/>
      <c r="I215" s="164"/>
      <c r="J215" s="164"/>
      <c r="K215" s="164"/>
      <c r="L215" s="164"/>
      <c r="M215" s="165"/>
    </row>
    <row r="216" spans="1:13" ht="15.75">
      <c r="A216" s="42"/>
      <c r="B216" s="55" t="s">
        <v>148</v>
      </c>
      <c r="C216" s="131"/>
      <c r="D216" s="56" t="s">
        <v>4</v>
      </c>
      <c r="E216" s="50">
        <v>5.68</v>
      </c>
      <c r="F216" s="54">
        <f>F215*E216</f>
        <v>7384</v>
      </c>
      <c r="G216" s="155"/>
      <c r="H216" s="155"/>
      <c r="I216" s="155"/>
      <c r="J216" s="155">
        <f>F216*I216</f>
        <v>0</v>
      </c>
      <c r="K216" s="155"/>
      <c r="L216" s="155"/>
      <c r="M216" s="165">
        <f t="shared" ref="M216:M222" si="9">H216+J216+L216</f>
        <v>0</v>
      </c>
    </row>
    <row r="217" spans="1:13" ht="15.75">
      <c r="A217" s="42"/>
      <c r="B217" s="57" t="s">
        <v>65</v>
      </c>
      <c r="C217" s="131"/>
      <c r="D217" s="56" t="s">
        <v>0</v>
      </c>
      <c r="E217" s="50">
        <v>0.33</v>
      </c>
      <c r="F217" s="54">
        <f>F215*E217</f>
        <v>429</v>
      </c>
      <c r="G217" s="155"/>
      <c r="H217" s="155"/>
      <c r="I217" s="155"/>
      <c r="J217" s="155"/>
      <c r="K217" s="155"/>
      <c r="L217" s="155">
        <f>F217*K217</f>
        <v>0</v>
      </c>
      <c r="M217" s="165">
        <f t="shared" si="9"/>
        <v>0</v>
      </c>
    </row>
    <row r="218" spans="1:13" ht="15.75">
      <c r="A218" s="42"/>
      <c r="B218" s="57" t="s">
        <v>149</v>
      </c>
      <c r="C218" s="131" t="s">
        <v>31</v>
      </c>
      <c r="D218" s="56" t="s">
        <v>150</v>
      </c>
      <c r="E218" s="50">
        <v>1</v>
      </c>
      <c r="F218" s="58">
        <f>E218*F215</f>
        <v>1300</v>
      </c>
      <c r="G218" s="155"/>
      <c r="H218" s="155">
        <f>G218*F218</f>
        <v>0</v>
      </c>
      <c r="I218" s="155"/>
      <c r="J218" s="155"/>
      <c r="K218" s="155"/>
      <c r="L218" s="155"/>
      <c r="M218" s="165">
        <f t="shared" si="9"/>
        <v>0</v>
      </c>
    </row>
    <row r="219" spans="1:13" ht="15.75">
      <c r="A219" s="33"/>
      <c r="B219" s="57" t="s">
        <v>151</v>
      </c>
      <c r="C219" s="128" t="s">
        <v>31</v>
      </c>
      <c r="D219" s="56" t="s">
        <v>152</v>
      </c>
      <c r="E219" s="50">
        <v>1</v>
      </c>
      <c r="F219" s="58">
        <f>E219*F215</f>
        <v>1300</v>
      </c>
      <c r="G219" s="155"/>
      <c r="H219" s="155">
        <f>G219*F219</f>
        <v>0</v>
      </c>
      <c r="I219" s="155"/>
      <c r="J219" s="155"/>
      <c r="K219" s="155"/>
      <c r="L219" s="155"/>
      <c r="M219" s="165">
        <f t="shared" si="9"/>
        <v>0</v>
      </c>
    </row>
    <row r="220" spans="1:13" ht="15.75">
      <c r="A220" s="20"/>
      <c r="B220" s="57" t="s">
        <v>153</v>
      </c>
      <c r="C220" s="184" t="s">
        <v>31</v>
      </c>
      <c r="D220" s="56" t="s">
        <v>152</v>
      </c>
      <c r="E220" s="50">
        <v>2</v>
      </c>
      <c r="F220" s="58">
        <f>E220*F215</f>
        <v>2600</v>
      </c>
      <c r="G220" s="155"/>
      <c r="H220" s="155">
        <f>G220*F220</f>
        <v>0</v>
      </c>
      <c r="I220" s="155"/>
      <c r="J220" s="155"/>
      <c r="K220" s="155"/>
      <c r="L220" s="155"/>
      <c r="M220" s="165">
        <f t="shared" si="9"/>
        <v>0</v>
      </c>
    </row>
    <row r="221" spans="1:13" ht="15.75">
      <c r="A221" s="20"/>
      <c r="B221" s="57" t="s">
        <v>154</v>
      </c>
      <c r="C221" s="184" t="s">
        <v>31</v>
      </c>
      <c r="D221" s="56" t="s">
        <v>152</v>
      </c>
      <c r="E221" s="50">
        <v>1</v>
      </c>
      <c r="F221" s="58">
        <f>E221*F215</f>
        <v>1300</v>
      </c>
      <c r="G221" s="155"/>
      <c r="H221" s="155">
        <f>G221*F221</f>
        <v>0</v>
      </c>
      <c r="I221" s="155"/>
      <c r="J221" s="155"/>
      <c r="K221" s="155"/>
      <c r="L221" s="155"/>
      <c r="M221" s="165">
        <f t="shared" si="9"/>
        <v>0</v>
      </c>
    </row>
    <row r="222" spans="1:13" ht="19.5">
      <c r="A222" s="42"/>
      <c r="B222" s="57" t="s">
        <v>155</v>
      </c>
      <c r="C222" s="184" t="s">
        <v>316</v>
      </c>
      <c r="D222" s="56" t="s">
        <v>152</v>
      </c>
      <c r="E222" s="50">
        <v>2</v>
      </c>
      <c r="F222" s="58">
        <f>E222*F215</f>
        <v>2600</v>
      </c>
      <c r="G222" s="155"/>
      <c r="H222" s="155">
        <f>G222*F222</f>
        <v>0</v>
      </c>
      <c r="I222" s="155"/>
      <c r="J222" s="155"/>
      <c r="K222" s="155"/>
      <c r="L222" s="155"/>
      <c r="M222" s="165">
        <f t="shared" si="9"/>
        <v>0</v>
      </c>
    </row>
    <row r="223" spans="1:13" ht="15.75">
      <c r="A223" s="42"/>
      <c r="B223" s="57" t="s">
        <v>6</v>
      </c>
      <c r="C223" s="131"/>
      <c r="D223" s="56" t="s">
        <v>0</v>
      </c>
      <c r="E223" s="59">
        <v>1.3</v>
      </c>
      <c r="F223" s="60">
        <f>E223*F215</f>
        <v>1690</v>
      </c>
      <c r="G223" s="155"/>
      <c r="H223" s="155">
        <f>F223*G223</f>
        <v>0</v>
      </c>
      <c r="I223" s="155"/>
      <c r="J223" s="155"/>
      <c r="K223" s="155"/>
      <c r="L223" s="155"/>
      <c r="M223" s="165">
        <f t="shared" ref="M223:M229" si="10">H223+J223+L223</f>
        <v>0</v>
      </c>
    </row>
    <row r="224" spans="1:13" ht="16.5">
      <c r="A224" s="33">
        <v>15</v>
      </c>
      <c r="B224" s="49" t="s">
        <v>156</v>
      </c>
      <c r="C224" s="131" t="s">
        <v>31</v>
      </c>
      <c r="D224" s="92" t="s">
        <v>8</v>
      </c>
      <c r="E224" s="92"/>
      <c r="F224" s="8">
        <f>F215</f>
        <v>1300</v>
      </c>
      <c r="G224" s="166"/>
      <c r="H224" s="167"/>
      <c r="I224" s="168"/>
      <c r="J224" s="169"/>
      <c r="K224" s="168"/>
      <c r="L224" s="169"/>
      <c r="M224" s="170"/>
    </row>
    <row r="225" spans="1:13" ht="16.5">
      <c r="A225" s="42"/>
      <c r="B225" s="113" t="s">
        <v>157</v>
      </c>
      <c r="C225" s="131"/>
      <c r="D225" s="92" t="s">
        <v>158</v>
      </c>
      <c r="E225" s="25">
        <v>1</v>
      </c>
      <c r="F225" s="92">
        <f>E225*F224</f>
        <v>1300</v>
      </c>
      <c r="G225" s="166"/>
      <c r="H225" s="166"/>
      <c r="I225" s="168"/>
      <c r="J225" s="168">
        <f>I225*F225</f>
        <v>0</v>
      </c>
      <c r="K225" s="168"/>
      <c r="L225" s="168"/>
      <c r="M225" s="165">
        <f>H225+J225+L225</f>
        <v>0</v>
      </c>
    </row>
    <row r="226" spans="1:13" ht="16.5">
      <c r="A226" s="42"/>
      <c r="B226" s="113" t="s">
        <v>22</v>
      </c>
      <c r="C226" s="131"/>
      <c r="D226" s="92" t="s">
        <v>159</v>
      </c>
      <c r="E226" s="25">
        <f>1.51/10</f>
        <v>0.151</v>
      </c>
      <c r="F226" s="92">
        <f>E226*F224</f>
        <v>196.29999999999998</v>
      </c>
      <c r="G226" s="171"/>
      <c r="H226" s="171"/>
      <c r="I226" s="168"/>
      <c r="J226" s="168"/>
      <c r="K226" s="166"/>
      <c r="L226" s="166">
        <f>K226*F226</f>
        <v>0</v>
      </c>
      <c r="M226" s="165">
        <f t="shared" si="10"/>
        <v>0</v>
      </c>
    </row>
    <row r="227" spans="1:13" ht="16.5">
      <c r="A227" s="42"/>
      <c r="B227" s="3" t="s">
        <v>44</v>
      </c>
      <c r="C227" s="131"/>
      <c r="D227" s="92"/>
      <c r="E227" s="92"/>
      <c r="F227" s="92"/>
      <c r="G227" s="171"/>
      <c r="H227" s="171"/>
      <c r="I227" s="168"/>
      <c r="J227" s="168"/>
      <c r="K227" s="166"/>
      <c r="L227" s="166"/>
      <c r="M227" s="165"/>
    </row>
    <row r="228" spans="1:13" ht="33">
      <c r="A228" s="42"/>
      <c r="B228" s="113" t="s">
        <v>160</v>
      </c>
      <c r="C228" s="131" t="s">
        <v>31</v>
      </c>
      <c r="D228" s="92" t="s">
        <v>79</v>
      </c>
      <c r="E228" s="92">
        <v>2</v>
      </c>
      <c r="F228" s="92">
        <f>F224*E228</f>
        <v>2600</v>
      </c>
      <c r="G228" s="171"/>
      <c r="H228" s="171">
        <f>F228*G228</f>
        <v>0</v>
      </c>
      <c r="I228" s="166"/>
      <c r="J228" s="166"/>
      <c r="K228" s="168"/>
      <c r="L228" s="168"/>
      <c r="M228" s="165">
        <f t="shared" si="10"/>
        <v>0</v>
      </c>
    </row>
    <row r="229" spans="1:13" ht="16.5">
      <c r="A229" s="42"/>
      <c r="B229" s="113" t="s">
        <v>25</v>
      </c>
      <c r="C229" s="131"/>
      <c r="D229" s="92" t="s">
        <v>0</v>
      </c>
      <c r="E229" s="3">
        <f>0.24/10</f>
        <v>2.4E-2</v>
      </c>
      <c r="F229" s="114">
        <f>E229*F224</f>
        <v>31.2</v>
      </c>
      <c r="G229" s="171"/>
      <c r="H229" s="171">
        <f>F229*G229</f>
        <v>0</v>
      </c>
      <c r="I229" s="166"/>
      <c r="J229" s="166"/>
      <c r="K229" s="168"/>
      <c r="L229" s="168"/>
      <c r="M229" s="165">
        <f t="shared" si="10"/>
        <v>0</v>
      </c>
    </row>
    <row r="230" spans="1:13" ht="16.5">
      <c r="A230" s="42"/>
      <c r="B230" s="113" t="s">
        <v>2</v>
      </c>
      <c r="C230" s="131"/>
      <c r="D230" s="92"/>
      <c r="E230" s="3"/>
      <c r="F230" s="114"/>
      <c r="G230" s="171"/>
      <c r="H230" s="187">
        <f>SUM(H85:H229)</f>
        <v>0</v>
      </c>
      <c r="I230" s="172"/>
      <c r="J230" s="187">
        <f>SUM(J85:J229)</f>
        <v>0</v>
      </c>
      <c r="K230" s="169"/>
      <c r="L230" s="169">
        <f>SUM(L85:L229)</f>
        <v>0</v>
      </c>
      <c r="M230" s="187">
        <f>SUM(M85:M229)</f>
        <v>0</v>
      </c>
    </row>
    <row r="231" spans="1:13" ht="16.5">
      <c r="A231" s="102"/>
      <c r="B231" s="259" t="s">
        <v>276</v>
      </c>
      <c r="C231" s="260"/>
      <c r="D231" s="260"/>
      <c r="E231" s="260"/>
      <c r="F231" s="260"/>
      <c r="G231" s="260"/>
      <c r="H231" s="260"/>
      <c r="I231" s="260"/>
      <c r="J231" s="260"/>
      <c r="K231" s="260"/>
      <c r="L231" s="260"/>
      <c r="M231" s="261"/>
    </row>
    <row r="232" spans="1:13" ht="27">
      <c r="A232" s="4">
        <v>1</v>
      </c>
      <c r="B232" s="21" t="s">
        <v>271</v>
      </c>
      <c r="C232" s="188" t="s">
        <v>342</v>
      </c>
      <c r="D232" s="20" t="s">
        <v>57</v>
      </c>
      <c r="E232" s="3"/>
      <c r="F232" s="74">
        <v>4</v>
      </c>
      <c r="G232" s="164"/>
      <c r="H232" s="164"/>
      <c r="I232" s="152"/>
      <c r="J232" s="164"/>
      <c r="K232" s="164"/>
      <c r="L232" s="164"/>
      <c r="M232" s="164"/>
    </row>
    <row r="233" spans="1:13">
      <c r="A233" s="3"/>
      <c r="B233" s="24" t="s">
        <v>3</v>
      </c>
      <c r="C233" s="184"/>
      <c r="D233" s="25" t="s">
        <v>4</v>
      </c>
      <c r="E233" s="101">
        <f>0.034</f>
        <v>3.4000000000000002E-2</v>
      </c>
      <c r="F233" s="26">
        <f>E233*F232</f>
        <v>0.13600000000000001</v>
      </c>
      <c r="G233" s="157"/>
      <c r="H233" s="157"/>
      <c r="I233" s="157"/>
      <c r="J233" s="157">
        <f>I233*F233</f>
        <v>0</v>
      </c>
      <c r="K233" s="157"/>
      <c r="L233" s="157"/>
      <c r="M233" s="157">
        <f>L233+J233+H233</f>
        <v>0</v>
      </c>
    </row>
    <row r="234" spans="1:13">
      <c r="A234" s="3"/>
      <c r="B234" s="24" t="s">
        <v>64</v>
      </c>
      <c r="C234" s="132" t="s">
        <v>281</v>
      </c>
      <c r="D234" s="3" t="s">
        <v>63</v>
      </c>
      <c r="E234" s="101">
        <f>0.0762</f>
        <v>7.6200000000000004E-2</v>
      </c>
      <c r="F234" s="26">
        <f>E234*F232</f>
        <v>0.30480000000000002</v>
      </c>
      <c r="G234" s="157"/>
      <c r="H234" s="157"/>
      <c r="I234" s="157"/>
      <c r="J234" s="157"/>
      <c r="K234" s="157"/>
      <c r="L234" s="157">
        <f>K234*F234</f>
        <v>0</v>
      </c>
      <c r="M234" s="157">
        <f>L234+J234+H234</f>
        <v>0</v>
      </c>
    </row>
    <row r="235" spans="1:13" ht="27">
      <c r="A235" s="3">
        <v>2</v>
      </c>
      <c r="B235" s="85" t="s">
        <v>272</v>
      </c>
      <c r="C235" s="132" t="s">
        <v>347</v>
      </c>
      <c r="D235" s="20" t="s">
        <v>5</v>
      </c>
      <c r="E235" s="3"/>
      <c r="F235" s="74">
        <f>3.55</f>
        <v>3.55</v>
      </c>
      <c r="G235" s="164"/>
      <c r="H235" s="164"/>
      <c r="I235" s="164"/>
      <c r="J235" s="164"/>
      <c r="K235" s="164"/>
      <c r="L235" s="164"/>
      <c r="M235" s="164"/>
    </row>
    <row r="236" spans="1:13">
      <c r="A236" s="3"/>
      <c r="B236" s="73" t="s">
        <v>55</v>
      </c>
      <c r="C236" s="132"/>
      <c r="D236" s="3" t="s">
        <v>46</v>
      </c>
      <c r="E236" s="3">
        <v>5.07</v>
      </c>
      <c r="F236" s="43">
        <f>E236*F235</f>
        <v>17.9985</v>
      </c>
      <c r="G236" s="155"/>
      <c r="H236" s="155"/>
      <c r="I236" s="155"/>
      <c r="J236" s="155">
        <f>I236*F236</f>
        <v>0</v>
      </c>
      <c r="K236" s="155"/>
      <c r="L236" s="155"/>
      <c r="M236" s="155">
        <f t="shared" ref="M236:M241" si="11">L236+J236+H236</f>
        <v>0</v>
      </c>
    </row>
    <row r="237" spans="1:13">
      <c r="A237" s="3"/>
      <c r="B237" s="73" t="s">
        <v>26</v>
      </c>
      <c r="C237" s="132"/>
      <c r="D237" s="3" t="s">
        <v>43</v>
      </c>
      <c r="E237" s="3">
        <v>0.34</v>
      </c>
      <c r="F237" s="43">
        <f>E237*F235</f>
        <v>1.2070000000000001</v>
      </c>
      <c r="G237" s="155"/>
      <c r="H237" s="155"/>
      <c r="I237" s="155"/>
      <c r="J237" s="155"/>
      <c r="K237" s="155"/>
      <c r="L237" s="155">
        <f>K237*F237</f>
        <v>0</v>
      </c>
      <c r="M237" s="155">
        <f t="shared" si="11"/>
        <v>0</v>
      </c>
    </row>
    <row r="238" spans="1:13">
      <c r="A238" s="3"/>
      <c r="B238" s="73" t="s">
        <v>273</v>
      </c>
      <c r="C238" s="132" t="s">
        <v>348</v>
      </c>
      <c r="D238" s="3" t="s">
        <v>5</v>
      </c>
      <c r="E238" s="3">
        <v>1.02</v>
      </c>
      <c r="F238" s="43">
        <f>E238*F235</f>
        <v>3.621</v>
      </c>
      <c r="G238" s="155"/>
      <c r="H238" s="155">
        <f>G238*F238</f>
        <v>0</v>
      </c>
      <c r="I238" s="155"/>
      <c r="J238" s="155"/>
      <c r="K238" s="155"/>
      <c r="L238" s="155"/>
      <c r="M238" s="155">
        <f t="shared" si="11"/>
        <v>0</v>
      </c>
    </row>
    <row r="239" spans="1:13">
      <c r="A239" s="3"/>
      <c r="B239" s="73" t="s">
        <v>350</v>
      </c>
      <c r="C239" s="132" t="s">
        <v>352</v>
      </c>
      <c r="D239" s="3" t="s">
        <v>349</v>
      </c>
      <c r="E239" s="3">
        <f>1.17*0.01</f>
        <v>1.17E-2</v>
      </c>
      <c r="F239" s="43">
        <f>E239*F235</f>
        <v>4.1535000000000002E-2</v>
      </c>
      <c r="G239" s="155"/>
      <c r="H239" s="155">
        <f>G239*F239</f>
        <v>0</v>
      </c>
      <c r="I239" s="155"/>
      <c r="J239" s="155"/>
      <c r="K239" s="155"/>
      <c r="L239" s="155"/>
      <c r="M239" s="155">
        <f t="shared" si="11"/>
        <v>0</v>
      </c>
    </row>
    <row r="240" spans="1:13">
      <c r="A240" s="3"/>
      <c r="B240" s="73" t="s">
        <v>351</v>
      </c>
      <c r="C240" s="132" t="s">
        <v>353</v>
      </c>
      <c r="D240" s="3" t="s">
        <v>73</v>
      </c>
      <c r="E240" s="3">
        <f>1.25*0.01</f>
        <v>1.2500000000000001E-2</v>
      </c>
      <c r="F240" s="43">
        <f>E240*F235</f>
        <v>4.4374999999999998E-2</v>
      </c>
      <c r="G240" s="155"/>
      <c r="H240" s="155">
        <f>G240*F240</f>
        <v>0</v>
      </c>
      <c r="I240" s="155"/>
      <c r="J240" s="155"/>
      <c r="K240" s="155"/>
      <c r="L240" s="155"/>
      <c r="M240" s="155">
        <f t="shared" si="11"/>
        <v>0</v>
      </c>
    </row>
    <row r="241" spans="1:13">
      <c r="A241" s="3"/>
      <c r="B241" s="73" t="s">
        <v>6</v>
      </c>
      <c r="C241" s="132"/>
      <c r="D241" s="3" t="s">
        <v>0</v>
      </c>
      <c r="E241" s="3">
        <v>0.25</v>
      </c>
      <c r="F241" s="43">
        <f>E241*F235</f>
        <v>0.88749999999999996</v>
      </c>
      <c r="G241" s="155"/>
      <c r="H241" s="155">
        <f>G241*F241</f>
        <v>0</v>
      </c>
      <c r="I241" s="155"/>
      <c r="J241" s="155"/>
      <c r="K241" s="155"/>
      <c r="L241" s="155"/>
      <c r="M241" s="155">
        <f t="shared" si="11"/>
        <v>0</v>
      </c>
    </row>
    <row r="242" spans="1:13" ht="27">
      <c r="A242" s="4">
        <v>3</v>
      </c>
      <c r="B242" s="21" t="s">
        <v>243</v>
      </c>
      <c r="C242" s="132" t="s">
        <v>343</v>
      </c>
      <c r="D242" s="20" t="s">
        <v>27</v>
      </c>
      <c r="E242" s="74"/>
      <c r="F242" s="103">
        <f>F246+F247+F248+F249+F250</f>
        <v>0.89869599999999994</v>
      </c>
      <c r="G242" s="155"/>
      <c r="H242" s="155"/>
      <c r="I242" s="157"/>
      <c r="J242" s="155"/>
      <c r="K242" s="155"/>
      <c r="L242" s="155"/>
      <c r="M242" s="164"/>
    </row>
    <row r="243" spans="1:13">
      <c r="A243" s="4"/>
      <c r="B243" s="24" t="s">
        <v>244</v>
      </c>
      <c r="C243" s="184"/>
      <c r="D243" s="25" t="s">
        <v>5</v>
      </c>
      <c r="E243" s="26">
        <f>27.5*1.15</f>
        <v>31.624999999999996</v>
      </c>
      <c r="F243" s="45">
        <f>E243*F242</f>
        <v>28.421260999999994</v>
      </c>
      <c r="G243" s="155"/>
      <c r="H243" s="155"/>
      <c r="I243" s="157"/>
      <c r="J243" s="155">
        <f>I243*F243</f>
        <v>0</v>
      </c>
      <c r="K243" s="155"/>
      <c r="L243" s="155"/>
      <c r="M243" s="155">
        <f>H243+J243+L243</f>
        <v>0</v>
      </c>
    </row>
    <row r="244" spans="1:13">
      <c r="A244" s="4"/>
      <c r="B244" s="24" t="s">
        <v>26</v>
      </c>
      <c r="C244" s="184"/>
      <c r="D244" s="25" t="s">
        <v>0</v>
      </c>
      <c r="E244" s="3">
        <f>0.56*1.15</f>
        <v>0.64400000000000002</v>
      </c>
      <c r="F244" s="43">
        <f>E244*F242</f>
        <v>0.57876022399999993</v>
      </c>
      <c r="G244" s="155"/>
      <c r="H244" s="155"/>
      <c r="I244" s="157"/>
      <c r="J244" s="155"/>
      <c r="K244" s="155"/>
      <c r="L244" s="155">
        <f>K244*F244</f>
        <v>0</v>
      </c>
      <c r="M244" s="155">
        <f>H244+J244+L244</f>
        <v>0</v>
      </c>
    </row>
    <row r="245" spans="1:13">
      <c r="A245" s="4"/>
      <c r="B245" s="182" t="s">
        <v>41</v>
      </c>
      <c r="C245" s="184"/>
      <c r="D245" s="3"/>
      <c r="E245" s="3"/>
      <c r="F245" s="43"/>
      <c r="G245" s="155"/>
      <c r="H245" s="155"/>
      <c r="I245" s="157"/>
      <c r="J245" s="155"/>
      <c r="K245" s="155"/>
      <c r="L245" s="155"/>
      <c r="M245" s="155"/>
    </row>
    <row r="246" spans="1:13">
      <c r="A246" s="4"/>
      <c r="B246" s="24" t="s">
        <v>245</v>
      </c>
      <c r="C246" s="132" t="s">
        <v>362</v>
      </c>
      <c r="D246" s="3" t="s">
        <v>27</v>
      </c>
      <c r="E246" s="3"/>
      <c r="F246" s="45">
        <f>20*0.0324</f>
        <v>0.64799999999999991</v>
      </c>
      <c r="G246" s="155"/>
      <c r="H246" s="155">
        <f t="shared" ref="H246:H252" si="12">G246*F246</f>
        <v>0</v>
      </c>
      <c r="I246" s="157"/>
      <c r="J246" s="155"/>
      <c r="K246" s="155"/>
      <c r="L246" s="155"/>
      <c r="M246" s="155">
        <f t="shared" ref="M246:M252" si="13">H246+J246+L246</f>
        <v>0</v>
      </c>
    </row>
    <row r="247" spans="1:13">
      <c r="A247" s="4"/>
      <c r="B247" s="24" t="s">
        <v>275</v>
      </c>
      <c r="C247" s="132" t="s">
        <v>362</v>
      </c>
      <c r="D247" s="3" t="s">
        <v>27</v>
      </c>
      <c r="E247" s="3"/>
      <c r="F247" s="45">
        <f>16*0.00274</f>
        <v>4.3839999999999997E-2</v>
      </c>
      <c r="G247" s="155"/>
      <c r="H247" s="155">
        <f>G247*F247</f>
        <v>0</v>
      </c>
      <c r="I247" s="157"/>
      <c r="J247" s="155"/>
      <c r="K247" s="155"/>
      <c r="L247" s="155"/>
      <c r="M247" s="155">
        <f t="shared" si="13"/>
        <v>0</v>
      </c>
    </row>
    <row r="248" spans="1:13">
      <c r="A248" s="4"/>
      <c r="B248" s="24" t="s">
        <v>246</v>
      </c>
      <c r="C248" s="132" t="s">
        <v>363</v>
      </c>
      <c r="D248" s="3" t="s">
        <v>27</v>
      </c>
      <c r="E248" s="3"/>
      <c r="F248" s="45">
        <f>45*2.998/1000</f>
        <v>0.13491</v>
      </c>
      <c r="G248" s="157"/>
      <c r="H248" s="155">
        <f t="shared" si="12"/>
        <v>0</v>
      </c>
      <c r="I248" s="157"/>
      <c r="J248" s="155"/>
      <c r="K248" s="155"/>
      <c r="L248" s="155"/>
      <c r="M248" s="155">
        <f t="shared" si="13"/>
        <v>0</v>
      </c>
    </row>
    <row r="249" spans="1:13">
      <c r="A249" s="4"/>
      <c r="B249" s="24" t="s">
        <v>247</v>
      </c>
      <c r="C249" s="132" t="s">
        <v>364</v>
      </c>
      <c r="D249" s="25" t="s">
        <v>27</v>
      </c>
      <c r="E249" s="27"/>
      <c r="F249" s="104">
        <f>0.2*0.1*0.1142*21</f>
        <v>4.7964000000000007E-2</v>
      </c>
      <c r="G249" s="157"/>
      <c r="H249" s="155">
        <f t="shared" si="12"/>
        <v>0</v>
      </c>
      <c r="I249" s="157"/>
      <c r="J249" s="155"/>
      <c r="K249" s="155"/>
      <c r="L249" s="155"/>
      <c r="M249" s="155">
        <f t="shared" si="13"/>
        <v>0</v>
      </c>
    </row>
    <row r="250" spans="1:13">
      <c r="A250" s="4"/>
      <c r="B250" s="24" t="s">
        <v>248</v>
      </c>
      <c r="C250" s="132" t="s">
        <v>364</v>
      </c>
      <c r="D250" s="25" t="s">
        <v>27</v>
      </c>
      <c r="E250" s="26"/>
      <c r="F250" s="104">
        <f>0.1*0.1*0.1142*21</f>
        <v>2.3982000000000003E-2</v>
      </c>
      <c r="G250" s="157"/>
      <c r="H250" s="155">
        <f t="shared" si="12"/>
        <v>0</v>
      </c>
      <c r="I250" s="157"/>
      <c r="J250" s="155"/>
      <c r="K250" s="155"/>
      <c r="L250" s="155"/>
      <c r="M250" s="155">
        <f t="shared" si="13"/>
        <v>0</v>
      </c>
    </row>
    <row r="251" spans="1:13">
      <c r="A251" s="4"/>
      <c r="B251" s="73" t="s">
        <v>262</v>
      </c>
      <c r="C251" s="132" t="s">
        <v>365</v>
      </c>
      <c r="D251" s="25" t="s">
        <v>249</v>
      </c>
      <c r="E251" s="26">
        <v>13.9</v>
      </c>
      <c r="F251" s="43">
        <f>E251*F242</f>
        <v>12.491874399999999</v>
      </c>
      <c r="G251" s="157"/>
      <c r="H251" s="157">
        <f t="shared" si="12"/>
        <v>0</v>
      </c>
      <c r="I251" s="157"/>
      <c r="J251" s="155"/>
      <c r="K251" s="155"/>
      <c r="L251" s="155"/>
      <c r="M251" s="155">
        <f t="shared" si="13"/>
        <v>0</v>
      </c>
    </row>
    <row r="252" spans="1:13">
      <c r="A252" s="4"/>
      <c r="B252" s="73" t="s">
        <v>42</v>
      </c>
      <c r="C252" s="138"/>
      <c r="D252" s="25" t="s">
        <v>0</v>
      </c>
      <c r="E252" s="26">
        <v>0.35</v>
      </c>
      <c r="F252" s="43">
        <f>E252*F242</f>
        <v>0.31454359999999998</v>
      </c>
      <c r="G252" s="157"/>
      <c r="H252" s="157">
        <f t="shared" si="12"/>
        <v>0</v>
      </c>
      <c r="I252" s="157"/>
      <c r="J252" s="155"/>
      <c r="K252" s="155"/>
      <c r="L252" s="155"/>
      <c r="M252" s="155">
        <f t="shared" si="13"/>
        <v>0</v>
      </c>
    </row>
    <row r="253" spans="1:13" ht="40.5">
      <c r="A253" s="106">
        <v>4</v>
      </c>
      <c r="B253" s="85" t="s">
        <v>250</v>
      </c>
      <c r="C253" s="184" t="s">
        <v>354</v>
      </c>
      <c r="D253" s="20" t="s">
        <v>5</v>
      </c>
      <c r="E253" s="20"/>
      <c r="F253" s="103">
        <f>0.15*3.14*45*0.05</f>
        <v>1.05975</v>
      </c>
      <c r="G253" s="155"/>
      <c r="H253" s="155"/>
      <c r="I253" s="157"/>
      <c r="J253" s="155"/>
      <c r="K253" s="155"/>
      <c r="L253" s="155"/>
      <c r="M253" s="164"/>
    </row>
    <row r="254" spans="1:13">
      <c r="A254" s="107"/>
      <c r="B254" s="24" t="s">
        <v>244</v>
      </c>
      <c r="C254" s="184"/>
      <c r="D254" s="182" t="s">
        <v>355</v>
      </c>
      <c r="E254" s="3">
        <v>13.8</v>
      </c>
      <c r="F254" s="43">
        <f>E254*F253</f>
        <v>14.624550000000001</v>
      </c>
      <c r="G254" s="155"/>
      <c r="H254" s="155"/>
      <c r="I254" s="157"/>
      <c r="J254" s="155">
        <f>F254*I254</f>
        <v>0</v>
      </c>
      <c r="K254" s="155"/>
      <c r="L254" s="155"/>
      <c r="M254" s="155">
        <f>H254+J254+L254</f>
        <v>0</v>
      </c>
    </row>
    <row r="255" spans="1:13">
      <c r="A255" s="122"/>
      <c r="B255" s="189" t="s">
        <v>26</v>
      </c>
      <c r="C255" s="139"/>
      <c r="D255" s="190" t="s">
        <v>0</v>
      </c>
      <c r="E255" s="191">
        <v>0.17</v>
      </c>
      <c r="F255" s="192">
        <f>E255*F253</f>
        <v>0.1801575</v>
      </c>
      <c r="G255" s="173"/>
      <c r="H255" s="173"/>
      <c r="I255" s="174"/>
      <c r="J255" s="173"/>
      <c r="K255" s="193"/>
      <c r="L255" s="193">
        <f>K255*F255</f>
        <v>0</v>
      </c>
      <c r="M255" s="193">
        <f>H255+J255+L255</f>
        <v>0</v>
      </c>
    </row>
    <row r="256" spans="1:13">
      <c r="A256" s="107"/>
      <c r="B256" s="182" t="s">
        <v>41</v>
      </c>
      <c r="C256" s="131"/>
      <c r="D256" s="3"/>
      <c r="E256" s="3"/>
      <c r="F256" s="43"/>
      <c r="G256" s="155"/>
      <c r="H256" s="155"/>
      <c r="I256" s="157"/>
      <c r="J256" s="155"/>
      <c r="K256" s="155"/>
      <c r="L256" s="155"/>
      <c r="M256" s="155"/>
    </row>
    <row r="257" spans="1:13">
      <c r="A257" s="107"/>
      <c r="B257" s="24" t="s">
        <v>252</v>
      </c>
      <c r="C257" s="132" t="s">
        <v>356</v>
      </c>
      <c r="D257" s="3" t="s">
        <v>5</v>
      </c>
      <c r="E257" s="3">
        <v>1.03</v>
      </c>
      <c r="F257" s="43">
        <f>F253*E257</f>
        <v>1.0915425000000001</v>
      </c>
      <c r="G257" s="155"/>
      <c r="H257" s="155">
        <f>F257*G257</f>
        <v>0</v>
      </c>
      <c r="I257" s="157"/>
      <c r="J257" s="155"/>
      <c r="K257" s="155"/>
      <c r="L257" s="155"/>
      <c r="M257" s="155">
        <f>H257+J257+L257</f>
        <v>0</v>
      </c>
    </row>
    <row r="258" spans="1:13">
      <c r="A258" s="107"/>
      <c r="B258" s="24" t="s">
        <v>253</v>
      </c>
      <c r="C258" s="131" t="s">
        <v>31</v>
      </c>
      <c r="D258" s="3" t="s">
        <v>249</v>
      </c>
      <c r="E258" s="3">
        <v>1</v>
      </c>
      <c r="F258" s="43">
        <f>E258*F253</f>
        <v>1.05975</v>
      </c>
      <c r="G258" s="155"/>
      <c r="H258" s="155">
        <f>F258*G258</f>
        <v>0</v>
      </c>
      <c r="I258" s="157"/>
      <c r="J258" s="155"/>
      <c r="K258" s="155"/>
      <c r="L258" s="155"/>
      <c r="M258" s="155">
        <f>H258+J258+L258</f>
        <v>0</v>
      </c>
    </row>
    <row r="259" spans="1:13" ht="27">
      <c r="A259" s="4">
        <v>5</v>
      </c>
      <c r="B259" s="21" t="s">
        <v>254</v>
      </c>
      <c r="C259" s="132" t="s">
        <v>344</v>
      </c>
      <c r="D259" s="20" t="s">
        <v>251</v>
      </c>
      <c r="E259" s="74"/>
      <c r="F259" s="46">
        <f>0.7*45</f>
        <v>31.499999999999996</v>
      </c>
      <c r="G259" s="155"/>
      <c r="H259" s="155"/>
      <c r="I259" s="157"/>
      <c r="J259" s="155"/>
      <c r="K259" s="155"/>
      <c r="L259" s="155"/>
      <c r="M259" s="164"/>
    </row>
    <row r="260" spans="1:13">
      <c r="A260" s="4"/>
      <c r="B260" s="24" t="s">
        <v>244</v>
      </c>
      <c r="C260" s="184"/>
      <c r="D260" s="25" t="s">
        <v>46</v>
      </c>
      <c r="E260" s="27">
        <f>0.388</f>
        <v>0.38800000000000001</v>
      </c>
      <c r="F260" s="45">
        <f>E260*F259</f>
        <v>12.222</v>
      </c>
      <c r="G260" s="155"/>
      <c r="H260" s="155"/>
      <c r="I260" s="157"/>
      <c r="J260" s="155">
        <f>I260*F260</f>
        <v>0</v>
      </c>
      <c r="K260" s="155"/>
      <c r="L260" s="155"/>
      <c r="M260" s="155">
        <f>H260+J260+L260</f>
        <v>0</v>
      </c>
    </row>
    <row r="261" spans="1:13">
      <c r="A261" s="4"/>
      <c r="B261" s="24" t="s">
        <v>26</v>
      </c>
      <c r="C261" s="184"/>
      <c r="D261" s="25" t="s">
        <v>0</v>
      </c>
      <c r="E261" s="3">
        <f>0.003</f>
        <v>3.0000000000000001E-3</v>
      </c>
      <c r="F261" s="43">
        <f>E261*F259</f>
        <v>9.4499999999999987E-2</v>
      </c>
      <c r="G261" s="155"/>
      <c r="H261" s="155"/>
      <c r="I261" s="157"/>
      <c r="J261" s="155"/>
      <c r="K261" s="155"/>
      <c r="L261" s="155">
        <f>K261*F261</f>
        <v>0</v>
      </c>
      <c r="M261" s="155">
        <f>H261+J261+L261</f>
        <v>0</v>
      </c>
    </row>
    <row r="262" spans="1:13">
      <c r="A262" s="4"/>
      <c r="B262" s="182" t="s">
        <v>41</v>
      </c>
      <c r="C262" s="184"/>
      <c r="D262" s="3"/>
      <c r="E262" s="3"/>
      <c r="F262" s="43"/>
      <c r="G262" s="155"/>
      <c r="H262" s="155"/>
      <c r="I262" s="157"/>
      <c r="J262" s="155"/>
      <c r="K262" s="155"/>
      <c r="L262" s="155"/>
      <c r="M262" s="155"/>
    </row>
    <row r="263" spans="1:13">
      <c r="A263" s="4"/>
      <c r="B263" s="24" t="s">
        <v>255</v>
      </c>
      <c r="C263" s="132" t="s">
        <v>366</v>
      </c>
      <c r="D263" s="25" t="s">
        <v>249</v>
      </c>
      <c r="E263" s="26">
        <f>0.251+0.002+0.027</f>
        <v>0.28000000000000003</v>
      </c>
      <c r="F263" s="105">
        <f>E263*F259</f>
        <v>8.82</v>
      </c>
      <c r="G263" s="157"/>
      <c r="H263" s="155">
        <f>G263*F263</f>
        <v>0</v>
      </c>
      <c r="I263" s="157"/>
      <c r="J263" s="155"/>
      <c r="K263" s="155"/>
      <c r="L263" s="155"/>
      <c r="M263" s="155">
        <f>H263+J263+L263</f>
        <v>0</v>
      </c>
    </row>
    <row r="264" spans="1:13">
      <c r="A264" s="4"/>
      <c r="B264" s="73" t="s">
        <v>42</v>
      </c>
      <c r="C264" s="138"/>
      <c r="D264" s="25" t="s">
        <v>0</v>
      </c>
      <c r="E264" s="108">
        <v>1.9E-3</v>
      </c>
      <c r="F264" s="43">
        <f>E264*F259</f>
        <v>5.9849999999999993E-2</v>
      </c>
      <c r="G264" s="157"/>
      <c r="H264" s="157">
        <f>G264*F264</f>
        <v>0</v>
      </c>
      <c r="I264" s="157"/>
      <c r="J264" s="155"/>
      <c r="K264" s="155"/>
      <c r="L264" s="155"/>
      <c r="M264" s="155">
        <f>H264+J264+L264</f>
        <v>0</v>
      </c>
    </row>
    <row r="265" spans="1:13" ht="27">
      <c r="A265" s="4">
        <v>6</v>
      </c>
      <c r="B265" s="21" t="s">
        <v>270</v>
      </c>
      <c r="C265" s="132" t="s">
        <v>345</v>
      </c>
      <c r="D265" s="20" t="s">
        <v>346</v>
      </c>
      <c r="E265" s="74"/>
      <c r="F265" s="46">
        <f>0.7*45</f>
        <v>31.499999999999996</v>
      </c>
      <c r="G265" s="155"/>
      <c r="H265" s="155"/>
      <c r="I265" s="157"/>
      <c r="J265" s="155"/>
      <c r="K265" s="155"/>
      <c r="L265" s="155"/>
      <c r="M265" s="164"/>
    </row>
    <row r="266" spans="1:13">
      <c r="A266" s="4"/>
      <c r="B266" s="24" t="s">
        <v>244</v>
      </c>
      <c r="C266" s="184"/>
      <c r="D266" s="25" t="s">
        <v>46</v>
      </c>
      <c r="E266" s="27">
        <f>103*0.01</f>
        <v>1.03</v>
      </c>
      <c r="F266" s="45">
        <f>E266*F265</f>
        <v>32.445</v>
      </c>
      <c r="G266" s="155"/>
      <c r="H266" s="155"/>
      <c r="I266" s="157"/>
      <c r="J266" s="155">
        <f>I266*F266</f>
        <v>0</v>
      </c>
      <c r="K266" s="155"/>
      <c r="L266" s="155"/>
      <c r="M266" s="155">
        <f>H266+J266+L266</f>
        <v>0</v>
      </c>
    </row>
    <row r="267" spans="1:13">
      <c r="A267" s="4"/>
      <c r="B267" s="24" t="s">
        <v>26</v>
      </c>
      <c r="C267" s="184"/>
      <c r="D267" s="25" t="s">
        <v>0</v>
      </c>
      <c r="E267" s="3">
        <f>0.12*0.01</f>
        <v>1.1999999999999999E-3</v>
      </c>
      <c r="F267" s="43">
        <f>E267*F265</f>
        <v>3.7799999999999993E-2</v>
      </c>
      <c r="G267" s="155"/>
      <c r="H267" s="155"/>
      <c r="I267" s="157"/>
      <c r="J267" s="155"/>
      <c r="K267" s="155"/>
      <c r="L267" s="155">
        <f>K267*F267</f>
        <v>0</v>
      </c>
      <c r="M267" s="155">
        <f>H267+J267+L267</f>
        <v>0</v>
      </c>
    </row>
    <row r="268" spans="1:13">
      <c r="A268" s="4"/>
      <c r="B268" s="73" t="s">
        <v>42</v>
      </c>
      <c r="C268" s="138"/>
      <c r="D268" s="25" t="s">
        <v>0</v>
      </c>
      <c r="E268" s="108">
        <f>1.3*0.01</f>
        <v>1.3000000000000001E-2</v>
      </c>
      <c r="F268" s="43">
        <f>E268*F265</f>
        <v>0.40949999999999998</v>
      </c>
      <c r="G268" s="157"/>
      <c r="H268" s="157">
        <f>G268*F268</f>
        <v>0</v>
      </c>
      <c r="I268" s="157"/>
      <c r="J268" s="155"/>
      <c r="K268" s="155"/>
      <c r="L268" s="155"/>
      <c r="M268" s="155">
        <f>H268+J268+L268</f>
        <v>0</v>
      </c>
    </row>
    <row r="269" spans="1:13">
      <c r="A269" s="4"/>
      <c r="B269" s="85" t="s">
        <v>357</v>
      </c>
      <c r="C269" s="140"/>
      <c r="D269" s="4"/>
      <c r="E269" s="4"/>
      <c r="F269" s="4"/>
      <c r="G269" s="157"/>
      <c r="H269" s="152">
        <f>SUM(H232:H268)</f>
        <v>0</v>
      </c>
      <c r="I269" s="152"/>
      <c r="J269" s="152">
        <f>SUM(J233:J268)</f>
        <v>0</v>
      </c>
      <c r="K269" s="152"/>
      <c r="L269" s="152">
        <f>SUM(L233:L268)</f>
        <v>0</v>
      </c>
      <c r="M269" s="152">
        <f>SUM(M232:M268)</f>
        <v>0</v>
      </c>
    </row>
    <row r="270" spans="1:13">
      <c r="A270" s="102"/>
      <c r="B270" s="123" t="s">
        <v>274</v>
      </c>
      <c r="C270" s="141"/>
      <c r="D270" s="124" t="s">
        <v>79</v>
      </c>
      <c r="E270" s="78"/>
      <c r="F270" s="124">
        <v>2</v>
      </c>
      <c r="G270" s="175"/>
      <c r="H270" s="152">
        <f>H269*F270</f>
        <v>0</v>
      </c>
      <c r="I270" s="152"/>
      <c r="J270" s="152">
        <f>J269*F270</f>
        <v>0</v>
      </c>
      <c r="K270" s="152"/>
      <c r="L270" s="152">
        <f>L269*F270</f>
        <v>0</v>
      </c>
      <c r="M270" s="152">
        <f>M269*F270</f>
        <v>0</v>
      </c>
    </row>
    <row r="271" spans="1:13">
      <c r="A271" s="250" t="s">
        <v>178</v>
      </c>
      <c r="B271" s="251"/>
      <c r="C271" s="251"/>
      <c r="D271" s="251"/>
      <c r="E271" s="251"/>
      <c r="F271" s="251"/>
      <c r="G271" s="251"/>
      <c r="H271" s="251"/>
      <c r="I271" s="251"/>
      <c r="J271" s="251"/>
      <c r="K271" s="251"/>
      <c r="L271" s="251"/>
      <c r="M271" s="252"/>
    </row>
    <row r="272" spans="1:13" ht="40.5">
      <c r="A272" s="10">
        <v>1</v>
      </c>
      <c r="B272" s="11" t="s">
        <v>80</v>
      </c>
      <c r="C272" s="134" t="s">
        <v>300</v>
      </c>
      <c r="D272" s="12" t="s">
        <v>5</v>
      </c>
      <c r="E272" s="13"/>
      <c r="F272" s="14">
        <v>3.5</v>
      </c>
      <c r="G272" s="157"/>
      <c r="H272" s="157"/>
      <c r="I272" s="157"/>
      <c r="J272" s="157"/>
      <c r="K272" s="157"/>
      <c r="L272" s="157"/>
      <c r="M272" s="152"/>
    </row>
    <row r="273" spans="1:13">
      <c r="A273" s="15"/>
      <c r="B273" s="16" t="s">
        <v>3</v>
      </c>
      <c r="C273" s="133"/>
      <c r="D273" s="18" t="s">
        <v>4</v>
      </c>
      <c r="E273" s="19">
        <v>2.1499999999999998E-2</v>
      </c>
      <c r="F273" s="115">
        <f>E273*F272</f>
        <v>7.5249999999999997E-2</v>
      </c>
      <c r="G273" s="157"/>
      <c r="H273" s="157"/>
      <c r="I273" s="157"/>
      <c r="J273" s="157">
        <f>I273*F273</f>
        <v>0</v>
      </c>
      <c r="K273" s="157"/>
      <c r="L273" s="157"/>
      <c r="M273" s="152">
        <f>L273+J273+H273</f>
        <v>0</v>
      </c>
    </row>
    <row r="274" spans="1:13">
      <c r="A274" s="15"/>
      <c r="B274" s="16" t="s">
        <v>64</v>
      </c>
      <c r="C274" s="132" t="s">
        <v>281</v>
      </c>
      <c r="D274" s="15" t="s">
        <v>63</v>
      </c>
      <c r="E274" s="19">
        <v>4.82E-2</v>
      </c>
      <c r="F274" s="115">
        <f>E274*F272</f>
        <v>0.16869999999999999</v>
      </c>
      <c r="G274" s="157"/>
      <c r="H274" s="157"/>
      <c r="I274" s="157"/>
      <c r="J274" s="157"/>
      <c r="K274" s="157"/>
      <c r="L274" s="157">
        <f>K274*F274</f>
        <v>0</v>
      </c>
      <c r="M274" s="152">
        <f>L274+J274+H274</f>
        <v>0</v>
      </c>
    </row>
    <row r="275" spans="1:13">
      <c r="A275" s="15"/>
      <c r="B275" s="16" t="s">
        <v>70</v>
      </c>
      <c r="C275" s="133"/>
      <c r="D275" s="15" t="s">
        <v>71</v>
      </c>
      <c r="E275" s="19">
        <v>0.01</v>
      </c>
      <c r="F275" s="115">
        <f>E275*F272</f>
        <v>3.5000000000000003E-2</v>
      </c>
      <c r="G275" s="157"/>
      <c r="H275" s="157">
        <f>G275*F275</f>
        <v>0</v>
      </c>
      <c r="I275" s="157"/>
      <c r="J275" s="157"/>
      <c r="K275" s="157"/>
      <c r="L275" s="157"/>
      <c r="M275" s="152">
        <f>L275+J275+H275</f>
        <v>0</v>
      </c>
    </row>
    <row r="276" spans="1:13" ht="58.5">
      <c r="A276" s="20">
        <v>2</v>
      </c>
      <c r="B276" s="21" t="s">
        <v>90</v>
      </c>
      <c r="C276" s="132" t="s">
        <v>317</v>
      </c>
      <c r="D276" s="22" t="s">
        <v>5</v>
      </c>
      <c r="E276" s="22"/>
      <c r="F276" s="14">
        <v>0.1545</v>
      </c>
      <c r="G276" s="157"/>
      <c r="H276" s="157"/>
      <c r="I276" s="157"/>
      <c r="J276" s="157"/>
      <c r="K276" s="157"/>
      <c r="L276" s="157"/>
      <c r="M276" s="152"/>
    </row>
    <row r="277" spans="1:13">
      <c r="A277" s="3"/>
      <c r="B277" s="24" t="s">
        <v>3</v>
      </c>
      <c r="C277" s="184"/>
      <c r="D277" s="25" t="s">
        <v>4</v>
      </c>
      <c r="E277" s="25">
        <f>7.4*0.8*1.1</f>
        <v>6.5120000000000013</v>
      </c>
      <c r="F277" s="26">
        <f>E277*F276</f>
        <v>1.0061040000000001</v>
      </c>
      <c r="G277" s="157"/>
      <c r="H277" s="157"/>
      <c r="I277" s="157"/>
      <c r="J277" s="157">
        <f>I277*F277</f>
        <v>0</v>
      </c>
      <c r="K277" s="157"/>
      <c r="L277" s="157"/>
      <c r="M277" s="152">
        <f>L277+J277+H277</f>
        <v>0</v>
      </c>
    </row>
    <row r="278" spans="1:13">
      <c r="A278" s="20">
        <v>3</v>
      </c>
      <c r="B278" s="34" t="s">
        <v>95</v>
      </c>
      <c r="C278" s="188" t="s">
        <v>318</v>
      </c>
      <c r="D278" s="20" t="s">
        <v>5</v>
      </c>
      <c r="E278" s="20"/>
      <c r="F278" s="74">
        <v>0.34</v>
      </c>
      <c r="G278" s="157"/>
      <c r="H278" s="157"/>
      <c r="I278" s="157"/>
      <c r="J278" s="157"/>
      <c r="K278" s="157"/>
      <c r="L278" s="157"/>
      <c r="M278" s="152"/>
    </row>
    <row r="279" spans="1:13">
      <c r="A279" s="20"/>
      <c r="B279" s="24" t="s">
        <v>3</v>
      </c>
      <c r="C279" s="132"/>
      <c r="D279" s="25" t="s">
        <v>4</v>
      </c>
      <c r="E279" s="25">
        <f>17.8*0.1</f>
        <v>1.7800000000000002</v>
      </c>
      <c r="F279" s="26">
        <f>E279*F278</f>
        <v>0.60520000000000018</v>
      </c>
      <c r="G279" s="157"/>
      <c r="H279" s="157"/>
      <c r="I279" s="157"/>
      <c r="J279" s="157">
        <f>I279*F279</f>
        <v>0</v>
      </c>
      <c r="K279" s="157"/>
      <c r="L279" s="157"/>
      <c r="M279" s="152">
        <f t="shared" ref="M279:M289" si="14">L279+J279+H279</f>
        <v>0</v>
      </c>
    </row>
    <row r="280" spans="1:13">
      <c r="A280" s="20"/>
      <c r="B280" s="24" t="s">
        <v>263</v>
      </c>
      <c r="C280" s="132" t="s">
        <v>319</v>
      </c>
      <c r="D280" s="25" t="s">
        <v>5</v>
      </c>
      <c r="E280" s="25">
        <v>1.1000000000000001</v>
      </c>
      <c r="F280" s="26">
        <f>E280*F278</f>
        <v>0.37400000000000005</v>
      </c>
      <c r="G280" s="157"/>
      <c r="H280" s="157">
        <f>G280*F280</f>
        <v>0</v>
      </c>
      <c r="I280" s="157"/>
      <c r="J280" s="157"/>
      <c r="K280" s="157"/>
      <c r="L280" s="157"/>
      <c r="M280" s="152">
        <f t="shared" si="14"/>
        <v>0</v>
      </c>
    </row>
    <row r="281" spans="1:13" ht="54">
      <c r="A281" s="3">
        <v>4</v>
      </c>
      <c r="B281" s="85" t="s">
        <v>173</v>
      </c>
      <c r="C281" s="132" t="s">
        <v>320</v>
      </c>
      <c r="D281" s="20" t="s">
        <v>57</v>
      </c>
      <c r="E281" s="182"/>
      <c r="F281" s="74">
        <v>4.1500000000000004</v>
      </c>
      <c r="G281" s="155"/>
      <c r="H281" s="157"/>
      <c r="I281" s="155"/>
      <c r="J281" s="157"/>
      <c r="K281" s="155"/>
      <c r="L281" s="157"/>
      <c r="M281" s="152">
        <f t="shared" si="14"/>
        <v>0</v>
      </c>
    </row>
    <row r="282" spans="1:13">
      <c r="A282" s="4"/>
      <c r="B282" s="73" t="s">
        <v>53</v>
      </c>
      <c r="C282" s="142"/>
      <c r="D282" s="25" t="s">
        <v>4</v>
      </c>
      <c r="E282" s="64">
        <f>106*0.1</f>
        <v>10.600000000000001</v>
      </c>
      <c r="F282" s="26">
        <f>E282*F281</f>
        <v>43.990000000000009</v>
      </c>
      <c r="G282" s="155"/>
      <c r="H282" s="157"/>
      <c r="I282" s="157"/>
      <c r="J282" s="157">
        <f>I282*F282</f>
        <v>0</v>
      </c>
      <c r="K282" s="155"/>
      <c r="L282" s="157"/>
      <c r="M282" s="152">
        <f t="shared" si="14"/>
        <v>0</v>
      </c>
    </row>
    <row r="283" spans="1:13">
      <c r="A283" s="5"/>
      <c r="B283" s="73" t="s">
        <v>26</v>
      </c>
      <c r="C283" s="142"/>
      <c r="D283" s="25" t="s">
        <v>0</v>
      </c>
      <c r="E283" s="182">
        <f>71.1*0.1</f>
        <v>7.1099999999999994</v>
      </c>
      <c r="F283" s="43">
        <f>F281*E283</f>
        <v>29.506499999999999</v>
      </c>
      <c r="G283" s="155"/>
      <c r="H283" s="157"/>
      <c r="I283" s="155"/>
      <c r="J283" s="157"/>
      <c r="K283" s="155"/>
      <c r="L283" s="157">
        <f>K283*F283</f>
        <v>0</v>
      </c>
      <c r="M283" s="152">
        <f t="shared" si="14"/>
        <v>0</v>
      </c>
    </row>
    <row r="284" spans="1:13">
      <c r="A284" s="4"/>
      <c r="B284" s="73" t="s">
        <v>62</v>
      </c>
      <c r="C284" s="184" t="s">
        <v>321</v>
      </c>
      <c r="D284" s="25" t="s">
        <v>56</v>
      </c>
      <c r="E284" s="64"/>
      <c r="F284" s="26">
        <v>4</v>
      </c>
      <c r="G284" s="157"/>
      <c r="H284" s="157">
        <f t="shared" ref="H284:H289" si="15">G284*F284</f>
        <v>0</v>
      </c>
      <c r="I284" s="157"/>
      <c r="J284" s="157"/>
      <c r="K284" s="157"/>
      <c r="L284" s="157"/>
      <c r="M284" s="152">
        <f t="shared" si="14"/>
        <v>0</v>
      </c>
    </row>
    <row r="285" spans="1:13" ht="27">
      <c r="A285" s="4"/>
      <c r="B285" s="73" t="s">
        <v>328</v>
      </c>
      <c r="C285" s="184" t="s">
        <v>322</v>
      </c>
      <c r="D285" s="25" t="s">
        <v>8</v>
      </c>
      <c r="E285" s="64"/>
      <c r="F285" s="26">
        <v>4</v>
      </c>
      <c r="G285" s="157"/>
      <c r="H285" s="157">
        <f t="shared" si="15"/>
        <v>0</v>
      </c>
      <c r="I285" s="157"/>
      <c r="J285" s="157"/>
      <c r="K285" s="157"/>
      <c r="L285" s="157"/>
      <c r="M285" s="152">
        <f t="shared" si="14"/>
        <v>0</v>
      </c>
    </row>
    <row r="286" spans="1:13">
      <c r="A286" s="4"/>
      <c r="B286" s="73" t="s">
        <v>329</v>
      </c>
      <c r="C286" s="184" t="s">
        <v>323</v>
      </c>
      <c r="D286" s="25" t="s">
        <v>8</v>
      </c>
      <c r="E286" s="64"/>
      <c r="F286" s="26">
        <v>4</v>
      </c>
      <c r="G286" s="157"/>
      <c r="H286" s="157">
        <f t="shared" si="15"/>
        <v>0</v>
      </c>
      <c r="I286" s="157"/>
      <c r="J286" s="157"/>
      <c r="K286" s="157"/>
      <c r="L286" s="157"/>
      <c r="M286" s="152">
        <f t="shared" si="14"/>
        <v>0</v>
      </c>
    </row>
    <row r="287" spans="1:13">
      <c r="A287" s="4"/>
      <c r="B287" s="73" t="s">
        <v>326</v>
      </c>
      <c r="C287" s="184" t="s">
        <v>324</v>
      </c>
      <c r="D287" s="25" t="s">
        <v>27</v>
      </c>
      <c r="E287" s="194">
        <f>0.61*0.1</f>
        <v>6.0999999999999999E-2</v>
      </c>
      <c r="F287" s="26">
        <f>E287*F281</f>
        <v>0.25315000000000004</v>
      </c>
      <c r="G287" s="157"/>
      <c r="H287" s="157">
        <f t="shared" si="15"/>
        <v>0</v>
      </c>
      <c r="I287" s="157"/>
      <c r="J287" s="157"/>
      <c r="K287" s="157"/>
      <c r="L287" s="157"/>
      <c r="M287" s="152">
        <f t="shared" si="14"/>
        <v>0</v>
      </c>
    </row>
    <row r="288" spans="1:13">
      <c r="A288" s="4"/>
      <c r="B288" s="73" t="s">
        <v>327</v>
      </c>
      <c r="C288" s="184" t="s">
        <v>325</v>
      </c>
      <c r="D288" s="25" t="s">
        <v>5</v>
      </c>
      <c r="E288" s="64">
        <f>1.57*0.1</f>
        <v>0.15700000000000003</v>
      </c>
      <c r="F288" s="26">
        <f>E288*F281</f>
        <v>0.65155000000000018</v>
      </c>
      <c r="G288" s="157"/>
      <c r="H288" s="157">
        <f t="shared" si="15"/>
        <v>0</v>
      </c>
      <c r="I288" s="157"/>
      <c r="J288" s="157"/>
      <c r="K288" s="157"/>
      <c r="L288" s="157"/>
      <c r="M288" s="152">
        <f t="shared" si="14"/>
        <v>0</v>
      </c>
    </row>
    <row r="289" spans="1:13">
      <c r="A289" s="4"/>
      <c r="B289" s="73" t="s">
        <v>42</v>
      </c>
      <c r="C289" s="142"/>
      <c r="D289" s="25" t="s">
        <v>0</v>
      </c>
      <c r="E289" s="64">
        <v>6.61</v>
      </c>
      <c r="F289" s="26">
        <f>F281*E289</f>
        <v>27.431500000000003</v>
      </c>
      <c r="G289" s="155"/>
      <c r="H289" s="157">
        <f t="shared" si="15"/>
        <v>0</v>
      </c>
      <c r="I289" s="157"/>
      <c r="J289" s="157"/>
      <c r="K289" s="157"/>
      <c r="L289" s="157"/>
      <c r="M289" s="152">
        <f t="shared" si="14"/>
        <v>0</v>
      </c>
    </row>
    <row r="290" spans="1:13" ht="54">
      <c r="A290" s="3">
        <v>5</v>
      </c>
      <c r="B290" s="85" t="s">
        <v>177</v>
      </c>
      <c r="C290" s="132" t="s">
        <v>320</v>
      </c>
      <c r="D290" s="20" t="s">
        <v>57</v>
      </c>
      <c r="E290" s="182"/>
      <c r="F290" s="74">
        <v>2.5099999999999998</v>
      </c>
      <c r="G290" s="155"/>
      <c r="H290" s="157"/>
      <c r="I290" s="155"/>
      <c r="J290" s="157"/>
      <c r="K290" s="155"/>
      <c r="L290" s="157"/>
      <c r="M290" s="152"/>
    </row>
    <row r="291" spans="1:13">
      <c r="A291" s="4"/>
      <c r="B291" s="73" t="s">
        <v>53</v>
      </c>
      <c r="C291" s="142"/>
      <c r="D291" s="25" t="s">
        <v>4</v>
      </c>
      <c r="E291" s="64">
        <f>106*0.1</f>
        <v>10.600000000000001</v>
      </c>
      <c r="F291" s="26">
        <f>F290*E291</f>
        <v>26.606000000000002</v>
      </c>
      <c r="G291" s="155"/>
      <c r="H291" s="157"/>
      <c r="I291" s="157"/>
      <c r="J291" s="157">
        <f>I291*F291</f>
        <v>0</v>
      </c>
      <c r="K291" s="155"/>
      <c r="L291" s="157"/>
      <c r="M291" s="152">
        <f t="shared" ref="M291:M298" si="16">L291+J291+H291</f>
        <v>0</v>
      </c>
    </row>
    <row r="292" spans="1:13">
      <c r="A292" s="5"/>
      <c r="B292" s="73" t="s">
        <v>26</v>
      </c>
      <c r="C292" s="142"/>
      <c r="D292" s="25" t="s">
        <v>0</v>
      </c>
      <c r="E292" s="182">
        <f>71.1*0.1</f>
        <v>7.1099999999999994</v>
      </c>
      <c r="F292" s="43">
        <f>F290*E292</f>
        <v>17.846099999999996</v>
      </c>
      <c r="G292" s="155"/>
      <c r="H292" s="157"/>
      <c r="I292" s="155"/>
      <c r="J292" s="157"/>
      <c r="K292" s="155"/>
      <c r="L292" s="157">
        <f>K292*F292</f>
        <v>0</v>
      </c>
      <c r="M292" s="152">
        <f t="shared" si="16"/>
        <v>0</v>
      </c>
    </row>
    <row r="293" spans="1:13">
      <c r="A293" s="4"/>
      <c r="B293" s="73" t="s">
        <v>179</v>
      </c>
      <c r="C293" s="184" t="s">
        <v>330</v>
      </c>
      <c r="D293" s="25" t="s">
        <v>8</v>
      </c>
      <c r="E293" s="64"/>
      <c r="F293" s="26">
        <v>4</v>
      </c>
      <c r="G293" s="157"/>
      <c r="H293" s="157">
        <f t="shared" ref="H293:H298" si="17">G293*F293</f>
        <v>0</v>
      </c>
      <c r="I293" s="157"/>
      <c r="J293" s="157"/>
      <c r="K293" s="157"/>
      <c r="L293" s="157"/>
      <c r="M293" s="152">
        <f t="shared" si="16"/>
        <v>0</v>
      </c>
    </row>
    <row r="294" spans="1:13">
      <c r="A294" s="4"/>
      <c r="B294" s="73" t="s">
        <v>61</v>
      </c>
      <c r="C294" s="184" t="s">
        <v>367</v>
      </c>
      <c r="D294" s="25" t="s">
        <v>8</v>
      </c>
      <c r="E294" s="64"/>
      <c r="F294" s="26">
        <v>4</v>
      </c>
      <c r="G294" s="157"/>
      <c r="H294" s="157">
        <f t="shared" si="17"/>
        <v>0</v>
      </c>
      <c r="I294" s="157"/>
      <c r="J294" s="157"/>
      <c r="K294" s="157"/>
      <c r="L294" s="157"/>
      <c r="M294" s="152">
        <f t="shared" si="16"/>
        <v>0</v>
      </c>
    </row>
    <row r="295" spans="1:13">
      <c r="A295" s="4"/>
      <c r="B295" s="73" t="s">
        <v>60</v>
      </c>
      <c r="C295" s="184" t="s">
        <v>331</v>
      </c>
      <c r="D295" s="25" t="s">
        <v>8</v>
      </c>
      <c r="E295" s="64"/>
      <c r="F295" s="26">
        <v>4</v>
      </c>
      <c r="G295" s="157"/>
      <c r="H295" s="157">
        <f t="shared" si="17"/>
        <v>0</v>
      </c>
      <c r="I295" s="157"/>
      <c r="J295" s="157"/>
      <c r="K295" s="157"/>
      <c r="L295" s="157"/>
      <c r="M295" s="152">
        <f t="shared" si="16"/>
        <v>0</v>
      </c>
    </row>
    <row r="296" spans="1:13">
      <c r="A296" s="4"/>
      <c r="B296" s="73" t="s">
        <v>326</v>
      </c>
      <c r="C296" s="184" t="s">
        <v>324</v>
      </c>
      <c r="D296" s="25" t="s">
        <v>27</v>
      </c>
      <c r="E296" s="194">
        <f>0.61*0.1</f>
        <v>6.0999999999999999E-2</v>
      </c>
      <c r="F296" s="26">
        <f>E296*F290</f>
        <v>0.15311</v>
      </c>
      <c r="G296" s="157"/>
      <c r="H296" s="157">
        <f t="shared" si="17"/>
        <v>0</v>
      </c>
      <c r="I296" s="157"/>
      <c r="J296" s="157"/>
      <c r="K296" s="157"/>
      <c r="L296" s="157"/>
      <c r="M296" s="152">
        <f t="shared" si="16"/>
        <v>0</v>
      </c>
    </row>
    <row r="297" spans="1:13">
      <c r="A297" s="4"/>
      <c r="B297" s="73" t="s">
        <v>327</v>
      </c>
      <c r="C297" s="184" t="s">
        <v>325</v>
      </c>
      <c r="D297" s="25" t="s">
        <v>5</v>
      </c>
      <c r="E297" s="64">
        <f>1.57*0.1</f>
        <v>0.15700000000000003</v>
      </c>
      <c r="F297" s="26">
        <f>E297*F290</f>
        <v>0.39407000000000003</v>
      </c>
      <c r="G297" s="157"/>
      <c r="H297" s="157">
        <f t="shared" si="17"/>
        <v>0</v>
      </c>
      <c r="I297" s="157"/>
      <c r="J297" s="157"/>
      <c r="K297" s="157"/>
      <c r="L297" s="157"/>
      <c r="M297" s="152">
        <f t="shared" si="16"/>
        <v>0</v>
      </c>
    </row>
    <row r="298" spans="1:13">
      <c r="A298" s="4"/>
      <c r="B298" s="73" t="s">
        <v>42</v>
      </c>
      <c r="C298" s="142"/>
      <c r="D298" s="25" t="s">
        <v>0</v>
      </c>
      <c r="E298" s="64">
        <v>6.61</v>
      </c>
      <c r="F298" s="26">
        <f>E298*F290</f>
        <v>16.591100000000001</v>
      </c>
      <c r="G298" s="155"/>
      <c r="H298" s="157">
        <f t="shared" si="17"/>
        <v>0</v>
      </c>
      <c r="I298" s="157"/>
      <c r="J298" s="157"/>
      <c r="K298" s="157"/>
      <c r="L298" s="157"/>
      <c r="M298" s="152">
        <f t="shared" si="16"/>
        <v>0</v>
      </c>
    </row>
    <row r="299" spans="1:13" ht="27">
      <c r="A299" s="4">
        <v>6</v>
      </c>
      <c r="B299" s="85" t="s">
        <v>59</v>
      </c>
      <c r="C299" s="132" t="s">
        <v>332</v>
      </c>
      <c r="D299" s="20" t="s">
        <v>58</v>
      </c>
      <c r="E299" s="182"/>
      <c r="F299" s="74">
        <v>7.0650000000000004</v>
      </c>
      <c r="G299" s="155"/>
      <c r="H299" s="157"/>
      <c r="I299" s="155"/>
      <c r="J299" s="157"/>
      <c r="K299" s="155"/>
      <c r="L299" s="157"/>
      <c r="M299" s="152"/>
    </row>
    <row r="300" spans="1:13">
      <c r="A300" s="4"/>
      <c r="B300" s="73" t="s">
        <v>55</v>
      </c>
      <c r="C300" s="142"/>
      <c r="D300" s="3" t="s">
        <v>46</v>
      </c>
      <c r="E300" s="194">
        <f>0.336</f>
        <v>0.33600000000000002</v>
      </c>
      <c r="F300" s="43">
        <f>F299*E300</f>
        <v>2.3738400000000004</v>
      </c>
      <c r="G300" s="155"/>
      <c r="H300" s="157"/>
      <c r="I300" s="157"/>
      <c r="J300" s="157">
        <f>I300*F300</f>
        <v>0</v>
      </c>
      <c r="K300" s="155"/>
      <c r="L300" s="157"/>
      <c r="M300" s="152">
        <f>L300+J300+H300</f>
        <v>0</v>
      </c>
    </row>
    <row r="301" spans="1:13">
      <c r="A301" s="4"/>
      <c r="B301" s="73" t="s">
        <v>22</v>
      </c>
      <c r="C301" s="142"/>
      <c r="D301" s="3" t="s">
        <v>0</v>
      </c>
      <c r="E301" s="194">
        <f>1.5*0.01</f>
        <v>1.4999999999999999E-2</v>
      </c>
      <c r="F301" s="43">
        <f>F299*E301</f>
        <v>0.105975</v>
      </c>
      <c r="G301" s="155"/>
      <c r="H301" s="157"/>
      <c r="I301" s="155"/>
      <c r="J301" s="157"/>
      <c r="K301" s="155"/>
      <c r="L301" s="157">
        <f>K301*F301</f>
        <v>0</v>
      </c>
      <c r="M301" s="152">
        <f>L301+J301+H301</f>
        <v>0</v>
      </c>
    </row>
    <row r="302" spans="1:13">
      <c r="A302" s="4"/>
      <c r="B302" s="73" t="s">
        <v>30</v>
      </c>
      <c r="C302" s="129" t="s">
        <v>333</v>
      </c>
      <c r="D302" s="3" t="s">
        <v>27</v>
      </c>
      <c r="E302" s="94">
        <v>2.3999999999999998E-3</v>
      </c>
      <c r="F302" s="95">
        <f>F299*E302</f>
        <v>1.6955999999999999E-2</v>
      </c>
      <c r="G302" s="155"/>
      <c r="H302" s="157">
        <f>G302*F302</f>
        <v>0</v>
      </c>
      <c r="I302" s="155"/>
      <c r="J302" s="157"/>
      <c r="K302" s="155"/>
      <c r="L302" s="157"/>
      <c r="M302" s="152">
        <f>L302+J302+H302</f>
        <v>0</v>
      </c>
    </row>
    <row r="303" spans="1:13">
      <c r="A303" s="4"/>
      <c r="B303" s="96" t="s">
        <v>25</v>
      </c>
      <c r="C303" s="142"/>
      <c r="D303" s="3" t="s">
        <v>27</v>
      </c>
      <c r="E303" s="94">
        <v>2.2799999999999997E-2</v>
      </c>
      <c r="F303" s="95">
        <f>F299*E303</f>
        <v>0.161082</v>
      </c>
      <c r="G303" s="155"/>
      <c r="H303" s="157">
        <f>G303*F303</f>
        <v>0</v>
      </c>
      <c r="I303" s="155"/>
      <c r="J303" s="157"/>
      <c r="K303" s="155"/>
      <c r="L303" s="157"/>
      <c r="M303" s="152">
        <f>L303+J303+H303</f>
        <v>0</v>
      </c>
    </row>
    <row r="304" spans="1:13" ht="19.5">
      <c r="A304" s="4">
        <v>7</v>
      </c>
      <c r="B304" s="21" t="s">
        <v>219</v>
      </c>
      <c r="C304" s="132" t="s">
        <v>334</v>
      </c>
      <c r="D304" s="20" t="s">
        <v>8</v>
      </c>
      <c r="E304" s="20"/>
      <c r="F304" s="93">
        <v>1</v>
      </c>
      <c r="G304" s="157"/>
      <c r="H304" s="157"/>
      <c r="I304" s="163"/>
      <c r="J304" s="157"/>
      <c r="K304" s="163"/>
      <c r="L304" s="157"/>
      <c r="M304" s="152"/>
    </row>
    <row r="305" spans="1:13">
      <c r="A305" s="4"/>
      <c r="B305" s="98" t="s">
        <v>45</v>
      </c>
      <c r="C305" s="143"/>
      <c r="D305" s="7" t="s">
        <v>46</v>
      </c>
      <c r="E305" s="3">
        <v>3.1</v>
      </c>
      <c r="F305" s="97">
        <f>F304*E305</f>
        <v>3.1</v>
      </c>
      <c r="G305" s="161"/>
      <c r="H305" s="157"/>
      <c r="I305" s="163"/>
      <c r="J305" s="157">
        <f>I305*F305</f>
        <v>0</v>
      </c>
      <c r="K305" s="163"/>
      <c r="L305" s="157"/>
      <c r="M305" s="152">
        <f>L305+J305+H305</f>
        <v>0</v>
      </c>
    </row>
    <row r="306" spans="1:13">
      <c r="A306" s="4"/>
      <c r="B306" s="98" t="s">
        <v>47</v>
      </c>
      <c r="C306" s="136"/>
      <c r="D306" s="7" t="s">
        <v>0</v>
      </c>
      <c r="E306" s="3">
        <v>1.23</v>
      </c>
      <c r="F306" s="97">
        <f>E306*F304</f>
        <v>1.23</v>
      </c>
      <c r="G306" s="163"/>
      <c r="H306" s="157"/>
      <c r="I306" s="163"/>
      <c r="J306" s="157"/>
      <c r="K306" s="163"/>
      <c r="L306" s="157">
        <f>K306*F306</f>
        <v>0</v>
      </c>
      <c r="M306" s="152">
        <f>L306+J306+H306</f>
        <v>0</v>
      </c>
    </row>
    <row r="307" spans="1:13">
      <c r="A307" s="4"/>
      <c r="B307" s="3" t="s">
        <v>44</v>
      </c>
      <c r="C307" s="136"/>
      <c r="D307" s="7"/>
      <c r="E307" s="3"/>
      <c r="F307" s="7"/>
      <c r="G307" s="163"/>
      <c r="H307" s="157"/>
      <c r="I307" s="163"/>
      <c r="J307" s="157"/>
      <c r="K307" s="163"/>
      <c r="L307" s="157"/>
      <c r="M307" s="152"/>
    </row>
    <row r="308" spans="1:13">
      <c r="A308" s="4"/>
      <c r="B308" s="98" t="s">
        <v>265</v>
      </c>
      <c r="C308" s="129" t="s">
        <v>335</v>
      </c>
      <c r="D308" s="7" t="s">
        <v>8</v>
      </c>
      <c r="E308" s="3">
        <v>1</v>
      </c>
      <c r="F308" s="7">
        <f>F304*E308</f>
        <v>1</v>
      </c>
      <c r="G308" s="163"/>
      <c r="H308" s="157">
        <f>G308*F308</f>
        <v>0</v>
      </c>
      <c r="I308" s="163"/>
      <c r="J308" s="157"/>
      <c r="K308" s="163"/>
      <c r="L308" s="157"/>
      <c r="M308" s="152">
        <f>L308+J308+H308</f>
        <v>0</v>
      </c>
    </row>
    <row r="309" spans="1:13">
      <c r="A309" s="4"/>
      <c r="B309" s="98" t="s">
        <v>6</v>
      </c>
      <c r="C309" s="136"/>
      <c r="D309" s="7" t="s">
        <v>0</v>
      </c>
      <c r="E309" s="3">
        <v>1.18</v>
      </c>
      <c r="F309" s="7">
        <f>E309*F304</f>
        <v>1.18</v>
      </c>
      <c r="G309" s="163"/>
      <c r="H309" s="157">
        <f>G309*F309</f>
        <v>0</v>
      </c>
      <c r="I309" s="163"/>
      <c r="J309" s="157"/>
      <c r="K309" s="163"/>
      <c r="L309" s="157"/>
      <c r="M309" s="152">
        <f>L309+J309+H309</f>
        <v>0</v>
      </c>
    </row>
    <row r="310" spans="1:13" ht="19.5">
      <c r="A310" s="4">
        <v>8</v>
      </c>
      <c r="B310" s="21" t="s">
        <v>185</v>
      </c>
      <c r="C310" s="132" t="s">
        <v>336</v>
      </c>
      <c r="D310" s="20" t="s">
        <v>8</v>
      </c>
      <c r="E310" s="20"/>
      <c r="F310" s="93">
        <v>1</v>
      </c>
      <c r="G310" s="157"/>
      <c r="H310" s="157"/>
      <c r="I310" s="163"/>
      <c r="J310" s="157"/>
      <c r="K310" s="163"/>
      <c r="L310" s="157"/>
      <c r="M310" s="152"/>
    </row>
    <row r="311" spans="1:13">
      <c r="A311" s="4"/>
      <c r="B311" s="98" t="s">
        <v>45</v>
      </c>
      <c r="C311" s="143"/>
      <c r="D311" s="7" t="s">
        <v>46</v>
      </c>
      <c r="E311" s="3">
        <v>2.29</v>
      </c>
      <c r="F311" s="97">
        <f>F310*E311</f>
        <v>2.29</v>
      </c>
      <c r="G311" s="161"/>
      <c r="H311" s="157"/>
      <c r="I311" s="163"/>
      <c r="J311" s="157">
        <f>I311*F311</f>
        <v>0</v>
      </c>
      <c r="K311" s="163"/>
      <c r="L311" s="157"/>
      <c r="M311" s="152">
        <f>L311+J311+H311</f>
        <v>0</v>
      </c>
    </row>
    <row r="312" spans="1:13">
      <c r="A312" s="4"/>
      <c r="B312" s="98" t="s">
        <v>47</v>
      </c>
      <c r="C312" s="136"/>
      <c r="D312" s="7" t="s">
        <v>0</v>
      </c>
      <c r="E312" s="3">
        <v>0.09</v>
      </c>
      <c r="F312" s="97">
        <f>F310*E312</f>
        <v>0.09</v>
      </c>
      <c r="G312" s="163"/>
      <c r="H312" s="157"/>
      <c r="I312" s="163"/>
      <c r="J312" s="157"/>
      <c r="K312" s="163"/>
      <c r="L312" s="157">
        <f>K312*F312</f>
        <v>0</v>
      </c>
      <c r="M312" s="152">
        <f>L312+J312+H312</f>
        <v>0</v>
      </c>
    </row>
    <row r="313" spans="1:13">
      <c r="A313" s="4"/>
      <c r="B313" s="3" t="s">
        <v>44</v>
      </c>
      <c r="C313" s="136"/>
      <c r="D313" s="7"/>
      <c r="E313" s="3"/>
      <c r="F313" s="7"/>
      <c r="G313" s="163"/>
      <c r="H313" s="157"/>
      <c r="I313" s="163"/>
      <c r="J313" s="157"/>
      <c r="K313" s="163"/>
      <c r="L313" s="157"/>
      <c r="M313" s="152"/>
    </row>
    <row r="314" spans="1:13">
      <c r="A314" s="4"/>
      <c r="B314" s="98" t="s">
        <v>264</v>
      </c>
      <c r="C314" s="129" t="s">
        <v>337</v>
      </c>
      <c r="D314" s="7" t="s">
        <v>8</v>
      </c>
      <c r="E314" s="3">
        <v>1</v>
      </c>
      <c r="F314" s="7">
        <f>F310*E314</f>
        <v>1</v>
      </c>
      <c r="G314" s="163"/>
      <c r="H314" s="157">
        <f>G314*F314</f>
        <v>0</v>
      </c>
      <c r="I314" s="163"/>
      <c r="J314" s="157"/>
      <c r="K314" s="163"/>
      <c r="L314" s="157"/>
      <c r="M314" s="152">
        <f>L314+J314+H314</f>
        <v>0</v>
      </c>
    </row>
    <row r="315" spans="1:13">
      <c r="A315" s="4"/>
      <c r="B315" s="98" t="s">
        <v>6</v>
      </c>
      <c r="C315" s="136"/>
      <c r="D315" s="7" t="s">
        <v>0</v>
      </c>
      <c r="E315" s="3">
        <v>0.68</v>
      </c>
      <c r="F315" s="7">
        <f>F310*E315</f>
        <v>0.68</v>
      </c>
      <c r="G315" s="163"/>
      <c r="H315" s="157">
        <f>G315*F315</f>
        <v>0</v>
      </c>
      <c r="I315" s="163"/>
      <c r="J315" s="157">
        <f>I315*F315</f>
        <v>0</v>
      </c>
      <c r="K315" s="163"/>
      <c r="L315" s="157">
        <f>K315*F315</f>
        <v>0</v>
      </c>
      <c r="M315" s="152">
        <f>L315+J315+H315</f>
        <v>0</v>
      </c>
    </row>
    <row r="316" spans="1:13" ht="19.5">
      <c r="A316" s="4">
        <v>9</v>
      </c>
      <c r="B316" s="21" t="s">
        <v>220</v>
      </c>
      <c r="C316" s="132" t="s">
        <v>334</v>
      </c>
      <c r="D316" s="20" t="s">
        <v>8</v>
      </c>
      <c r="E316" s="20"/>
      <c r="F316" s="93">
        <v>1</v>
      </c>
      <c r="G316" s="157"/>
      <c r="H316" s="157"/>
      <c r="I316" s="163"/>
      <c r="J316" s="157"/>
      <c r="K316" s="163"/>
      <c r="L316" s="157"/>
      <c r="M316" s="152"/>
    </row>
    <row r="317" spans="1:13">
      <c r="A317" s="4"/>
      <c r="B317" s="98" t="s">
        <v>45</v>
      </c>
      <c r="C317" s="143"/>
      <c r="D317" s="7" t="s">
        <v>46</v>
      </c>
      <c r="E317" s="3">
        <v>3.1</v>
      </c>
      <c r="F317" s="97">
        <f>F316*E317</f>
        <v>3.1</v>
      </c>
      <c r="G317" s="161"/>
      <c r="H317" s="157"/>
      <c r="I317" s="163"/>
      <c r="J317" s="157">
        <f>I317*F317</f>
        <v>0</v>
      </c>
      <c r="K317" s="163"/>
      <c r="L317" s="157"/>
      <c r="M317" s="152">
        <f>L317+J317+H317</f>
        <v>0</v>
      </c>
    </row>
    <row r="318" spans="1:13">
      <c r="A318" s="4"/>
      <c r="B318" s="98" t="s">
        <v>47</v>
      </c>
      <c r="C318" s="136"/>
      <c r="D318" s="7" t="s">
        <v>0</v>
      </c>
      <c r="E318" s="3">
        <v>1.23</v>
      </c>
      <c r="F318" s="97">
        <f>E318*F316</f>
        <v>1.23</v>
      </c>
      <c r="G318" s="163"/>
      <c r="H318" s="157"/>
      <c r="I318" s="163"/>
      <c r="J318" s="157"/>
      <c r="K318" s="163"/>
      <c r="L318" s="157">
        <f>K318*F318</f>
        <v>0</v>
      </c>
      <c r="M318" s="152">
        <f>L318+J318+H318</f>
        <v>0</v>
      </c>
    </row>
    <row r="319" spans="1:13">
      <c r="A319" s="4"/>
      <c r="B319" s="3" t="s">
        <v>44</v>
      </c>
      <c r="C319" s="136"/>
      <c r="D319" s="7"/>
      <c r="E319" s="3"/>
      <c r="F319" s="7"/>
      <c r="G319" s="163"/>
      <c r="H319" s="157"/>
      <c r="I319" s="163"/>
      <c r="J319" s="157"/>
      <c r="K319" s="163"/>
      <c r="L319" s="157"/>
      <c r="M319" s="152"/>
    </row>
    <row r="320" spans="1:13">
      <c r="A320" s="4"/>
      <c r="B320" s="98" t="s">
        <v>267</v>
      </c>
      <c r="C320" s="195" t="s">
        <v>368</v>
      </c>
      <c r="D320" s="7" t="s">
        <v>8</v>
      </c>
      <c r="E320" s="3">
        <v>1</v>
      </c>
      <c r="F320" s="7">
        <f>F316*E320</f>
        <v>1</v>
      </c>
      <c r="G320" s="163"/>
      <c r="H320" s="157">
        <f>G320*F320</f>
        <v>0</v>
      </c>
      <c r="I320" s="163"/>
      <c r="J320" s="157"/>
      <c r="K320" s="163"/>
      <c r="L320" s="157"/>
      <c r="M320" s="152">
        <f>L320+J320+H320</f>
        <v>0</v>
      </c>
    </row>
    <row r="321" spans="1:13">
      <c r="A321" s="4"/>
      <c r="B321" s="98" t="s">
        <v>6</v>
      </c>
      <c r="C321" s="136"/>
      <c r="D321" s="7" t="s">
        <v>0</v>
      </c>
      <c r="E321" s="3">
        <v>1.18</v>
      </c>
      <c r="F321" s="7">
        <f>E321*F316</f>
        <v>1.18</v>
      </c>
      <c r="G321" s="163"/>
      <c r="H321" s="157">
        <f>G321*F321</f>
        <v>0</v>
      </c>
      <c r="I321" s="163"/>
      <c r="J321" s="157"/>
      <c r="K321" s="163"/>
      <c r="L321" s="157"/>
      <c r="M321" s="152">
        <f>L321+J321+H321</f>
        <v>0</v>
      </c>
    </row>
    <row r="322" spans="1:13" ht="19.5">
      <c r="A322" s="4">
        <v>10</v>
      </c>
      <c r="B322" s="21" t="s">
        <v>180</v>
      </c>
      <c r="C322" s="132" t="s">
        <v>336</v>
      </c>
      <c r="D322" s="20" t="s">
        <v>8</v>
      </c>
      <c r="E322" s="20"/>
      <c r="F322" s="93">
        <v>1</v>
      </c>
      <c r="G322" s="157"/>
      <c r="H322" s="157"/>
      <c r="I322" s="163"/>
      <c r="J322" s="157"/>
      <c r="K322" s="163"/>
      <c r="L322" s="157"/>
      <c r="M322" s="152"/>
    </row>
    <row r="323" spans="1:13">
      <c r="A323" s="4"/>
      <c r="B323" s="98" t="s">
        <v>45</v>
      </c>
      <c r="C323" s="143"/>
      <c r="D323" s="7" t="s">
        <v>46</v>
      </c>
      <c r="E323" s="3">
        <v>2.29</v>
      </c>
      <c r="F323" s="97">
        <f>F322*E323</f>
        <v>2.29</v>
      </c>
      <c r="G323" s="161"/>
      <c r="H323" s="157"/>
      <c r="I323" s="163"/>
      <c r="J323" s="157">
        <f>I323*F323</f>
        <v>0</v>
      </c>
      <c r="K323" s="163"/>
      <c r="L323" s="157"/>
      <c r="M323" s="152">
        <f>L323+J323+H323</f>
        <v>0</v>
      </c>
    </row>
    <row r="324" spans="1:13">
      <c r="A324" s="4"/>
      <c r="B324" s="98" t="s">
        <v>47</v>
      </c>
      <c r="C324" s="136"/>
      <c r="D324" s="7" t="s">
        <v>0</v>
      </c>
      <c r="E324" s="3">
        <v>0.09</v>
      </c>
      <c r="F324" s="97">
        <f>F322*E324</f>
        <v>0.09</v>
      </c>
      <c r="G324" s="163"/>
      <c r="H324" s="157"/>
      <c r="I324" s="163"/>
      <c r="J324" s="157"/>
      <c r="K324" s="163"/>
      <c r="L324" s="157">
        <f>K324*F324</f>
        <v>0</v>
      </c>
      <c r="M324" s="152">
        <f>L324+J324+H324</f>
        <v>0</v>
      </c>
    </row>
    <row r="325" spans="1:13">
      <c r="A325" s="4"/>
      <c r="B325" s="3" t="s">
        <v>44</v>
      </c>
      <c r="C325" s="136"/>
      <c r="D325" s="7"/>
      <c r="E325" s="3"/>
      <c r="F325" s="7"/>
      <c r="G325" s="163"/>
      <c r="H325" s="157"/>
      <c r="I325" s="163"/>
      <c r="J325" s="157"/>
      <c r="K325" s="163"/>
      <c r="L325" s="157"/>
      <c r="M325" s="152"/>
    </row>
    <row r="326" spans="1:13">
      <c r="A326" s="4"/>
      <c r="B326" s="98" t="s">
        <v>181</v>
      </c>
      <c r="C326" s="195" t="s">
        <v>339</v>
      </c>
      <c r="D326" s="7" t="s">
        <v>8</v>
      </c>
      <c r="E326" s="3">
        <v>1</v>
      </c>
      <c r="F326" s="7">
        <f>E326*F322</f>
        <v>1</v>
      </c>
      <c r="G326" s="163"/>
      <c r="H326" s="157">
        <f>G326*F326</f>
        <v>0</v>
      </c>
      <c r="I326" s="163"/>
      <c r="J326" s="157"/>
      <c r="K326" s="163"/>
      <c r="L326" s="157"/>
      <c r="M326" s="152">
        <f>L326+J326+H326</f>
        <v>0</v>
      </c>
    </row>
    <row r="327" spans="1:13">
      <c r="A327" s="4"/>
      <c r="B327" s="98" t="s">
        <v>6</v>
      </c>
      <c r="C327" s="136"/>
      <c r="D327" s="7" t="s">
        <v>0</v>
      </c>
      <c r="E327" s="3">
        <v>0.68</v>
      </c>
      <c r="F327" s="7">
        <f>F322*E327</f>
        <v>0.68</v>
      </c>
      <c r="G327" s="163"/>
      <c r="H327" s="157">
        <f>G327*F327</f>
        <v>0</v>
      </c>
      <c r="I327" s="163"/>
      <c r="J327" s="157"/>
      <c r="K327" s="163"/>
      <c r="L327" s="157"/>
      <c r="M327" s="152">
        <f>L327+J327+H327</f>
        <v>0</v>
      </c>
    </row>
    <row r="328" spans="1:13" ht="19.5">
      <c r="A328" s="4">
        <v>11</v>
      </c>
      <c r="B328" s="21" t="s">
        <v>225</v>
      </c>
      <c r="C328" s="132" t="s">
        <v>336</v>
      </c>
      <c r="D328" s="20" t="s">
        <v>8</v>
      </c>
      <c r="E328" s="20"/>
      <c r="F328" s="93">
        <v>2</v>
      </c>
      <c r="G328" s="157"/>
      <c r="H328" s="157"/>
      <c r="I328" s="163"/>
      <c r="J328" s="157"/>
      <c r="K328" s="163"/>
      <c r="L328" s="157"/>
      <c r="M328" s="152"/>
    </row>
    <row r="329" spans="1:13">
      <c r="A329" s="4"/>
      <c r="B329" s="98" t="s">
        <v>45</v>
      </c>
      <c r="C329" s="143"/>
      <c r="D329" s="7" t="s">
        <v>46</v>
      </c>
      <c r="E329" s="3">
        <v>2.29</v>
      </c>
      <c r="F329" s="97">
        <f>F328*E329</f>
        <v>4.58</v>
      </c>
      <c r="G329" s="161"/>
      <c r="H329" s="157"/>
      <c r="I329" s="163"/>
      <c r="J329" s="157">
        <f>I329*F329</f>
        <v>0</v>
      </c>
      <c r="K329" s="163"/>
      <c r="L329" s="157"/>
      <c r="M329" s="152">
        <f>L329+J329+H329</f>
        <v>0</v>
      </c>
    </row>
    <row r="330" spans="1:13">
      <c r="A330" s="4"/>
      <c r="B330" s="98" t="s">
        <v>47</v>
      </c>
      <c r="C330" s="136"/>
      <c r="D330" s="7" t="s">
        <v>0</v>
      </c>
      <c r="E330" s="3">
        <v>0.09</v>
      </c>
      <c r="F330" s="97">
        <f>F328*E330</f>
        <v>0.18</v>
      </c>
      <c r="G330" s="163"/>
      <c r="H330" s="157"/>
      <c r="I330" s="163"/>
      <c r="J330" s="157"/>
      <c r="K330" s="163"/>
      <c r="L330" s="157">
        <f>K330*F330</f>
        <v>0</v>
      </c>
      <c r="M330" s="152">
        <f>L330+J330+H330</f>
        <v>0</v>
      </c>
    </row>
    <row r="331" spans="1:13">
      <c r="A331" s="4"/>
      <c r="B331" s="3" t="s">
        <v>44</v>
      </c>
      <c r="C331" s="136"/>
      <c r="D331" s="7"/>
      <c r="E331" s="3"/>
      <c r="F331" s="7"/>
      <c r="G331" s="163"/>
      <c r="H331" s="157"/>
      <c r="I331" s="163"/>
      <c r="J331" s="157"/>
      <c r="K331" s="163"/>
      <c r="L331" s="157"/>
      <c r="M331" s="152"/>
    </row>
    <row r="332" spans="1:13">
      <c r="A332" s="4"/>
      <c r="B332" s="98" t="s">
        <v>226</v>
      </c>
      <c r="C332" s="196" t="s">
        <v>266</v>
      </c>
      <c r="D332" s="7" t="s">
        <v>8</v>
      </c>
      <c r="E332" s="3">
        <v>1</v>
      </c>
      <c r="F332" s="7">
        <f>E332*F328</f>
        <v>2</v>
      </c>
      <c r="G332" s="163"/>
      <c r="H332" s="157">
        <f>G332*F332</f>
        <v>0</v>
      </c>
      <c r="I332" s="163"/>
      <c r="J332" s="157"/>
      <c r="K332" s="163"/>
      <c r="L332" s="157"/>
      <c r="M332" s="152">
        <f>L332+J332+H332</f>
        <v>0</v>
      </c>
    </row>
    <row r="333" spans="1:13">
      <c r="A333" s="4"/>
      <c r="B333" s="98" t="s">
        <v>6</v>
      </c>
      <c r="C333" s="136"/>
      <c r="D333" s="7" t="s">
        <v>0</v>
      </c>
      <c r="E333" s="3">
        <v>0.68</v>
      </c>
      <c r="F333" s="7">
        <f>F328*E333</f>
        <v>1.36</v>
      </c>
      <c r="G333" s="163"/>
      <c r="H333" s="157">
        <f>G333*F333</f>
        <v>0</v>
      </c>
      <c r="I333" s="163"/>
      <c r="J333" s="157"/>
      <c r="K333" s="163"/>
      <c r="L333" s="157"/>
      <c r="M333" s="152">
        <f>L333+J333+H333</f>
        <v>0</v>
      </c>
    </row>
    <row r="334" spans="1:13" ht="19.5">
      <c r="A334" s="4">
        <v>12</v>
      </c>
      <c r="B334" s="21" t="s">
        <v>182</v>
      </c>
      <c r="C334" s="132" t="s">
        <v>336</v>
      </c>
      <c r="D334" s="20" t="s">
        <v>8</v>
      </c>
      <c r="E334" s="20"/>
      <c r="F334" s="93">
        <v>1</v>
      </c>
      <c r="G334" s="157"/>
      <c r="H334" s="157"/>
      <c r="I334" s="163"/>
      <c r="J334" s="157"/>
      <c r="K334" s="163"/>
      <c r="L334" s="157"/>
      <c r="M334" s="152"/>
    </row>
    <row r="335" spans="1:13">
      <c r="A335" s="4"/>
      <c r="B335" s="98" t="s">
        <v>45</v>
      </c>
      <c r="C335" s="143"/>
      <c r="D335" s="7" t="s">
        <v>46</v>
      </c>
      <c r="E335" s="3">
        <v>2.29</v>
      </c>
      <c r="F335" s="97">
        <f>F334*E335</f>
        <v>2.29</v>
      </c>
      <c r="G335" s="161"/>
      <c r="H335" s="157"/>
      <c r="I335" s="163"/>
      <c r="J335" s="157">
        <f>I335*F335</f>
        <v>0</v>
      </c>
      <c r="K335" s="163"/>
      <c r="L335" s="157"/>
      <c r="M335" s="152">
        <f>L335+J335+H335</f>
        <v>0</v>
      </c>
    </row>
    <row r="336" spans="1:13">
      <c r="A336" s="4"/>
      <c r="B336" s="98" t="s">
        <v>47</v>
      </c>
      <c r="C336" s="136"/>
      <c r="D336" s="7" t="s">
        <v>0</v>
      </c>
      <c r="E336" s="3">
        <v>0.09</v>
      </c>
      <c r="F336" s="97">
        <f>F334*E336</f>
        <v>0.09</v>
      </c>
      <c r="G336" s="163"/>
      <c r="H336" s="157"/>
      <c r="I336" s="163"/>
      <c r="J336" s="157"/>
      <c r="K336" s="163"/>
      <c r="L336" s="157">
        <f>K336*F336</f>
        <v>0</v>
      </c>
      <c r="M336" s="152">
        <f>L336+J336+H336</f>
        <v>0</v>
      </c>
    </row>
    <row r="337" spans="1:13">
      <c r="A337" s="4"/>
      <c r="B337" s="3" t="s">
        <v>44</v>
      </c>
      <c r="C337" s="136"/>
      <c r="D337" s="7"/>
      <c r="E337" s="3"/>
      <c r="F337" s="7"/>
      <c r="G337" s="163"/>
      <c r="H337" s="157"/>
      <c r="I337" s="163"/>
      <c r="J337" s="157"/>
      <c r="K337" s="163"/>
      <c r="L337" s="157"/>
      <c r="M337" s="152"/>
    </row>
    <row r="338" spans="1:13">
      <c r="A338" s="4"/>
      <c r="B338" s="98" t="s">
        <v>184</v>
      </c>
      <c r="C338" s="195" t="s">
        <v>340</v>
      </c>
      <c r="D338" s="7" t="s">
        <v>8</v>
      </c>
      <c r="E338" s="3">
        <v>1</v>
      </c>
      <c r="F338" s="7">
        <f>F334*E338</f>
        <v>1</v>
      </c>
      <c r="G338" s="163"/>
      <c r="H338" s="157">
        <f>G338*F338</f>
        <v>0</v>
      </c>
      <c r="I338" s="163"/>
      <c r="J338" s="157"/>
      <c r="K338" s="163"/>
      <c r="L338" s="157"/>
      <c r="M338" s="152">
        <f>L338+J338+H338</f>
        <v>0</v>
      </c>
    </row>
    <row r="339" spans="1:13">
      <c r="A339" s="4"/>
      <c r="B339" s="98" t="s">
        <v>6</v>
      </c>
      <c r="C339" s="136"/>
      <c r="D339" s="7" t="s">
        <v>0</v>
      </c>
      <c r="E339" s="3">
        <v>0.38</v>
      </c>
      <c r="F339" s="7">
        <f>E339*F334</f>
        <v>0.38</v>
      </c>
      <c r="G339" s="163"/>
      <c r="H339" s="157">
        <f>G339*F339</f>
        <v>0</v>
      </c>
      <c r="I339" s="163"/>
      <c r="J339" s="157"/>
      <c r="K339" s="163"/>
      <c r="L339" s="157"/>
      <c r="M339" s="152">
        <f>L339+J339+H339</f>
        <v>0</v>
      </c>
    </row>
    <row r="340" spans="1:13" ht="19.5">
      <c r="A340" s="4">
        <v>13</v>
      </c>
      <c r="B340" s="21" t="s">
        <v>221</v>
      </c>
      <c r="C340" s="132" t="s">
        <v>341</v>
      </c>
      <c r="D340" s="20" t="s">
        <v>8</v>
      </c>
      <c r="E340" s="20"/>
      <c r="F340" s="93">
        <v>1</v>
      </c>
      <c r="G340" s="157"/>
      <c r="H340" s="157"/>
      <c r="I340" s="163"/>
      <c r="J340" s="157"/>
      <c r="K340" s="163"/>
      <c r="L340" s="157"/>
      <c r="M340" s="152"/>
    </row>
    <row r="341" spans="1:13">
      <c r="A341" s="4"/>
      <c r="B341" s="98" t="s">
        <v>45</v>
      </c>
      <c r="C341" s="143"/>
      <c r="D341" s="7" t="s">
        <v>46</v>
      </c>
      <c r="E341" s="3">
        <v>1.38</v>
      </c>
      <c r="F341" s="97">
        <f>F340*E341</f>
        <v>1.38</v>
      </c>
      <c r="G341" s="161"/>
      <c r="H341" s="157"/>
      <c r="I341" s="163"/>
      <c r="J341" s="157">
        <f>I341*F341</f>
        <v>0</v>
      </c>
      <c r="K341" s="163"/>
      <c r="L341" s="157"/>
      <c r="M341" s="152">
        <f>L341+J341+H341</f>
        <v>0</v>
      </c>
    </row>
    <row r="342" spans="1:13">
      <c r="A342" s="4"/>
      <c r="B342" s="98" t="s">
        <v>47</v>
      </c>
      <c r="C342" s="136"/>
      <c r="D342" s="7" t="s">
        <v>0</v>
      </c>
      <c r="E342" s="3">
        <v>0.06</v>
      </c>
      <c r="F342" s="97">
        <f>F340*E342</f>
        <v>0.06</v>
      </c>
      <c r="G342" s="163"/>
      <c r="H342" s="157"/>
      <c r="I342" s="163"/>
      <c r="J342" s="157"/>
      <c r="K342" s="163"/>
      <c r="L342" s="157">
        <f>K342*F342</f>
        <v>0</v>
      </c>
      <c r="M342" s="152">
        <f>L342+J342+H342</f>
        <v>0</v>
      </c>
    </row>
    <row r="343" spans="1:13">
      <c r="A343" s="4"/>
      <c r="B343" s="3" t="s">
        <v>44</v>
      </c>
      <c r="C343" s="136"/>
      <c r="D343" s="7"/>
      <c r="E343" s="3"/>
      <c r="F343" s="7"/>
      <c r="G343" s="163"/>
      <c r="H343" s="157"/>
      <c r="I343" s="163"/>
      <c r="J343" s="157"/>
      <c r="K343" s="163"/>
      <c r="L343" s="157"/>
      <c r="M343" s="152"/>
    </row>
    <row r="344" spans="1:13">
      <c r="A344" s="4"/>
      <c r="B344" s="98" t="s">
        <v>222</v>
      </c>
      <c r="C344" s="195" t="s">
        <v>338</v>
      </c>
      <c r="D344" s="7" t="s">
        <v>8</v>
      </c>
      <c r="E344" s="3">
        <v>1</v>
      </c>
      <c r="F344" s="7">
        <f>F340*E344</f>
        <v>1</v>
      </c>
      <c r="G344" s="163"/>
      <c r="H344" s="157">
        <f>G344*F344</f>
        <v>0</v>
      </c>
      <c r="I344" s="163"/>
      <c r="J344" s="157"/>
      <c r="K344" s="163"/>
      <c r="L344" s="157"/>
      <c r="M344" s="152">
        <f>L344+J344+H344</f>
        <v>0</v>
      </c>
    </row>
    <row r="345" spans="1:13">
      <c r="A345" s="4"/>
      <c r="B345" s="98" t="s">
        <v>6</v>
      </c>
      <c r="C345" s="136"/>
      <c r="D345" s="7" t="s">
        <v>0</v>
      </c>
      <c r="E345" s="3">
        <v>0.68</v>
      </c>
      <c r="F345" s="7">
        <f>E345*F340</f>
        <v>0.68</v>
      </c>
      <c r="G345" s="163"/>
      <c r="H345" s="157">
        <f>G345*F345</f>
        <v>0</v>
      </c>
      <c r="I345" s="163"/>
      <c r="J345" s="157"/>
      <c r="K345" s="163"/>
      <c r="L345" s="157"/>
      <c r="M345" s="152">
        <f>L345+J345+H345</f>
        <v>0</v>
      </c>
    </row>
    <row r="346" spans="1:13" ht="19.5">
      <c r="A346" s="4">
        <v>14</v>
      </c>
      <c r="B346" s="21" t="s">
        <v>221</v>
      </c>
      <c r="C346" s="132" t="s">
        <v>341</v>
      </c>
      <c r="D346" s="20" t="s">
        <v>8</v>
      </c>
      <c r="E346" s="20"/>
      <c r="F346" s="93">
        <v>1</v>
      </c>
      <c r="G346" s="157"/>
      <c r="H346" s="157"/>
      <c r="I346" s="163"/>
      <c r="J346" s="157"/>
      <c r="K346" s="163"/>
      <c r="L346" s="157"/>
      <c r="M346" s="152"/>
    </row>
    <row r="347" spans="1:13">
      <c r="A347" s="4"/>
      <c r="B347" s="98" t="s">
        <v>45</v>
      </c>
      <c r="C347" s="143"/>
      <c r="D347" s="7" t="s">
        <v>46</v>
      </c>
      <c r="E347" s="3">
        <v>1.38</v>
      </c>
      <c r="F347" s="97">
        <f>F346*E347</f>
        <v>1.38</v>
      </c>
      <c r="G347" s="161"/>
      <c r="H347" s="157"/>
      <c r="I347" s="163"/>
      <c r="J347" s="157">
        <f>I347*F347</f>
        <v>0</v>
      </c>
      <c r="K347" s="163"/>
      <c r="L347" s="157"/>
      <c r="M347" s="152">
        <f>L347+J347+H347</f>
        <v>0</v>
      </c>
    </row>
    <row r="348" spans="1:13">
      <c r="A348" s="4"/>
      <c r="B348" s="98" t="s">
        <v>47</v>
      </c>
      <c r="C348" s="136"/>
      <c r="D348" s="7" t="s">
        <v>0</v>
      </c>
      <c r="E348" s="3">
        <v>0.06</v>
      </c>
      <c r="F348" s="97">
        <f>F346*E348</f>
        <v>0.06</v>
      </c>
      <c r="G348" s="163"/>
      <c r="H348" s="157"/>
      <c r="I348" s="163"/>
      <c r="J348" s="157"/>
      <c r="K348" s="163"/>
      <c r="L348" s="157">
        <f>K348*F348</f>
        <v>0</v>
      </c>
      <c r="M348" s="152">
        <f>L348+J348+H348</f>
        <v>0</v>
      </c>
    </row>
    <row r="349" spans="1:13">
      <c r="A349" s="4"/>
      <c r="B349" s="3" t="s">
        <v>44</v>
      </c>
      <c r="C349" s="136"/>
      <c r="D349" s="7"/>
      <c r="E349" s="3"/>
      <c r="F349" s="7"/>
      <c r="G349" s="163"/>
      <c r="H349" s="157"/>
      <c r="I349" s="163"/>
      <c r="J349" s="157"/>
      <c r="K349" s="163"/>
      <c r="L349" s="157"/>
      <c r="M349" s="152"/>
    </row>
    <row r="350" spans="1:13">
      <c r="A350" s="4"/>
      <c r="B350" s="98" t="s">
        <v>224</v>
      </c>
      <c r="C350" s="136" t="s">
        <v>266</v>
      </c>
      <c r="D350" s="7" t="s">
        <v>8</v>
      </c>
      <c r="E350" s="3">
        <v>1</v>
      </c>
      <c r="F350" s="7">
        <f>F346*E350</f>
        <v>1</v>
      </c>
      <c r="G350" s="163"/>
      <c r="H350" s="157">
        <f>G350*F350</f>
        <v>0</v>
      </c>
      <c r="I350" s="163"/>
      <c r="J350" s="157"/>
      <c r="K350" s="163"/>
      <c r="L350" s="157"/>
      <c r="M350" s="152">
        <f>L350+J350+H350</f>
        <v>0</v>
      </c>
    </row>
    <row r="351" spans="1:13">
      <c r="A351" s="4"/>
      <c r="B351" s="98" t="s">
        <v>6</v>
      </c>
      <c r="C351" s="136"/>
      <c r="D351" s="7" t="s">
        <v>0</v>
      </c>
      <c r="E351" s="3">
        <v>0.68</v>
      </c>
      <c r="F351" s="7">
        <f>E351*F346</f>
        <v>0.68</v>
      </c>
      <c r="G351" s="163"/>
      <c r="H351" s="157">
        <f>G351*F351</f>
        <v>0</v>
      </c>
      <c r="I351" s="163"/>
      <c r="J351" s="157"/>
      <c r="K351" s="163"/>
      <c r="L351" s="157"/>
      <c r="M351" s="152">
        <f>L351+J351+H351</f>
        <v>0</v>
      </c>
    </row>
    <row r="352" spans="1:13" ht="19.5">
      <c r="A352" s="4">
        <v>15</v>
      </c>
      <c r="B352" s="21" t="s">
        <v>183</v>
      </c>
      <c r="C352" s="132" t="s">
        <v>336</v>
      </c>
      <c r="D352" s="20" t="s">
        <v>8</v>
      </c>
      <c r="E352" s="20"/>
      <c r="F352" s="93">
        <v>2</v>
      </c>
      <c r="G352" s="157"/>
      <c r="H352" s="157"/>
      <c r="I352" s="163"/>
      <c r="J352" s="157"/>
      <c r="K352" s="163"/>
      <c r="L352" s="157"/>
      <c r="M352" s="152"/>
    </row>
    <row r="353" spans="1:13">
      <c r="A353" s="4"/>
      <c r="B353" s="98" t="s">
        <v>45</v>
      </c>
      <c r="C353" s="143"/>
      <c r="D353" s="7" t="s">
        <v>46</v>
      </c>
      <c r="E353" s="3">
        <v>2.29</v>
      </c>
      <c r="F353" s="97">
        <f>F352*E353</f>
        <v>4.58</v>
      </c>
      <c r="G353" s="161"/>
      <c r="H353" s="157"/>
      <c r="I353" s="163"/>
      <c r="J353" s="157">
        <f>I353*F353</f>
        <v>0</v>
      </c>
      <c r="K353" s="163"/>
      <c r="L353" s="157"/>
      <c r="M353" s="152">
        <f>L353+J353+H353</f>
        <v>0</v>
      </c>
    </row>
    <row r="354" spans="1:13">
      <c r="A354" s="4"/>
      <c r="B354" s="98" t="s">
        <v>47</v>
      </c>
      <c r="C354" s="136"/>
      <c r="D354" s="7" t="s">
        <v>0</v>
      </c>
      <c r="E354" s="3">
        <v>0.09</v>
      </c>
      <c r="F354" s="97">
        <f>F352*E354</f>
        <v>0.18</v>
      </c>
      <c r="G354" s="163"/>
      <c r="H354" s="157"/>
      <c r="I354" s="163"/>
      <c r="J354" s="157"/>
      <c r="K354" s="163"/>
      <c r="L354" s="157">
        <f>K354*F354</f>
        <v>0</v>
      </c>
      <c r="M354" s="152">
        <f>L354+J354+H354</f>
        <v>0</v>
      </c>
    </row>
    <row r="355" spans="1:13">
      <c r="A355" s="4"/>
      <c r="B355" s="3" t="s">
        <v>44</v>
      </c>
      <c r="C355" s="136"/>
      <c r="D355" s="7"/>
      <c r="E355" s="3"/>
      <c r="F355" s="7"/>
      <c r="G355" s="163"/>
      <c r="H355" s="157"/>
      <c r="I355" s="163"/>
      <c r="J355" s="157"/>
      <c r="K355" s="163"/>
      <c r="L355" s="157"/>
      <c r="M355" s="152"/>
    </row>
    <row r="356" spans="1:13">
      <c r="A356" s="4"/>
      <c r="B356" s="98" t="s">
        <v>223</v>
      </c>
      <c r="C356" s="136" t="s">
        <v>266</v>
      </c>
      <c r="D356" s="7" t="s">
        <v>8</v>
      </c>
      <c r="E356" s="3">
        <v>1</v>
      </c>
      <c r="F356" s="7">
        <f>E356*F352</f>
        <v>2</v>
      </c>
      <c r="G356" s="163"/>
      <c r="H356" s="157">
        <f t="shared" ref="H356:H368" si="18">G356*F356</f>
        <v>0</v>
      </c>
      <c r="I356" s="163"/>
      <c r="J356" s="157"/>
      <c r="K356" s="163"/>
      <c r="L356" s="157"/>
      <c r="M356" s="152">
        <f t="shared" ref="M356:M368" si="19">L356+J356+H356</f>
        <v>0</v>
      </c>
    </row>
    <row r="357" spans="1:13">
      <c r="A357" s="4"/>
      <c r="B357" s="98" t="s">
        <v>6</v>
      </c>
      <c r="C357" s="136"/>
      <c r="D357" s="7" t="s">
        <v>0</v>
      </c>
      <c r="E357" s="3">
        <v>0.68</v>
      </c>
      <c r="F357" s="7">
        <f>F352*E357</f>
        <v>1.36</v>
      </c>
      <c r="G357" s="163"/>
      <c r="H357" s="157">
        <f t="shared" si="18"/>
        <v>0</v>
      </c>
      <c r="I357" s="163"/>
      <c r="J357" s="157"/>
      <c r="K357" s="163"/>
      <c r="L357" s="157"/>
      <c r="M357" s="152">
        <f t="shared" si="19"/>
        <v>0</v>
      </c>
    </row>
    <row r="358" spans="1:13" ht="27">
      <c r="A358" s="20">
        <v>16</v>
      </c>
      <c r="B358" s="21" t="s">
        <v>268</v>
      </c>
      <c r="C358" s="132" t="s">
        <v>28</v>
      </c>
      <c r="D358" s="22" t="s">
        <v>8</v>
      </c>
      <c r="E358" s="22"/>
      <c r="F358" s="46">
        <f>F362+F363+F364+F365+F366+F367+F368+F369+F370+F371+F372+F373+F374+F375+F376+F377+F378+F379+F380+F381+F382+F383+F384+F385+F386+F387+F388</f>
        <v>75</v>
      </c>
      <c r="G358" s="157"/>
      <c r="H358" s="157">
        <f t="shared" si="18"/>
        <v>0</v>
      </c>
      <c r="I358" s="157"/>
      <c r="J358" s="157">
        <f>I358*F358</f>
        <v>0</v>
      </c>
      <c r="K358" s="157"/>
      <c r="L358" s="157">
        <f>K358*F358</f>
        <v>0</v>
      </c>
      <c r="M358" s="152">
        <f t="shared" si="19"/>
        <v>0</v>
      </c>
    </row>
    <row r="359" spans="1:13">
      <c r="A359" s="20"/>
      <c r="B359" s="24" t="s">
        <v>3</v>
      </c>
      <c r="C359" s="184"/>
      <c r="D359" s="25" t="s">
        <v>4</v>
      </c>
      <c r="E359" s="25">
        <v>0.38900000000000001</v>
      </c>
      <c r="F359" s="26">
        <f>F358*E359</f>
        <v>29.175000000000001</v>
      </c>
      <c r="G359" s="157"/>
      <c r="H359" s="157">
        <f t="shared" si="18"/>
        <v>0</v>
      </c>
      <c r="I359" s="157"/>
      <c r="J359" s="157">
        <f>I359*F359</f>
        <v>0</v>
      </c>
      <c r="K359" s="157"/>
      <c r="L359" s="157">
        <f>K359*F359</f>
        <v>0</v>
      </c>
      <c r="M359" s="152">
        <f t="shared" si="19"/>
        <v>0</v>
      </c>
    </row>
    <row r="360" spans="1:13">
      <c r="A360" s="20"/>
      <c r="B360" s="24" t="s">
        <v>22</v>
      </c>
      <c r="C360" s="184"/>
      <c r="D360" s="3" t="s">
        <v>0</v>
      </c>
      <c r="E360" s="25">
        <v>0.151</v>
      </c>
      <c r="F360" s="26">
        <f>F359*E360</f>
        <v>4.4054250000000001</v>
      </c>
      <c r="G360" s="157"/>
      <c r="H360" s="157">
        <f t="shared" si="18"/>
        <v>0</v>
      </c>
      <c r="I360" s="157"/>
      <c r="J360" s="157">
        <f>I360*F360</f>
        <v>0</v>
      </c>
      <c r="K360" s="157"/>
      <c r="L360" s="157">
        <f>K360*F360</f>
        <v>0</v>
      </c>
      <c r="M360" s="152">
        <f t="shared" si="19"/>
        <v>0</v>
      </c>
    </row>
    <row r="361" spans="1:13">
      <c r="A361" s="42"/>
      <c r="B361" s="3" t="s">
        <v>44</v>
      </c>
      <c r="C361" s="131"/>
      <c r="D361" s="3"/>
      <c r="E361" s="3"/>
      <c r="F361" s="43"/>
      <c r="G361" s="155"/>
      <c r="H361" s="157">
        <f t="shared" si="18"/>
        <v>0</v>
      </c>
      <c r="I361" s="157"/>
      <c r="J361" s="157">
        <f>I361*F361</f>
        <v>0</v>
      </c>
      <c r="K361" s="155"/>
      <c r="L361" s="157">
        <f>K361*F361</f>
        <v>0</v>
      </c>
      <c r="M361" s="152">
        <f t="shared" si="19"/>
        <v>0</v>
      </c>
    </row>
    <row r="362" spans="1:13">
      <c r="A362" s="42"/>
      <c r="B362" s="48" t="s">
        <v>227</v>
      </c>
      <c r="C362" s="136" t="s">
        <v>266</v>
      </c>
      <c r="D362" s="3" t="s">
        <v>8</v>
      </c>
      <c r="E362" s="3"/>
      <c r="F362" s="43">
        <v>2</v>
      </c>
      <c r="G362" s="155"/>
      <c r="H362" s="157">
        <f t="shared" si="18"/>
        <v>0</v>
      </c>
      <c r="I362" s="157"/>
      <c r="J362" s="157"/>
      <c r="K362" s="155"/>
      <c r="L362" s="157"/>
      <c r="M362" s="152">
        <f t="shared" si="19"/>
        <v>0</v>
      </c>
    </row>
    <row r="363" spans="1:13">
      <c r="A363" s="42"/>
      <c r="B363" s="48" t="s">
        <v>186</v>
      </c>
      <c r="C363" s="136" t="s">
        <v>266</v>
      </c>
      <c r="D363" s="3" t="s">
        <v>8</v>
      </c>
      <c r="E363" s="3"/>
      <c r="F363" s="43">
        <v>6</v>
      </c>
      <c r="G363" s="155"/>
      <c r="H363" s="157">
        <f t="shared" si="18"/>
        <v>0</v>
      </c>
      <c r="I363" s="157"/>
      <c r="J363" s="157"/>
      <c r="K363" s="155"/>
      <c r="L363" s="157"/>
      <c r="M363" s="152">
        <f t="shared" si="19"/>
        <v>0</v>
      </c>
    </row>
    <row r="364" spans="1:13">
      <c r="A364" s="42"/>
      <c r="B364" s="48" t="s">
        <v>187</v>
      </c>
      <c r="C364" s="136" t="s">
        <v>266</v>
      </c>
      <c r="D364" s="3" t="s">
        <v>8</v>
      </c>
      <c r="E364" s="3"/>
      <c r="F364" s="43">
        <v>2</v>
      </c>
      <c r="G364" s="155"/>
      <c r="H364" s="157">
        <f t="shared" si="18"/>
        <v>0</v>
      </c>
      <c r="I364" s="157"/>
      <c r="J364" s="157"/>
      <c r="K364" s="155"/>
      <c r="L364" s="157"/>
      <c r="M364" s="152">
        <f t="shared" si="19"/>
        <v>0</v>
      </c>
    </row>
    <row r="365" spans="1:13">
      <c r="A365" s="42"/>
      <c r="B365" s="48" t="s">
        <v>188</v>
      </c>
      <c r="C365" s="136" t="s">
        <v>266</v>
      </c>
      <c r="D365" s="3" t="s">
        <v>8</v>
      </c>
      <c r="E365" s="3"/>
      <c r="F365" s="43">
        <v>4</v>
      </c>
      <c r="G365" s="155"/>
      <c r="H365" s="157">
        <f t="shared" si="18"/>
        <v>0</v>
      </c>
      <c r="I365" s="157"/>
      <c r="J365" s="157"/>
      <c r="K365" s="155"/>
      <c r="L365" s="157"/>
      <c r="M365" s="152">
        <f t="shared" si="19"/>
        <v>0</v>
      </c>
    </row>
    <row r="366" spans="1:13">
      <c r="A366" s="42"/>
      <c r="B366" s="48" t="s">
        <v>236</v>
      </c>
      <c r="C366" s="136" t="s">
        <v>266</v>
      </c>
      <c r="D366" s="3" t="s">
        <v>8</v>
      </c>
      <c r="E366" s="3"/>
      <c r="F366" s="43">
        <v>2</v>
      </c>
      <c r="G366" s="155"/>
      <c r="H366" s="157">
        <f t="shared" si="18"/>
        <v>0</v>
      </c>
      <c r="I366" s="157"/>
      <c r="J366" s="157"/>
      <c r="K366" s="155"/>
      <c r="L366" s="157"/>
      <c r="M366" s="152">
        <f>L366+J366+H366</f>
        <v>0</v>
      </c>
    </row>
    <row r="367" spans="1:13">
      <c r="A367" s="42"/>
      <c r="B367" s="48" t="s">
        <v>237</v>
      </c>
      <c r="C367" s="136" t="s">
        <v>266</v>
      </c>
      <c r="D367" s="3" t="s">
        <v>8</v>
      </c>
      <c r="E367" s="3"/>
      <c r="F367" s="43">
        <v>2</v>
      </c>
      <c r="G367" s="155"/>
      <c r="H367" s="157">
        <f t="shared" si="18"/>
        <v>0</v>
      </c>
      <c r="I367" s="157"/>
      <c r="J367" s="157"/>
      <c r="K367" s="155"/>
      <c r="L367" s="157"/>
      <c r="M367" s="152">
        <f t="shared" si="19"/>
        <v>0</v>
      </c>
    </row>
    <row r="368" spans="1:13" ht="29.25">
      <c r="A368" s="42"/>
      <c r="B368" s="48" t="s">
        <v>228</v>
      </c>
      <c r="C368" s="140" t="s">
        <v>370</v>
      </c>
      <c r="D368" s="3" t="s">
        <v>8</v>
      </c>
      <c r="E368" s="3"/>
      <c r="F368" s="43">
        <v>1</v>
      </c>
      <c r="G368" s="155"/>
      <c r="H368" s="157">
        <f t="shared" si="18"/>
        <v>0</v>
      </c>
      <c r="I368" s="157"/>
      <c r="J368" s="157"/>
      <c r="K368" s="155"/>
      <c r="L368" s="157"/>
      <c r="M368" s="152">
        <f t="shared" si="19"/>
        <v>0</v>
      </c>
    </row>
    <row r="369" spans="1:13" ht="29.25">
      <c r="A369" s="42"/>
      <c r="B369" s="48" t="s">
        <v>229</v>
      </c>
      <c r="C369" s="140" t="s">
        <v>370</v>
      </c>
      <c r="D369" s="3" t="s">
        <v>8</v>
      </c>
      <c r="E369" s="3"/>
      <c r="F369" s="43">
        <v>1</v>
      </c>
      <c r="G369" s="155"/>
      <c r="H369" s="157">
        <f t="shared" ref="H369:H389" si="20">G369*F369</f>
        <v>0</v>
      </c>
      <c r="I369" s="157"/>
      <c r="J369" s="157"/>
      <c r="K369" s="155"/>
      <c r="L369" s="157"/>
      <c r="M369" s="152">
        <f t="shared" ref="M369:M389" si="21">L369+J369+H369</f>
        <v>0</v>
      </c>
    </row>
    <row r="370" spans="1:13" ht="29.25">
      <c r="A370" s="42"/>
      <c r="B370" s="48" t="s">
        <v>123</v>
      </c>
      <c r="C370" s="140" t="s">
        <v>370</v>
      </c>
      <c r="D370" s="3" t="s">
        <v>8</v>
      </c>
      <c r="E370" s="3"/>
      <c r="F370" s="43">
        <v>1</v>
      </c>
      <c r="G370" s="155"/>
      <c r="H370" s="157">
        <f t="shared" si="20"/>
        <v>0</v>
      </c>
      <c r="I370" s="157"/>
      <c r="J370" s="157"/>
      <c r="K370" s="155"/>
      <c r="L370" s="157"/>
      <c r="M370" s="152">
        <f t="shared" si="21"/>
        <v>0</v>
      </c>
    </row>
    <row r="371" spans="1:13" ht="29.25">
      <c r="A371" s="42"/>
      <c r="B371" s="48" t="s">
        <v>193</v>
      </c>
      <c r="C371" s="140" t="s">
        <v>370</v>
      </c>
      <c r="D371" s="3" t="s">
        <v>8</v>
      </c>
      <c r="E371" s="3"/>
      <c r="F371" s="43">
        <v>1</v>
      </c>
      <c r="G371" s="155"/>
      <c r="H371" s="157">
        <f t="shared" si="20"/>
        <v>0</v>
      </c>
      <c r="I371" s="157"/>
      <c r="J371" s="157"/>
      <c r="K371" s="155"/>
      <c r="L371" s="157"/>
      <c r="M371" s="152">
        <f t="shared" si="21"/>
        <v>0</v>
      </c>
    </row>
    <row r="372" spans="1:13" ht="29.25">
      <c r="A372" s="42"/>
      <c r="B372" s="48" t="s">
        <v>230</v>
      </c>
      <c r="C372" s="140" t="s">
        <v>370</v>
      </c>
      <c r="D372" s="3" t="s">
        <v>8</v>
      </c>
      <c r="E372" s="3"/>
      <c r="F372" s="43">
        <v>2</v>
      </c>
      <c r="G372" s="155"/>
      <c r="H372" s="157">
        <f t="shared" si="20"/>
        <v>0</v>
      </c>
      <c r="I372" s="157"/>
      <c r="J372" s="157"/>
      <c r="K372" s="155"/>
      <c r="L372" s="157"/>
      <c r="M372" s="152">
        <f t="shared" si="21"/>
        <v>0</v>
      </c>
    </row>
    <row r="373" spans="1:13" ht="29.25">
      <c r="A373" s="42"/>
      <c r="B373" s="48" t="s">
        <v>231</v>
      </c>
      <c r="C373" s="140" t="s">
        <v>370</v>
      </c>
      <c r="D373" s="3" t="s">
        <v>8</v>
      </c>
      <c r="E373" s="3"/>
      <c r="F373" s="43">
        <v>1</v>
      </c>
      <c r="G373" s="155"/>
      <c r="H373" s="157">
        <f t="shared" si="20"/>
        <v>0</v>
      </c>
      <c r="I373" s="157"/>
      <c r="J373" s="157"/>
      <c r="K373" s="155"/>
      <c r="L373" s="157"/>
      <c r="M373" s="152">
        <f t="shared" si="21"/>
        <v>0</v>
      </c>
    </row>
    <row r="374" spans="1:13">
      <c r="A374" s="42"/>
      <c r="B374" s="48" t="s">
        <v>189</v>
      </c>
      <c r="C374" s="140" t="s">
        <v>31</v>
      </c>
      <c r="D374" s="3" t="s">
        <v>8</v>
      </c>
      <c r="E374" s="3"/>
      <c r="F374" s="43">
        <v>1</v>
      </c>
      <c r="G374" s="155"/>
      <c r="H374" s="157">
        <f t="shared" si="20"/>
        <v>0</v>
      </c>
      <c r="I374" s="157"/>
      <c r="J374" s="157"/>
      <c r="K374" s="155"/>
      <c r="L374" s="157"/>
      <c r="M374" s="152">
        <f t="shared" si="21"/>
        <v>0</v>
      </c>
    </row>
    <row r="375" spans="1:13">
      <c r="A375" s="42"/>
      <c r="B375" s="48" t="s">
        <v>232</v>
      </c>
      <c r="C375" s="140" t="s">
        <v>31</v>
      </c>
      <c r="D375" s="3" t="s">
        <v>8</v>
      </c>
      <c r="E375" s="3"/>
      <c r="F375" s="43">
        <v>1</v>
      </c>
      <c r="G375" s="155"/>
      <c r="H375" s="157">
        <f t="shared" si="20"/>
        <v>0</v>
      </c>
      <c r="I375" s="157"/>
      <c r="J375" s="157"/>
      <c r="K375" s="155"/>
      <c r="L375" s="157"/>
      <c r="M375" s="152">
        <f t="shared" si="21"/>
        <v>0</v>
      </c>
    </row>
    <row r="376" spans="1:13" ht="29.25">
      <c r="A376" s="42"/>
      <c r="B376" s="126" t="s">
        <v>233</v>
      </c>
      <c r="C376" s="140" t="s">
        <v>370</v>
      </c>
      <c r="D376" s="3" t="s">
        <v>8</v>
      </c>
      <c r="E376" s="3"/>
      <c r="F376" s="43">
        <v>2</v>
      </c>
      <c r="G376" s="155"/>
      <c r="H376" s="157">
        <f t="shared" si="20"/>
        <v>0</v>
      </c>
      <c r="I376" s="157"/>
      <c r="J376" s="157"/>
      <c r="K376" s="155"/>
      <c r="L376" s="157"/>
      <c r="M376" s="152">
        <f t="shared" si="21"/>
        <v>0</v>
      </c>
    </row>
    <row r="377" spans="1:13" ht="29.25">
      <c r="A377" s="42"/>
      <c r="B377" s="126" t="s">
        <v>190</v>
      </c>
      <c r="C377" s="140" t="s">
        <v>370</v>
      </c>
      <c r="D377" s="3" t="s">
        <v>8</v>
      </c>
      <c r="E377" s="3"/>
      <c r="F377" s="43">
        <v>6</v>
      </c>
      <c r="G377" s="155"/>
      <c r="H377" s="157">
        <f>G377*F377</f>
        <v>0</v>
      </c>
      <c r="I377" s="157"/>
      <c r="J377" s="157"/>
      <c r="K377" s="155"/>
      <c r="L377" s="157"/>
      <c r="M377" s="152">
        <f>L377+J377+H377</f>
        <v>0</v>
      </c>
    </row>
    <row r="378" spans="1:13" ht="29.25">
      <c r="A378" s="42"/>
      <c r="B378" s="126" t="s">
        <v>191</v>
      </c>
      <c r="C378" s="140" t="s">
        <v>370</v>
      </c>
      <c r="D378" s="3" t="s">
        <v>8</v>
      </c>
      <c r="E378" s="3"/>
      <c r="F378" s="43">
        <v>2</v>
      </c>
      <c r="G378" s="155"/>
      <c r="H378" s="157">
        <f>G378*F378</f>
        <v>0</v>
      </c>
      <c r="I378" s="157"/>
      <c r="J378" s="157"/>
      <c r="K378" s="155"/>
      <c r="L378" s="157"/>
      <c r="M378" s="152">
        <f t="shared" si="21"/>
        <v>0</v>
      </c>
    </row>
    <row r="379" spans="1:13" ht="29.25">
      <c r="A379" s="42"/>
      <c r="B379" s="126" t="s">
        <v>192</v>
      </c>
      <c r="C379" s="140" t="s">
        <v>370</v>
      </c>
      <c r="D379" s="3" t="s">
        <v>8</v>
      </c>
      <c r="E379" s="3"/>
      <c r="F379" s="43">
        <v>4</v>
      </c>
      <c r="G379" s="155"/>
      <c r="H379" s="157">
        <f t="shared" si="20"/>
        <v>0</v>
      </c>
      <c r="I379" s="157"/>
      <c r="J379" s="157"/>
      <c r="K379" s="155"/>
      <c r="L379" s="157"/>
      <c r="M379" s="152">
        <f t="shared" si="21"/>
        <v>0</v>
      </c>
    </row>
    <row r="380" spans="1:13" ht="29.25">
      <c r="A380" s="42"/>
      <c r="B380" s="126" t="s">
        <v>234</v>
      </c>
      <c r="C380" s="140" t="s">
        <v>370</v>
      </c>
      <c r="D380" s="3" t="s">
        <v>8</v>
      </c>
      <c r="E380" s="3"/>
      <c r="F380" s="43">
        <v>2</v>
      </c>
      <c r="G380" s="155"/>
      <c r="H380" s="157">
        <f>G380*F380</f>
        <v>0</v>
      </c>
      <c r="I380" s="157"/>
      <c r="J380" s="157"/>
      <c r="K380" s="155"/>
      <c r="L380" s="157"/>
      <c r="M380" s="152">
        <f>L380+J380+H380</f>
        <v>0</v>
      </c>
    </row>
    <row r="381" spans="1:13" ht="29.25">
      <c r="A381" s="42"/>
      <c r="B381" s="126" t="s">
        <v>235</v>
      </c>
      <c r="C381" s="140" t="s">
        <v>370</v>
      </c>
      <c r="D381" s="3" t="s">
        <v>8</v>
      </c>
      <c r="E381" s="3"/>
      <c r="F381" s="43">
        <v>2</v>
      </c>
      <c r="G381" s="155"/>
      <c r="H381" s="157">
        <f>G381*F381</f>
        <v>0</v>
      </c>
      <c r="I381" s="157"/>
      <c r="J381" s="157"/>
      <c r="K381" s="155"/>
      <c r="L381" s="157"/>
      <c r="M381" s="152">
        <f>L381+J381+H381</f>
        <v>0</v>
      </c>
    </row>
    <row r="382" spans="1:13" ht="29.25">
      <c r="A382" s="42"/>
      <c r="B382" s="126" t="s">
        <v>174</v>
      </c>
      <c r="C382" s="140" t="s">
        <v>370</v>
      </c>
      <c r="D382" s="3" t="s">
        <v>8</v>
      </c>
      <c r="E382" s="3"/>
      <c r="F382" s="43">
        <v>5</v>
      </c>
      <c r="G382" s="155"/>
      <c r="H382" s="157">
        <f t="shared" si="20"/>
        <v>0</v>
      </c>
      <c r="I382" s="157"/>
      <c r="J382" s="157"/>
      <c r="K382" s="155"/>
      <c r="L382" s="157"/>
      <c r="M382" s="152">
        <f t="shared" si="21"/>
        <v>0</v>
      </c>
    </row>
    <row r="383" spans="1:13" ht="29.25">
      <c r="A383" s="42"/>
      <c r="B383" s="126" t="s">
        <v>238</v>
      </c>
      <c r="C383" s="140" t="s">
        <v>370</v>
      </c>
      <c r="D383" s="3" t="s">
        <v>8</v>
      </c>
      <c r="E383" s="3"/>
      <c r="F383" s="43">
        <v>1</v>
      </c>
      <c r="G383" s="155"/>
      <c r="H383" s="157">
        <f>G383*F383</f>
        <v>0</v>
      </c>
      <c r="I383" s="157"/>
      <c r="J383" s="157"/>
      <c r="K383" s="155"/>
      <c r="L383" s="157"/>
      <c r="M383" s="152">
        <f>L383+J383+H383</f>
        <v>0</v>
      </c>
    </row>
    <row r="384" spans="1:13" ht="29.25">
      <c r="A384" s="42"/>
      <c r="B384" s="126" t="s">
        <v>96</v>
      </c>
      <c r="C384" s="140" t="s">
        <v>370</v>
      </c>
      <c r="D384" s="3" t="s">
        <v>8</v>
      </c>
      <c r="E384" s="3"/>
      <c r="F384" s="43">
        <v>10</v>
      </c>
      <c r="G384" s="155"/>
      <c r="H384" s="157">
        <f t="shared" si="20"/>
        <v>0</v>
      </c>
      <c r="I384" s="157"/>
      <c r="J384" s="157"/>
      <c r="K384" s="155"/>
      <c r="L384" s="157"/>
      <c r="M384" s="152">
        <f t="shared" si="21"/>
        <v>0</v>
      </c>
    </row>
    <row r="385" spans="1:13" ht="29.25">
      <c r="A385" s="42"/>
      <c r="B385" s="126" t="s">
        <v>175</v>
      </c>
      <c r="C385" s="140" t="s">
        <v>370</v>
      </c>
      <c r="D385" s="3" t="s">
        <v>8</v>
      </c>
      <c r="E385" s="3"/>
      <c r="F385" s="43">
        <v>3</v>
      </c>
      <c r="G385" s="155"/>
      <c r="H385" s="157">
        <f t="shared" si="20"/>
        <v>0</v>
      </c>
      <c r="I385" s="157"/>
      <c r="J385" s="157"/>
      <c r="K385" s="155"/>
      <c r="L385" s="157"/>
      <c r="M385" s="152">
        <f t="shared" si="21"/>
        <v>0</v>
      </c>
    </row>
    <row r="386" spans="1:13" ht="29.25">
      <c r="A386" s="42"/>
      <c r="B386" s="126" t="s">
        <v>176</v>
      </c>
      <c r="C386" s="140" t="s">
        <v>370</v>
      </c>
      <c r="D386" s="3" t="s">
        <v>8</v>
      </c>
      <c r="E386" s="3"/>
      <c r="F386" s="43">
        <v>6</v>
      </c>
      <c r="G386" s="155"/>
      <c r="H386" s="157">
        <f t="shared" si="20"/>
        <v>0</v>
      </c>
      <c r="I386" s="157"/>
      <c r="J386" s="157"/>
      <c r="K386" s="155"/>
      <c r="L386" s="157"/>
      <c r="M386" s="152">
        <f t="shared" si="21"/>
        <v>0</v>
      </c>
    </row>
    <row r="387" spans="1:13" ht="29.25">
      <c r="A387" s="42"/>
      <c r="B387" s="126" t="s">
        <v>239</v>
      </c>
      <c r="C387" s="140" t="s">
        <v>370</v>
      </c>
      <c r="D387" s="3" t="s">
        <v>8</v>
      </c>
      <c r="E387" s="3"/>
      <c r="F387" s="43">
        <v>2</v>
      </c>
      <c r="G387" s="155"/>
      <c r="H387" s="157">
        <f>G387*F387</f>
        <v>0</v>
      </c>
      <c r="I387" s="157"/>
      <c r="J387" s="157"/>
      <c r="K387" s="155"/>
      <c r="L387" s="157"/>
      <c r="M387" s="152">
        <f>L387+J387+H387</f>
        <v>0</v>
      </c>
    </row>
    <row r="388" spans="1:13" ht="29.25">
      <c r="A388" s="42"/>
      <c r="B388" s="126" t="s">
        <v>97</v>
      </c>
      <c r="C388" s="140" t="s">
        <v>370</v>
      </c>
      <c r="D388" s="3" t="s">
        <v>8</v>
      </c>
      <c r="E388" s="3"/>
      <c r="F388" s="43">
        <v>3</v>
      </c>
      <c r="G388" s="155"/>
      <c r="H388" s="157">
        <f>G388*F388</f>
        <v>0</v>
      </c>
      <c r="I388" s="157"/>
      <c r="J388" s="157"/>
      <c r="K388" s="155"/>
      <c r="L388" s="157"/>
      <c r="M388" s="152">
        <f>L388+J388+H388</f>
        <v>0</v>
      </c>
    </row>
    <row r="389" spans="1:13">
      <c r="A389" s="42"/>
      <c r="B389" s="24" t="s">
        <v>6</v>
      </c>
      <c r="C389" s="131"/>
      <c r="D389" s="3" t="s">
        <v>0</v>
      </c>
      <c r="E389" s="3">
        <v>0.24</v>
      </c>
      <c r="F389" s="43">
        <f>E389*F358</f>
        <v>18</v>
      </c>
      <c r="G389" s="155"/>
      <c r="H389" s="157">
        <f t="shared" si="20"/>
        <v>0</v>
      </c>
      <c r="I389" s="157"/>
      <c r="J389" s="157"/>
      <c r="K389" s="155"/>
      <c r="L389" s="157"/>
      <c r="M389" s="152">
        <f t="shared" si="21"/>
        <v>0</v>
      </c>
    </row>
    <row r="390" spans="1:13">
      <c r="A390" s="4"/>
      <c r="B390" s="98" t="s">
        <v>2</v>
      </c>
      <c r="C390" s="136"/>
      <c r="D390" s="7"/>
      <c r="E390" s="3"/>
      <c r="F390" s="7"/>
      <c r="G390" s="163"/>
      <c r="H390" s="160">
        <f>SUM(H272:H389)</f>
        <v>0</v>
      </c>
      <c r="I390" s="160"/>
      <c r="J390" s="160">
        <f>SUM(J272:J389)</f>
        <v>0</v>
      </c>
      <c r="K390" s="160"/>
      <c r="L390" s="160">
        <f>SUM(L272:L389)</f>
        <v>0</v>
      </c>
      <c r="M390" s="160">
        <f>SUM(M272:M389)</f>
        <v>0</v>
      </c>
    </row>
    <row r="391" spans="1:13">
      <c r="A391" s="6"/>
      <c r="B391" s="77" t="s">
        <v>94</v>
      </c>
      <c r="C391" s="144"/>
      <c r="D391" s="79"/>
      <c r="E391" s="80"/>
      <c r="F391" s="81"/>
      <c r="G391" s="176"/>
      <c r="H391" s="176">
        <f>H390+H230+H83+H270</f>
        <v>0</v>
      </c>
      <c r="I391" s="176"/>
      <c r="J391" s="176">
        <f>J390+J230+J83+J270</f>
        <v>0</v>
      </c>
      <c r="K391" s="176"/>
      <c r="L391" s="176">
        <f>L390+L230+L83+L270</f>
        <v>0</v>
      </c>
      <c r="M391" s="176">
        <f>L391+J391+H391</f>
        <v>0</v>
      </c>
    </row>
    <row r="392" spans="1:13">
      <c r="A392" s="6"/>
      <c r="B392" s="77" t="s">
        <v>358</v>
      </c>
      <c r="C392" s="144"/>
      <c r="D392" s="79"/>
      <c r="E392" s="80"/>
      <c r="F392" s="81"/>
      <c r="G392" s="176"/>
      <c r="H392" s="176">
        <f>H243+H244+H245+H246+H247+H248+H249+H250+H251+H252</f>
        <v>0</v>
      </c>
      <c r="I392" s="176"/>
      <c r="J392" s="176">
        <f>J243+J244+J245+J246+J247+J248+J249+J250+J251+J252</f>
        <v>0</v>
      </c>
      <c r="K392" s="176"/>
      <c r="L392" s="176">
        <f>L243+L244+L245+L246+L247+L248+L249+L250+L251+L252</f>
        <v>0</v>
      </c>
      <c r="M392" s="176">
        <f>M243+M244+M245+M246+M247+M248+M249+M250+M251+M252</f>
        <v>0</v>
      </c>
    </row>
    <row r="393" spans="1:13">
      <c r="A393" s="3"/>
      <c r="B393" s="85" t="s">
        <v>2</v>
      </c>
      <c r="C393" s="145"/>
      <c r="D393" s="25"/>
      <c r="E393" s="86"/>
      <c r="F393" s="87"/>
      <c r="G393" s="177"/>
      <c r="H393" s="177"/>
      <c r="I393" s="177"/>
      <c r="J393" s="177"/>
      <c r="K393" s="177"/>
      <c r="L393" s="177"/>
      <c r="M393" s="177" t="e">
        <f>M391+#REF!</f>
        <v>#REF!</v>
      </c>
    </row>
    <row r="394" spans="1:13">
      <c r="A394" s="3"/>
      <c r="B394" s="73" t="s">
        <v>52</v>
      </c>
      <c r="C394" s="146"/>
      <c r="D394" s="89"/>
      <c r="E394" s="125">
        <f>M391-E395</f>
        <v>0</v>
      </c>
      <c r="F394" s="84"/>
      <c r="G394" s="178"/>
      <c r="H394" s="178"/>
      <c r="I394" s="178"/>
      <c r="J394" s="178"/>
      <c r="K394" s="178"/>
      <c r="L394" s="178"/>
      <c r="M394" s="178">
        <f>E394*D394</f>
        <v>0</v>
      </c>
    </row>
    <row r="395" spans="1:13">
      <c r="A395" s="3"/>
      <c r="B395" s="73" t="s">
        <v>359</v>
      </c>
      <c r="C395" s="146"/>
      <c r="D395" s="89"/>
      <c r="E395" s="125">
        <f>M392</f>
        <v>0</v>
      </c>
      <c r="F395" s="84"/>
      <c r="G395" s="178"/>
      <c r="H395" s="178"/>
      <c r="I395" s="178"/>
      <c r="J395" s="178"/>
      <c r="K395" s="178"/>
      <c r="L395" s="178"/>
      <c r="M395" s="178">
        <f>E395*D395</f>
        <v>0</v>
      </c>
    </row>
    <row r="396" spans="1:13">
      <c r="A396" s="3"/>
      <c r="B396" s="85" t="s">
        <v>2</v>
      </c>
      <c r="C396" s="145"/>
      <c r="D396" s="25"/>
      <c r="E396" s="86"/>
      <c r="F396" s="87"/>
      <c r="G396" s="177"/>
      <c r="H396" s="177"/>
      <c r="I396" s="177"/>
      <c r="J396" s="177"/>
      <c r="K396" s="177"/>
      <c r="L396" s="177"/>
      <c r="M396" s="177" t="e">
        <f>M393+M394+M395</f>
        <v>#REF!</v>
      </c>
    </row>
    <row r="397" spans="1:13">
      <c r="A397" s="3"/>
      <c r="B397" s="73" t="s">
        <v>48</v>
      </c>
      <c r="C397" s="146"/>
      <c r="D397" s="82"/>
      <c r="E397" s="83"/>
      <c r="F397" s="84"/>
      <c r="G397" s="178"/>
      <c r="H397" s="178"/>
      <c r="I397" s="178"/>
      <c r="J397" s="178"/>
      <c r="K397" s="178"/>
      <c r="L397" s="178"/>
      <c r="M397" s="178" t="e">
        <f>M396*D397</f>
        <v>#REF!</v>
      </c>
    </row>
    <row r="398" spans="1:13">
      <c r="A398" s="3"/>
      <c r="B398" s="85" t="s">
        <v>54</v>
      </c>
      <c r="C398" s="145"/>
      <c r="D398" s="88"/>
      <c r="E398" s="86"/>
      <c r="F398" s="87"/>
      <c r="G398" s="177"/>
      <c r="H398" s="177"/>
      <c r="I398" s="177"/>
      <c r="J398" s="177"/>
      <c r="K398" s="177"/>
      <c r="L398" s="177"/>
      <c r="M398" s="177" t="e">
        <f>M396+M397</f>
        <v>#REF!</v>
      </c>
    </row>
    <row r="399" spans="1:13">
      <c r="A399" s="116"/>
      <c r="B399" s="117"/>
      <c r="C399" s="147"/>
      <c r="D399" s="118"/>
      <c r="E399" s="119"/>
      <c r="F399" s="120"/>
      <c r="G399" s="179"/>
      <c r="H399" s="179"/>
      <c r="I399" s="179"/>
      <c r="J399" s="179"/>
      <c r="K399" s="179"/>
      <c r="L399" s="179"/>
      <c r="M399" s="179"/>
    </row>
    <row r="400" spans="1:13">
      <c r="A400" s="116"/>
      <c r="B400" s="117"/>
      <c r="C400" s="147"/>
      <c r="D400" s="118"/>
      <c r="E400" s="119"/>
      <c r="F400" s="120"/>
      <c r="G400" s="179"/>
      <c r="H400" s="179"/>
      <c r="I400" s="179"/>
      <c r="J400" s="179"/>
      <c r="K400" s="179"/>
      <c r="L400" s="179"/>
      <c r="M400" s="179"/>
    </row>
  </sheetData>
  <mergeCells count="17">
    <mergeCell ref="F1:I1"/>
    <mergeCell ref="A2:M2"/>
    <mergeCell ref="A3:M3"/>
    <mergeCell ref="B4:K4"/>
    <mergeCell ref="B5:B6"/>
    <mergeCell ref="C5:C6"/>
    <mergeCell ref="E5:E6"/>
    <mergeCell ref="D5:D6"/>
    <mergeCell ref="F5:F6"/>
    <mergeCell ref="G5:H5"/>
    <mergeCell ref="A271:M271"/>
    <mergeCell ref="B8:M8"/>
    <mergeCell ref="A84:M84"/>
    <mergeCell ref="B231:M231"/>
    <mergeCell ref="A5:A6"/>
    <mergeCell ref="I5:J5"/>
    <mergeCell ref="K5:L5"/>
  </mergeCells>
  <printOptions horizontalCentered="1"/>
  <pageMargins left="0.11811023622047245" right="0.11811023622047245" top="0.55118110236220474" bottom="0.55118110236220474" header="0.23622047244094491" footer="0.31496062992125984"/>
  <pageSetup paperSize="9" scale="85" fitToHeight="0" orientation="landscape" horizontalDpi="4294967293" verticalDpi="4294967293" r:id="rId1"/>
  <headerFooter alignWithMargins="0">
    <oddHeader>&amp;Rდანართი № 1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ობიექტური</vt:lpstr>
      <vt:lpstr>შიდა ქსელი</vt:lpstr>
      <vt:lpstr>ობიექტური!Print_Area</vt:lpstr>
      <vt:lpstr>'შიდა ქსელი'!Print_Area</vt:lpstr>
      <vt:lpstr>ობიექტური!Print_Titles</vt:lpstr>
      <vt:lpstr>'შიდა ქსელი'!Print_Titles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Lasha Gabunia</dc:creator>
  <cp:lastModifiedBy>win7</cp:lastModifiedBy>
  <cp:lastPrinted>2018-05-28T14:11:50Z</cp:lastPrinted>
  <dcterms:created xsi:type="dcterms:W3CDTF">1996-10-14T23:33:28Z</dcterms:created>
  <dcterms:modified xsi:type="dcterms:W3CDTF">2018-06-18T12:02:09Z</dcterms:modified>
</cp:coreProperties>
</file>