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00" tabRatio="913" activeTab="0"/>
  </bookViews>
  <sheets>
    <sheet name="1.1" sheetId="1" r:id="rId1"/>
    <sheet name="1.2" sheetId="2" r:id="rId2"/>
    <sheet name="1.3" sheetId="3" r:id="rId3"/>
    <sheet name="ნაერთი" sheetId="4" r:id="rId4"/>
  </sheets>
  <definedNames>
    <definedName name="_xlnm._FilterDatabase" localSheetId="0" hidden="1">'1.1'!$A$8:$M$66</definedName>
    <definedName name="_xlnm._FilterDatabase" localSheetId="1" hidden="1">'1.2'!$A$5:$M$6</definedName>
    <definedName name="_xlnm.Print_Area" localSheetId="0">'1.1'!$A$1:$M$320</definedName>
    <definedName name="_xlnm.Print_Area" localSheetId="1">'1.2'!$A$1:$M$68</definedName>
    <definedName name="_xlnm.Print_Area" localSheetId="2">'1.3'!$A$1:$M$31</definedName>
    <definedName name="_xlnm.Print_Area" localSheetId="3">'ნაერთი'!$A$1:$E$12</definedName>
  </definedNames>
  <calcPr fullCalcOnLoad="1"/>
</workbook>
</file>

<file path=xl/sharedStrings.xml><?xml version="1.0" encoding="utf-8"?>
<sst xmlns="http://schemas.openxmlformats.org/spreadsheetml/2006/main" count="997" uniqueCount="408">
  <si>
    <t>სარემონტო სამუშაოები</t>
  </si>
  <si>
    <t>jami</t>
  </si>
  <si>
    <t>#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</si>
  <si>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</si>
  <si>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</si>
  <si>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</si>
  <si>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</si>
  <si>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</si>
  <si>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</si>
  <si>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</si>
  <si>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</si>
  <si>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</si>
  <si>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</si>
  <si>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</si>
  <si>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</si>
  <si>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</si>
  <si>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</si>
  <si>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46-31-2</t>
  </si>
  <si>
    <t>15-168-7</t>
  </si>
  <si>
    <t>kv.m.</t>
  </si>
  <si>
    <t xml:space="preserve">gegmiuri mogeba </t>
  </si>
  <si>
    <t xml:space="preserve">jami  </t>
  </si>
  <si>
    <t>46-31-11</t>
  </si>
  <si>
    <t>sabazro</t>
  </si>
  <si>
    <t>34-58gam.</t>
  </si>
  <si>
    <t>r25-6-6</t>
  </si>
  <si>
    <t>r25-13-5</t>
  </si>
  <si>
    <t>11-8-1;11-8-2</t>
  </si>
  <si>
    <t>11-27-6gam.</t>
  </si>
  <si>
    <t>11-30-7</t>
  </si>
  <si>
    <t>10-10-3gam</t>
  </si>
  <si>
    <t>11-20-3.</t>
  </si>
  <si>
    <t>15-14-1.</t>
  </si>
  <si>
    <t>10-59-2</t>
  </si>
  <si>
    <t>dam.gam.2</t>
  </si>
  <si>
    <t>46-15-2.</t>
  </si>
  <si>
    <t xml:space="preserve"> jami</t>
  </si>
  <si>
    <t>10-6-2.</t>
  </si>
  <si>
    <t>k=0.8</t>
  </si>
  <si>
    <t>r21-87</t>
  </si>
  <si>
    <t>r1-3gam</t>
  </si>
  <si>
    <t>gauTvaliswinebeli xarjebi</t>
  </si>
  <si>
    <t>satransporto xarjebi (masalidan)</t>
  </si>
  <si>
    <t xml:space="preserve">zednadebi xarjebi </t>
  </si>
  <si>
    <t>sndaw
IV-2-82
15-164-7</t>
  </si>
  <si>
    <t>9-14-6.</t>
  </si>
  <si>
    <t>46-27-5</t>
  </si>
  <si>
    <t>კვ.მ.</t>
  </si>
  <si>
    <t>შრომითი რესურსები</t>
  </si>
  <si>
    <t>კაც/სთ</t>
  </si>
  <si>
    <t>მანქანები</t>
  </si>
  <si>
    <t>ლარი</t>
  </si>
  <si>
    <t>კედლებიდან კაფელის მოხსნა</t>
  </si>
  <si>
    <t>კუბ.მ.</t>
  </si>
  <si>
    <t>შეკიდული ჭერის დემონტაჟი</t>
  </si>
  <si>
    <t>ლამინატის იატაკის დემონტაჟი</t>
  </si>
  <si>
    <t>სადემონტაჟო სამუშაოები</t>
  </si>
  <si>
    <t>კედლებიდან არსებული ნალესის მოხსნა</t>
  </si>
  <si>
    <t>კედლებიდან თაბაშირმუყაოს მოხსნა</t>
  </si>
  <si>
    <t>გრძ.მ.</t>
  </si>
  <si>
    <t>ტერიტორიის გასუფთავება სამშენებლო ნაგვისგან ხელით</t>
  </si>
  <si>
    <t>ტონა</t>
  </si>
  <si>
    <t>სამშენებლო ნაგვის დატვირთვა ავტოთვითმცლელებზე ხელით</t>
  </si>
  <si>
    <t>სამშენებლო ნაგვის ტრანსპორტირება</t>
  </si>
  <si>
    <t>25 კმ.-ზე</t>
  </si>
  <si>
    <t>თაბაშირმუყაოს ფილა</t>
  </si>
  <si>
    <t>დუბელი პლასტმასის 6X35</t>
  </si>
  <si>
    <t>თვითმჭრელი 4,2X13</t>
  </si>
  <si>
    <t>თვითმჭრელი 3,5X35</t>
  </si>
  <si>
    <t>ქვაბამბა სისქით 5 სმ</t>
  </si>
  <si>
    <t>სხვა მასალები</t>
  </si>
  <si>
    <t>ცალი</t>
  </si>
  <si>
    <t>კედელზე თაბაშირმუყაოს ფილის მონტაჟი</t>
  </si>
  <si>
    <t>ცემენტის ხსნარი</t>
  </si>
  <si>
    <t>სხვა ხარჯები</t>
  </si>
  <si>
    <t>კგ</t>
  </si>
  <si>
    <t>შრომის დანახარჯები</t>
  </si>
  <si>
    <t>სხვადასხვა მექანიზმები</t>
  </si>
  <si>
    <t>მასალები</t>
  </si>
  <si>
    <t>გრუნტი</t>
  </si>
  <si>
    <t>წყალემულსია</t>
  </si>
  <si>
    <t>ფითხი</t>
  </si>
  <si>
    <t>ზუმფარა</t>
  </si>
  <si>
    <t>წებო</t>
  </si>
  <si>
    <t>ლამინირებული იატაკის ქვეშაგები</t>
  </si>
  <si>
    <t>ლამინირებული პლინტუსი</t>
  </si>
  <si>
    <t>100კვ.მ.</t>
  </si>
  <si>
    <t>შრომითი რესურსები 18,8+0,34X10=</t>
  </si>
  <si>
    <t>მანქანები 0,95+0,23X10=</t>
  </si>
  <si>
    <t>ცემენტის ხსნარი ~m100~ 2,04+0,51X10=</t>
  </si>
  <si>
    <t>კედლების მოპირკეთება მოჭიქული ფილებით</t>
  </si>
  <si>
    <t>კერამიკული ფილა</t>
  </si>
  <si>
    <t>წებო-ცემენტი</t>
  </si>
  <si>
    <t>სხვა-ხარჯები</t>
  </si>
  <si>
    <t>იატაკზე კერამიკული ფილების დაგება</t>
  </si>
  <si>
    <t>ფილები კერამიკული (მეტლახის)</t>
  </si>
  <si>
    <t>იატაკზე კერამოგრანიტის ფილების დაგება</t>
  </si>
  <si>
    <t>ოლიფა</t>
  </si>
  <si>
    <t>ანტიკოროზიული საღებავი</t>
  </si>
  <si>
    <t>საფუძველი</t>
  </si>
  <si>
    <t>სამუშაოს</t>
  </si>
  <si>
    <t>დასახელება</t>
  </si>
  <si>
    <t>ნორმატიული</t>
  </si>
  <si>
    <t>რესურსი</t>
  </si>
  <si>
    <t xml:space="preserve">            ხელფასი</t>
  </si>
  <si>
    <t xml:space="preserve">       მასალა</t>
  </si>
  <si>
    <t xml:space="preserve">   სამშენებლო</t>
  </si>
  <si>
    <t xml:space="preserve">   მექანიზმები</t>
  </si>
  <si>
    <t>ჯამი</t>
  </si>
  <si>
    <t>სულ</t>
  </si>
  <si>
    <t>ერთ.</t>
  </si>
  <si>
    <t>ფასი</t>
  </si>
  <si>
    <t>განზ.</t>
  </si>
  <si>
    <t>ერთეულზე</t>
  </si>
  <si>
    <t>კ=0.8</t>
  </si>
  <si>
    <t>დასამატებელია</t>
  </si>
  <si>
    <t>ელ. შედუღების სამუშაოები</t>
  </si>
  <si>
    <t>ცივი და ცხელი შედუღების სამუშაოები</t>
  </si>
  <si>
    <t>თუნუქი პროფილირებული</t>
  </si>
  <si>
    <t>ვიტრაჟის დემონტაჟი</t>
  </si>
  <si>
    <t>კომპაკტ ლამინატის ფილის მონტაჟი</t>
  </si>
  <si>
    <t>გადამყვანი (პაროგი) (ალუმინის)</t>
  </si>
  <si>
    <t>46-30-1gam</t>
  </si>
  <si>
    <t>SromiTi resursebi</t>
  </si>
  <si>
    <t>manqanebi</t>
  </si>
  <si>
    <t>lari</t>
  </si>
  <si>
    <t>kub.m.</t>
  </si>
  <si>
    <t>sxva xarjebi</t>
  </si>
  <si>
    <t>ВЗЕР-88</t>
  </si>
  <si>
    <t>SromiTi resursebi k=0.6</t>
  </si>
  <si>
    <t>manqanebi k=0.7</t>
  </si>
  <si>
    <t>SromiTi resursi</t>
  </si>
  <si>
    <t xml:space="preserve">ლამინატის იატაკის მოწყობა </t>
  </si>
  <si>
    <t>ლამინირებული იატაკი (კლასი 32)</t>
  </si>
  <si>
    <t>ალუკობონდის ფილის მოხსნა</t>
  </si>
  <si>
    <t>3 წელი</t>
  </si>
  <si>
    <t>2 წელი</t>
  </si>
  <si>
    <t>1 წელი</t>
  </si>
  <si>
    <t>5 წელი</t>
  </si>
  <si>
    <t>სახურავი</t>
  </si>
  <si>
    <t>მოპირკეთების სამუშაოები</t>
  </si>
  <si>
    <t>სამღებრო/
კოსმეტიკური  სამუშაოები</t>
  </si>
  <si>
    <t>მინაპაკეტის შეცვლის სამუშაოები</t>
  </si>
  <si>
    <t>ბეტონის სამუშაოები</t>
  </si>
  <si>
    <t>10 წელი</t>
  </si>
  <si>
    <t>იატაკზე ცემენტის მოჭიმვა</t>
  </si>
  <si>
    <t xml:space="preserve">კერამოგრანიტის ფილა  </t>
  </si>
  <si>
    <t>m2</t>
  </si>
  <si>
    <t>muSa-mSeneblebis Sromis danaxarji</t>
  </si>
  <si>
    <t>sxva manqanebi</t>
  </si>
  <si>
    <t>materialuri resursebi</t>
  </si>
  <si>
    <t>m3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</si>
  <si>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</si>
  <si>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</si>
  <si>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t xml:space="preserve">Sromis danaxarjebi </t>
  </si>
  <si>
    <t>sxvadasxva meqanizmebi</t>
  </si>
  <si>
    <t>srf</t>
  </si>
  <si>
    <t>masalebi:</t>
  </si>
  <si>
    <t>kg</t>
  </si>
  <si>
    <t>12-8-5.</t>
  </si>
  <si>
    <t xml:space="preserve">sndaw
IV-2-82
8-22-1
</t>
  </si>
  <si>
    <t>xaraCoebis mowyoba da daSla fasdze</t>
  </si>
  <si>
    <t>meqanizmebi:</t>
  </si>
  <si>
    <t xml:space="preserve">                                                                                                                                                  </t>
  </si>
  <si>
    <t>1-9-42</t>
  </si>
  <si>
    <t>xaraCoebis liTonis elementebi</t>
  </si>
  <si>
    <t>t</t>
  </si>
  <si>
    <t>5-1-8</t>
  </si>
  <si>
    <t>xaraCoebis xis elementebi</t>
  </si>
  <si>
    <r>
      <t>m</t>
    </r>
    <r>
      <rPr>
        <vertAlign val="superscript"/>
        <sz val="10"/>
        <rFont val="AcadNusx"/>
        <family val="0"/>
      </rPr>
      <t>3</t>
    </r>
  </si>
  <si>
    <t>5-1-121</t>
  </si>
  <si>
    <t>xis farebi dasagebi</t>
  </si>
  <si>
    <t>c</t>
  </si>
  <si>
    <t>grZ.m.</t>
  </si>
  <si>
    <t>r8-110-112</t>
  </si>
  <si>
    <t>m</t>
  </si>
  <si>
    <t>p.2.9. г)</t>
  </si>
  <si>
    <t>Sromis danaxarjebi</t>
  </si>
  <si>
    <t>cali</t>
  </si>
  <si>
    <t xml:space="preserve">sndaw
IV-2-82
16-6-2
</t>
  </si>
  <si>
    <t>100 მმ პლასტმასის კანალიზაციის მილის მონტაჟი</t>
  </si>
  <si>
    <t>მ</t>
  </si>
  <si>
    <t>მექანიზმები:</t>
  </si>
  <si>
    <t>მასალები:</t>
  </si>
  <si>
    <t>პლასტმასის მილი 100 მმ (ფიტინგებით)</t>
  </si>
  <si>
    <t>სხვადასხვა მასალები</t>
  </si>
  <si>
    <t>50 მმ პლასტმასის კანალიზაციის მილის მონტაჟი</t>
  </si>
  <si>
    <t>პლასტმასის მილი 50 მმ (ფიტინგებით)</t>
  </si>
  <si>
    <t xml:space="preserve">sndaw
IV-2-82
16-24-3
</t>
  </si>
  <si>
    <t>20 მმ პლასტმასის მილის მონტაჟი</t>
  </si>
  <si>
    <t>პლასტმასის მილი 20 მმ (ფიტინგებით)</t>
  </si>
  <si>
    <t>20 მმ პლასტმასის მილის მონტაჟი (ცხელი წყლის)</t>
  </si>
  <si>
    <t>8-417-5</t>
  </si>
  <si>
    <t xml:space="preserve">kabel arxebis mowyoba </t>
  </si>
  <si>
    <t>faqtiuri</t>
  </si>
  <si>
    <t>Sida wyalmomaragebis da sakanalizacio qselis mowyoba</t>
  </si>
  <si>
    <t xml:space="preserve">SromiTi resursebi </t>
  </si>
  <si>
    <t xml:space="preserve">cementis xsnari </t>
  </si>
  <si>
    <t>NN</t>
  </si>
  <si>
    <t>safuZveli</t>
  </si>
  <si>
    <t>samuSaoebis dasaxeleba</t>
  </si>
  <si>
    <t>ganz.</t>
  </si>
  <si>
    <t>normatiuli resursi</t>
  </si>
  <si>
    <t>xelfasi</t>
  </si>
  <si>
    <t>masala</t>
  </si>
  <si>
    <t xml:space="preserve">samSeneblo meqanizmebi </t>
  </si>
  <si>
    <t>erTeuli</t>
  </si>
  <si>
    <t>sul</t>
  </si>
  <si>
    <t>erT. fasi</t>
  </si>
  <si>
    <t>sxvadasxva masalebi</t>
  </si>
  <si>
    <t>meqanizmebi</t>
  </si>
  <si>
    <t>zednadebi xarjebi</t>
  </si>
  <si>
    <t>gegmiuri dagroveba</t>
  </si>
  <si>
    <t>15-156-4</t>
  </si>
  <si>
    <t>fasadis SeRebva wyalmedegi saReb.</t>
  </si>
  <si>
    <t>saRebavi</t>
  </si>
  <si>
    <t>safiTxni</t>
  </si>
  <si>
    <t xml:space="preserve">sagrunti </t>
  </si>
  <si>
    <t>10-20-3gam</t>
  </si>
  <si>
    <t>`mdf~-is karis mowyoba</t>
  </si>
  <si>
    <t>`mdf~-is kari</t>
  </si>
  <si>
    <t>karis rkina-kaveuli</t>
  </si>
  <si>
    <t>komp.</t>
  </si>
  <si>
    <t>10-6-3.</t>
  </si>
  <si>
    <t xml:space="preserve">kedlebze daSponili mdf-is gakvra
(sazurge)  </t>
  </si>
  <si>
    <t xml:space="preserve">sWvali </t>
  </si>
  <si>
    <t>daSponili mdf</t>
  </si>
  <si>
    <t>krebsiTi xarjTaRricxva</t>
  </si>
  <si>
    <t>samuSaos dasaxeleba</t>
  </si>
  <si>
    <t>ganz. 
erT.</t>
  </si>
  <si>
    <t>Rirebuleba 
lari</t>
  </si>
  <si>
    <t>m.S. xelfasi:</t>
  </si>
  <si>
    <t>1-1</t>
  </si>
  <si>
    <t xml:space="preserve">samSeneblo-mosapirkeTebeli samuSaoebi </t>
  </si>
  <si>
    <t>1-2</t>
  </si>
  <si>
    <r>
      <t xml:space="preserve">eleqtrosamontaJo samuSaoebi </t>
    </r>
    <r>
      <rPr>
        <sz val="11"/>
        <rFont val="AcadNusx"/>
        <family val="0"/>
      </rPr>
      <t>(Sida)</t>
    </r>
  </si>
  <si>
    <t>1-3</t>
  </si>
  <si>
    <r>
      <t xml:space="preserve">wyalsaden-kanalizaciis samuSaoebi </t>
    </r>
    <r>
      <rPr>
        <sz val="11"/>
        <rFont val="AcadNusx"/>
        <family val="0"/>
      </rPr>
      <t>(Sida)</t>
    </r>
  </si>
  <si>
    <t xml:space="preserve">sul </t>
  </si>
  <si>
    <r>
      <t xml:space="preserve">dRg </t>
    </r>
    <r>
      <rPr>
        <sz val="10"/>
        <rFont val="AcadNusx"/>
        <family val="0"/>
      </rPr>
      <t xml:space="preserve"> </t>
    </r>
  </si>
  <si>
    <t xml:space="preserve">sul, jami </t>
  </si>
  <si>
    <t>foTis servis centri</t>
  </si>
  <si>
    <t>46-15-2gam</t>
  </si>
  <si>
    <t xml:space="preserve"> fasadis kedlebidan Zveli saRebavis moxsna  </t>
  </si>
  <si>
    <t>ფასადზე ალუკობონდის ფილის მონტაჟი</t>
  </si>
  <si>
    <t>ალუკობონდი ფილა (კონსტრუქცია+ფილა+დათბუნება. არსებულის მსგავსი)</t>
  </si>
  <si>
    <t>seqciuri galvanizirebuli liTonis Robis mowyoba</t>
  </si>
  <si>
    <t>კერამიკული ფილის აყრა იატაკიდან</t>
  </si>
  <si>
    <t>კერამოგრანიტის ფილის აყრა იატაკიდან</t>
  </si>
  <si>
    <t>15-60-3.</t>
  </si>
  <si>
    <t xml:space="preserve">kedlebis cementis xsnariT Selesva </t>
  </si>
  <si>
    <t>9-5-1.</t>
  </si>
  <si>
    <t>sxva xarjebi  k=0.5</t>
  </si>
  <si>
    <t>sadroSeebis mowyoba</t>
  </si>
  <si>
    <t xml:space="preserve">1-165-3      </t>
  </si>
  <si>
    <t>III kategoriis gruntis damuSaveba (3 ormos gaTxra sayrdenebisTvis) xeliT</t>
  </si>
  <si>
    <t>Sromis danaxarji</t>
  </si>
  <si>
    <t xml:space="preserve">1-166-3 miy.     </t>
  </si>
  <si>
    <t>gruntis datvirTva xeliT a/manqanaze</t>
  </si>
  <si>
    <t>srf-2017,  I kv.     14-15</t>
  </si>
  <si>
    <t>gruntis gatana nagavsayrelze saS. 25 km-mde</t>
  </si>
  <si>
    <t>tn</t>
  </si>
  <si>
    <t>6-1-2</t>
  </si>
  <si>
    <t>memanqaneebis Sromis danaxarji</t>
  </si>
  <si>
    <t>furclovani foladi 60X60X0.3sm</t>
  </si>
  <si>
    <t>farebi xis ficrebisagan sisqiT 25 mm</t>
  </si>
  <si>
    <t>33-204-2 miy.</t>
  </si>
  <si>
    <t>14-60</t>
  </si>
  <si>
    <t>amwe muxluxa svlaze tvirTamweobiT 16 tn-mde</t>
  </si>
  <si>
    <t>m/s</t>
  </si>
  <si>
    <t>flagStoki (simaRle 8 grZ.m.)</t>
  </si>
  <si>
    <t>kompl.</t>
  </si>
  <si>
    <t>46-23-5</t>
  </si>
  <si>
    <t>kedlebis daSla wvrili blokisagan</t>
  </si>
  <si>
    <t>9-14-5.</t>
  </si>
  <si>
    <t>kodi0605</t>
  </si>
  <si>
    <t>saavtomobilo amwe 3t</t>
  </si>
  <si>
    <t>m/sT</t>
  </si>
  <si>
    <t>kodi0603</t>
  </si>
  <si>
    <t>eleqtrisawevela  3t</t>
  </si>
  <si>
    <t>aluminis fanjrebis  mowyoba</t>
  </si>
  <si>
    <t>Seminuli aluminis (Seferili) fanjrebis Rirebuleba</t>
  </si>
  <si>
    <t>46-16-3</t>
  </si>
  <si>
    <t>karebis mosawyobad Riobebis gaWra kedlebSi</t>
  </si>
  <si>
    <t>46-32-3</t>
  </si>
  <si>
    <t>9-14-5gam</t>
  </si>
  <si>
    <t>metaloplastmasis karis mowyoba</t>
  </si>
  <si>
    <t>karis blokis Rirebuleba</t>
  </si>
  <si>
    <t>avtosatvirTveli 3 toniani</t>
  </si>
  <si>
    <t>kodi0625</t>
  </si>
  <si>
    <t>eleqtro satvirTvela 3 toniani</t>
  </si>
  <si>
    <t>karis Rirebuleba</t>
  </si>
  <si>
    <t xml:space="preserve"> liTonis karis (or frTiani) mowyoba</t>
  </si>
  <si>
    <t>კოლონების მოპირკეთება ალუკობონდის ფილით</t>
  </si>
  <si>
    <t>46-29-1</t>
  </si>
  <si>
    <t xml:space="preserve">betonis iatakis mongreva </t>
  </si>
  <si>
    <t>თაბაშირმუყაოს ტიხრის მოწყობა (ღიობის შევსება)</t>
  </si>
  <si>
    <t>34-58gam</t>
  </si>
  <si>
    <t>Sekiduli Weris montaJi</t>
  </si>
  <si>
    <t>Sekiduli Weri plastmasis (kompleqsSi)</t>
  </si>
  <si>
    <t>Sida kedlebidan arsebuli saRebavis Camofxeka</t>
  </si>
  <si>
    <t xml:space="preserve">კედლის დამუშავება, შეღებვა  მაღალხარისხოვანი წყალემულსიის საღებავით </t>
  </si>
  <si>
    <t>r25-9-16</t>
  </si>
  <si>
    <t>liTonis moajiris moxsna</t>
  </si>
  <si>
    <t>7-58-1gam</t>
  </si>
  <si>
    <t>100grZ.m</t>
  </si>
  <si>
    <t>tona</t>
  </si>
  <si>
    <t>aivnis moajiris mowyoba Seferili aluminis dgarebiT, saxeluriT da miniT</t>
  </si>
  <si>
    <t>cementi ~m400~</t>
  </si>
  <si>
    <t>DPTH-88</t>
  </si>
  <si>
    <t>SromiTi resursebi  k=0,6</t>
  </si>
  <si>
    <t>kodi0488</t>
  </si>
  <si>
    <t xml:space="preserve"> amwe muxluxa svlaze 16t</t>
  </si>
  <si>
    <t>vitraJis  mowyoba</t>
  </si>
  <si>
    <t>aluminis karfanjrebis  demontaJi</t>
  </si>
  <si>
    <t>r-25-8-6</t>
  </si>
  <si>
    <t>wyalsawreti milebis da Rarebis demontaJi</t>
  </si>
  <si>
    <t>SromiTi resursebi 84+8=</t>
  </si>
  <si>
    <t>mavTuli moTuTiebuli</t>
  </si>
  <si>
    <t>wyalsawreti milebis mowyoba</t>
  </si>
  <si>
    <t>wyalsawreti mili (Seferili Tunuqi)</t>
  </si>
  <si>
    <t>samagri</t>
  </si>
  <si>
    <t>46-28-2</t>
  </si>
  <si>
    <t>Tunuqis saxuravis daSla</t>
  </si>
  <si>
    <t>46-27-4</t>
  </si>
  <si>
    <t>saxuravis Seficris daSla</t>
  </si>
  <si>
    <t>saxuravis mowyoba Seferili profilirebuli TunuqiT</t>
  </si>
  <si>
    <t>profilirebuli Tunuqi (Seferili)</t>
  </si>
  <si>
    <t>10-39-5.</t>
  </si>
  <si>
    <t>pasta antiseptikuri</t>
  </si>
  <si>
    <t>molartyvis antiseptireba cecxladcva</t>
  </si>
  <si>
    <t>r8-16</t>
  </si>
  <si>
    <t>saxuravis Seficvris Secvla</t>
  </si>
  <si>
    <t>100kv.m.</t>
  </si>
  <si>
    <t>lursmani samSeneblo</t>
  </si>
  <si>
    <t>ficari 25mm-iani</t>
  </si>
  <si>
    <t>Sesakidi masala (kompleqti)</t>
  </si>
  <si>
    <t>9-7-1.</t>
  </si>
  <si>
    <t>konstruqciis Rirebuleba</t>
  </si>
  <si>
    <t>eleqtrodi</t>
  </si>
  <si>
    <t>liTonis kibis mowyoba (saxanZro 15 m)</t>
  </si>
  <si>
    <t>samontaJo elementebi</t>
  </si>
  <si>
    <t>qanCi</t>
  </si>
  <si>
    <t>100m²</t>
  </si>
  <si>
    <t>sadroSe liTonis svetis demontaJi (simaRle 8 m)</t>
  </si>
  <si>
    <t>8-620-1</t>
  </si>
  <si>
    <t>materialuri resursi</t>
  </si>
  <si>
    <t>led sanaTi (60X60)</t>
  </si>
  <si>
    <r>
      <t>flagStokis (aluminis fuZe da konusuri boZi nakerebis gareSe, damzadebuli aluminis Senadnobisagan</t>
    </r>
    <r>
      <rPr>
        <b/>
        <sz val="10"/>
        <rFont val="Times New Roman"/>
        <family val="1"/>
      </rPr>
      <t xml:space="preserve"> EN AW</t>
    </r>
    <r>
      <rPr>
        <b/>
        <sz val="10"/>
        <rFont val="AcadNusx"/>
        <family val="0"/>
      </rPr>
      <t xml:space="preserve"> 6060‐is standartit anodizirebisის sisqe‐20 mikroni) montaJi ankerebze (montaJisaTvis saWiroa yvela detalis gaTvaliswiebiT) </t>
    </r>
  </si>
  <si>
    <t>kondecinerebis gare blokis gadatana (demontaJi, montaJi)</t>
  </si>
  <si>
    <t>minis moajiri aluminis konstruqciiT</t>
  </si>
  <si>
    <t>sakabele arxi 100X100</t>
  </si>
  <si>
    <t>საკაბელე არხი 25X40</t>
  </si>
  <si>
    <t xml:space="preserve">sndaw
IV-2-82
17-4-1
</t>
  </si>
  <si>
    <t>abazana</t>
  </si>
  <si>
    <t>abazana (duSkabina marTkuTxa, minis kari zomiT 110X180 sm)</t>
  </si>
  <si>
    <t>gare mimagrebis sanaTebis mowyoba WerSi (led sanaTi)</t>
  </si>
  <si>
    <t>led sanaTi</t>
  </si>
  <si>
    <t xml:space="preserve"> aluminis vitraJis Rirebuleba (nawrTobi minapaketi, Seferili)</t>
  </si>
  <si>
    <t>TabaSimuyaos tixarSi karis mosawyobad Riobis gaWra</t>
  </si>
  <si>
    <t>liTonis WiSkris demontaJi</t>
  </si>
  <si>
    <t>armstongis Sekiduli Weris moxsna</t>
  </si>
  <si>
    <t>10-6-1,2gam</t>
  </si>
  <si>
    <t>kedelze Seferili profilirebuli Tunuqis mowyoba</t>
  </si>
  <si>
    <t>Seferili profilirebuli Tunuqi sisqiT (Tunuqi+karkasi)</t>
  </si>
  <si>
    <t>TviTmWreli</t>
  </si>
  <si>
    <t>pergamini 0,18X2=</t>
  </si>
  <si>
    <t xml:space="preserve">ლითონის ელემენტების ზედაპირის გაწმენდა, დამუSავება და  შეღებვა ანტიკოროზიული საღებავით
</t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</si>
  <si>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</si>
  <si>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პროფილი </t>
    </r>
    <r>
      <rPr>
        <sz val="10"/>
        <color indexed="8"/>
        <rFont val="Arial"/>
        <family val="2"/>
      </rPr>
      <t xml:space="preserve">UW  </t>
    </r>
    <r>
      <rPr>
        <sz val="10"/>
        <color indexed="8"/>
        <rFont val="AcadNusx"/>
        <family val="0"/>
      </rPr>
      <t>(სისქით 0.5მმ)</t>
    </r>
  </si>
  <si>
    <r>
      <t>პროფილი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CW</t>
    </r>
    <r>
      <rPr>
        <sz val="10"/>
        <color indexed="8"/>
        <rFont val="AcadNusx"/>
        <family val="0"/>
      </rPr>
      <t xml:space="preserve">  (სისქით 0.6მმ)</t>
    </r>
  </si>
  <si>
    <r>
      <t xml:space="preserve">პროფილი </t>
    </r>
    <r>
      <rPr>
        <sz val="10"/>
        <color indexed="8"/>
        <rFont val="Arial"/>
        <family val="2"/>
      </rPr>
      <t xml:space="preserve">UD  </t>
    </r>
    <r>
      <rPr>
        <sz val="10"/>
        <color indexed="8"/>
        <rFont val="AcadNusx"/>
        <family val="0"/>
      </rPr>
      <t>(სისქით 0.6მმ)</t>
    </r>
  </si>
  <si>
    <r>
      <t>პროფილი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CD </t>
    </r>
    <r>
      <rPr>
        <sz val="10"/>
        <color indexed="8"/>
        <rFont val="AcadNusx"/>
        <family val="0"/>
      </rPr>
      <t xml:space="preserve"> (სისქით 0.6მმ)</t>
    </r>
  </si>
  <si>
    <t>arsebuli amstongis sanaTis moxsna da axali led sanaTis mowyoba WerSi (60X60)</t>
  </si>
  <si>
    <t>`armstrongis~ Sekiduli Weris mowyoba</t>
  </si>
  <si>
    <r>
      <t xml:space="preserve">saZirkvlis mowyoba monoliTuri betoniT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-20, </t>
    </r>
    <r>
      <rPr>
        <b/>
        <sz val="10"/>
        <rFont val="Arial"/>
        <family val="2"/>
      </rPr>
      <t>F-</t>
    </r>
    <r>
      <rPr>
        <b/>
        <sz val="10"/>
        <rFont val="AcadNusx"/>
        <family val="0"/>
      </rPr>
      <t xml:space="preserve">100, </t>
    </r>
    <r>
      <rPr>
        <b/>
        <sz val="10"/>
        <rFont val="Arial"/>
        <family val="2"/>
      </rPr>
      <t>W-6</t>
    </r>
  </si>
  <si>
    <r>
      <t>betoni</t>
    </r>
    <r>
      <rPr>
        <sz val="10"/>
        <rFont val="Arial"/>
        <family val="2"/>
      </rPr>
      <t xml:space="preserve"> B-</t>
    </r>
    <r>
      <rPr>
        <sz val="10"/>
        <rFont val="AcadNusx"/>
        <family val="0"/>
      </rPr>
      <t>20</t>
    </r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</si>
  <si>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>-III</t>
    </r>
  </si>
  <si>
    <t>amwe muxluxa svlaze 16 toniani</t>
  </si>
  <si>
    <t>karis blokis demontaJi</t>
  </si>
  <si>
    <t xml:space="preserve"> karis mowyoba aluminis (feradi) profiliT </t>
  </si>
  <si>
    <t>aluminis (feradi) karis Rirebuleba</t>
  </si>
  <si>
    <t>ალუკობონდი ფილა (კონსტრუქცია+ფილა.)</t>
  </si>
  <si>
    <t>seqciuri galvanizirebuli Robe</t>
  </si>
  <si>
    <t>10-19-2gam</t>
  </si>
  <si>
    <t xml:space="preserve">metaloplastmasis fanjris rafebis mowyoba </t>
  </si>
  <si>
    <t>kv.m</t>
  </si>
  <si>
    <t>metaloplastmasis  rafa Seferili</t>
  </si>
  <si>
    <t>proeqtiT</t>
  </si>
  <si>
    <t>სველ წერტილში უნიტაზის  მონტაჟი</t>
  </si>
  <si>
    <t>ც</t>
  </si>
  <si>
    <t>უნიტაზი ჩამრეცხი ავზით</t>
  </si>
  <si>
    <t>კომპ.</t>
  </si>
  <si>
    <t>17-1-5</t>
  </si>
  <si>
    <t>xelsabanebis montaJi</t>
  </si>
  <si>
    <t xml:space="preserve">xelsabani </t>
  </si>
  <si>
    <t>16-12-1.</t>
  </si>
  <si>
    <t>Semrevebis mowyoba</t>
  </si>
  <si>
    <t>Semrevi saSxapis</t>
  </si>
  <si>
    <t xml:space="preserve">Semrevi xelsabanis </t>
  </si>
  <si>
    <t>danarCeni xarjebi</t>
  </si>
  <si>
    <t>17-1-9.</t>
  </si>
  <si>
    <r>
      <t>trapi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=50mm mowyoba</t>
    </r>
  </si>
  <si>
    <r>
      <t xml:space="preserve">trapi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=50mm </t>
    </r>
  </si>
  <si>
    <t>კერამიკული ფილის ქვეშა-ცემენტის მოჭიმვის მოხსნა</t>
  </si>
  <si>
    <t>axli sanaTebis mowyoba WerSi (led sanaTi)</t>
  </si>
  <si>
    <t>led sanaTi kompleqtSi (12 v )</t>
  </si>
  <si>
    <t>დანართი N1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</si>
</sst>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.00\ _L_a_r_i_-;\-* #,##0.00\ _L_a_r_i_-;_-* &quot;-&quot;??\ _L_a_r_i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_-* #,##0.00_-;\-* #,##0.0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0.0"/>
    <numFmt numFmtId="179" formatCode="#,##0.000;[Red]#,##0.000"/>
    <numFmt numFmtId="180" formatCode="0.000000"/>
    <numFmt numFmtId="181" formatCode="0.00000000"/>
    <numFmt numFmtId="182" formatCode="#,##0.000"/>
    <numFmt numFmtId="183" formatCode="0;[Red]0"/>
    <numFmt numFmtId="184" formatCode="#,##0.0"/>
    <numFmt numFmtId="185" formatCode="_-* #,##0.00&quot;р.&quot;_-;\-* #,##0.00&quot;р.&quot;_-;_-* &quot;-&quot;??&quot;р.&quot;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sz val="10"/>
      <name val="Arial Cyr"/>
      <family val="2"/>
    </font>
    <font>
      <i/>
      <sz val="10"/>
      <name val="AcadNusx"/>
      <family val="0"/>
    </font>
    <font>
      <b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achveulebrivi Thin"/>
      <family val="2"/>
    </font>
    <font>
      <vertAlign val="superscript"/>
      <sz val="10"/>
      <name val="AcadNusx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cadNusx"/>
      <family val="0"/>
    </font>
    <font>
      <sz val="12"/>
      <name val="AcadNusx"/>
      <family val="0"/>
    </font>
    <font>
      <sz val="11"/>
      <name val="AcadNusx"/>
      <family val="0"/>
    </font>
    <font>
      <b/>
      <i/>
      <sz val="11"/>
      <name val="AcadNusx"/>
      <family val="0"/>
    </font>
    <font>
      <i/>
      <sz val="11"/>
      <name val="AcadNusx"/>
      <family val="0"/>
    </font>
    <font>
      <sz val="12"/>
      <name val="Arial Cyr"/>
      <family val="2"/>
    </font>
    <font>
      <sz val="11"/>
      <name val="Arachveulebrivi Thin"/>
      <family val="2"/>
    </font>
    <font>
      <b/>
      <sz val="11"/>
      <name val="AcadNusx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achveulebrivi Thin"/>
      <family val="2"/>
    </font>
    <font>
      <b/>
      <vertAlign val="superscript"/>
      <sz val="10"/>
      <name val="AcadNusx"/>
      <family val="0"/>
    </font>
    <font>
      <sz val="10"/>
      <color indexed="8"/>
      <name val="Arial"/>
      <family val="2"/>
    </font>
    <font>
      <b/>
      <sz val="11"/>
      <name val="Arachveulebrivi Thin"/>
      <family val="2"/>
    </font>
    <font>
      <b/>
      <sz val="10"/>
      <name val="Arial"/>
      <family val="2"/>
    </font>
    <font>
      <b/>
      <sz val="10"/>
      <name val="Arachveulebrivi Thin"/>
      <family val="2"/>
    </font>
    <font>
      <sz val="9"/>
      <name val="AcadNusx"/>
      <family val="0"/>
    </font>
    <font>
      <b/>
      <sz val="11"/>
      <name val="Avaza Mtavrul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i/>
      <sz val="10"/>
      <color indexed="8"/>
      <name val="AcadNusx"/>
      <family val="0"/>
    </font>
    <font>
      <i/>
      <sz val="10"/>
      <color indexed="8"/>
      <name val="AcadNusx"/>
      <family val="0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AcadNusx"/>
      <family val="0"/>
    </font>
    <font>
      <sz val="10"/>
      <color rgb="FF000000"/>
      <name val="AcadNusx"/>
      <family val="0"/>
    </font>
    <font>
      <i/>
      <sz val="10"/>
      <color rgb="FF000000"/>
      <name val="AcadNusx"/>
      <family val="0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cadNusx"/>
      <family val="0"/>
    </font>
    <font>
      <i/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0"/>
      <color rgb="FF000000"/>
      <name val="AcadNusx"/>
      <family val="0"/>
    </font>
    <font>
      <b/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</borders>
  <cellStyleXfs count="7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6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6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6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62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3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64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8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9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1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2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73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>
      <alignment/>
      <protection/>
    </xf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2" fillId="0" borderId="0" applyFont="0" applyFill="0" applyBorder="0" applyAlignment="0" applyProtection="0"/>
  </cellStyleXfs>
  <cellXfs count="563"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/>
    </xf>
    <xf numFmtId="2" fontId="77" fillId="0" borderId="19" xfId="0" applyNumberFormat="1" applyFont="1" applyFill="1" applyBorder="1" applyAlignment="1">
      <alignment horizontal="center" vertical="center" wrapText="1"/>
    </xf>
    <xf numFmtId="0" fontId="7" fillId="0" borderId="20" xfId="622" applyFont="1" applyFill="1" applyBorder="1" applyAlignment="1">
      <alignment horizontal="center" vertical="center"/>
      <protection/>
    </xf>
    <xf numFmtId="0" fontId="7" fillId="0" borderId="21" xfId="622" applyFont="1" applyFill="1" applyBorder="1" applyAlignment="1">
      <alignment horizontal="center" vertical="center"/>
      <protection/>
    </xf>
    <xf numFmtId="0" fontId="7" fillId="0" borderId="22" xfId="622" applyFont="1" applyFill="1" applyBorder="1" applyAlignment="1">
      <alignment horizontal="center" vertical="center"/>
      <protection/>
    </xf>
    <xf numFmtId="0" fontId="7" fillId="0" borderId="23" xfId="622" applyFont="1" applyFill="1" applyBorder="1" applyAlignment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172" fontId="78" fillId="0" borderId="21" xfId="0" applyNumberFormat="1" applyFont="1" applyFill="1" applyBorder="1" applyAlignment="1">
      <alignment horizontal="center" vertical="center" wrapText="1"/>
    </xf>
    <xf numFmtId="2" fontId="79" fillId="0" borderId="19" xfId="0" applyNumberFormat="1" applyFont="1" applyFill="1" applyBorder="1" applyAlignment="1">
      <alignment horizontal="center" vertical="center" wrapText="1"/>
    </xf>
    <xf numFmtId="2" fontId="79" fillId="0" borderId="21" xfId="0" applyNumberFormat="1" applyFont="1" applyFill="1" applyBorder="1" applyAlignment="1">
      <alignment horizontal="center" vertical="center" wrapText="1"/>
    </xf>
    <xf numFmtId="0" fontId="3" fillId="0" borderId="24" xfId="622" applyFont="1" applyFill="1" applyBorder="1" applyAlignment="1">
      <alignment vertical="center"/>
      <protection/>
    </xf>
    <xf numFmtId="0" fontId="3" fillId="0" borderId="19" xfId="622" applyFont="1" applyFill="1" applyBorder="1" applyAlignment="1">
      <alignment horizontal="center" vertical="center"/>
      <protection/>
    </xf>
    <xf numFmtId="0" fontId="3" fillId="0" borderId="25" xfId="622" applyFont="1" applyFill="1" applyBorder="1" applyAlignment="1">
      <alignment horizontal="center" vertical="center"/>
      <protection/>
    </xf>
    <xf numFmtId="0" fontId="3" fillId="0" borderId="0" xfId="622" applyFont="1" applyFill="1" applyAlignment="1">
      <alignment horizontal="center" vertical="center"/>
      <protection/>
    </xf>
    <xf numFmtId="0" fontId="3" fillId="0" borderId="26" xfId="622" applyFont="1" applyFill="1" applyBorder="1" applyAlignment="1">
      <alignment horizontal="center" vertical="center"/>
      <protection/>
    </xf>
    <xf numFmtId="0" fontId="3" fillId="0" borderId="27" xfId="622" applyFont="1" applyFill="1" applyBorder="1" applyAlignment="1">
      <alignment vertical="center"/>
      <protection/>
    </xf>
    <xf numFmtId="0" fontId="3" fillId="0" borderId="25" xfId="622" applyFont="1" applyFill="1" applyBorder="1" applyAlignment="1">
      <alignment vertical="center"/>
      <protection/>
    </xf>
    <xf numFmtId="0" fontId="3" fillId="0" borderId="28" xfId="622" applyFont="1" applyFill="1" applyBorder="1" applyAlignment="1">
      <alignment horizontal="center" vertical="center"/>
      <protection/>
    </xf>
    <xf numFmtId="0" fontId="3" fillId="0" borderId="29" xfId="622" applyFont="1" applyFill="1" applyBorder="1" applyAlignment="1">
      <alignment horizontal="center" vertical="center"/>
      <protection/>
    </xf>
    <xf numFmtId="0" fontId="3" fillId="0" borderId="30" xfId="622" applyFont="1" applyFill="1" applyBorder="1" applyAlignment="1">
      <alignment vertical="center"/>
      <protection/>
    </xf>
    <xf numFmtId="0" fontId="3" fillId="0" borderId="29" xfId="622" applyFont="1" applyFill="1" applyBorder="1" applyAlignment="1">
      <alignment vertical="center"/>
      <protection/>
    </xf>
    <xf numFmtId="0" fontId="3" fillId="0" borderId="31" xfId="622" applyFont="1" applyFill="1" applyBorder="1" applyAlignment="1">
      <alignment vertical="center"/>
      <protection/>
    </xf>
    <xf numFmtId="0" fontId="3" fillId="0" borderId="32" xfId="622" applyFont="1" applyFill="1" applyBorder="1" applyAlignment="1">
      <alignment horizontal="center" vertical="center"/>
      <protection/>
    </xf>
    <xf numFmtId="0" fontId="3" fillId="0" borderId="0" xfId="622" applyFont="1" applyFill="1" applyBorder="1" applyAlignment="1">
      <alignment horizontal="center" vertical="center"/>
      <protection/>
    </xf>
    <xf numFmtId="0" fontId="3" fillId="0" borderId="33" xfId="622" applyFont="1" applyFill="1" applyBorder="1" applyAlignment="1">
      <alignment horizontal="center" vertical="center"/>
      <protection/>
    </xf>
    <xf numFmtId="0" fontId="3" fillId="0" borderId="31" xfId="622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3" fillId="0" borderId="0" xfId="627" applyFont="1" applyFill="1" applyAlignment="1">
      <alignment vertical="center"/>
      <protection/>
    </xf>
    <xf numFmtId="0" fontId="4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0" xfId="496" applyFont="1" applyFill="1" applyAlignment="1">
      <alignment horizontal="center" vertical="center"/>
      <protection/>
    </xf>
    <xf numFmtId="0" fontId="80" fillId="0" borderId="0" xfId="0" applyFont="1" applyFill="1" applyAlignment="1">
      <alignment horizontal="center" vertical="center"/>
    </xf>
    <xf numFmtId="0" fontId="3" fillId="0" borderId="21" xfId="529" applyFont="1" applyFill="1" applyBorder="1" applyAlignment="1" applyProtection="1">
      <alignment horizontal="left" vertical="center" wrapText="1"/>
      <protection/>
    </xf>
    <xf numFmtId="0" fontId="3" fillId="0" borderId="27" xfId="622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 quotePrefix="1">
      <alignment horizontal="center" vertical="center" wrapText="1"/>
    </xf>
    <xf numFmtId="173" fontId="3" fillId="0" borderId="21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627" applyFont="1" applyFill="1" applyAlignment="1">
      <alignment horizontal="center" vertical="center"/>
      <protection/>
    </xf>
    <xf numFmtId="0" fontId="3" fillId="0" borderId="0" xfId="627" applyFont="1" applyFill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9" fontId="8" fillId="0" borderId="21" xfId="0" applyNumberFormat="1" applyFont="1" applyFill="1" applyBorder="1" applyAlignment="1">
      <alignment horizontal="center" vertical="center" wrapText="1"/>
    </xf>
    <xf numFmtId="0" fontId="3" fillId="0" borderId="19" xfId="529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 vertical="center" wrapText="1"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vertical="center" wrapText="1"/>
    </xf>
    <xf numFmtId="0" fontId="3" fillId="0" borderId="19" xfId="529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21" xfId="622" applyFont="1" applyFill="1" applyBorder="1" applyAlignment="1">
      <alignment horizontal="center" vertical="center"/>
      <protection/>
    </xf>
    <xf numFmtId="0" fontId="3" fillId="0" borderId="21" xfId="622" applyNumberFormat="1" applyFont="1" applyFill="1" applyBorder="1" applyAlignment="1">
      <alignment horizontal="center" vertical="center"/>
      <protection/>
    </xf>
    <xf numFmtId="0" fontId="3" fillId="0" borderId="21" xfId="622" applyNumberFormat="1" applyFont="1" applyFill="1" applyBorder="1" applyAlignment="1">
      <alignment horizontal="center" vertical="center" wrapText="1"/>
      <protection/>
    </xf>
    <xf numFmtId="0" fontId="31" fillId="0" borderId="0" xfId="627" applyFont="1" applyFill="1" applyBorder="1" applyAlignment="1">
      <alignment vertical="center" wrapText="1"/>
      <protection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9" xfId="622" applyFont="1" applyFill="1" applyBorder="1" applyAlignment="1">
      <alignment horizontal="center" vertical="center"/>
      <protection/>
    </xf>
    <xf numFmtId="2" fontId="80" fillId="0" borderId="0" xfId="0" applyNumberFormat="1" applyFont="1" applyFill="1" applyAlignment="1">
      <alignment vertical="center"/>
    </xf>
    <xf numFmtId="2" fontId="80" fillId="0" borderId="0" xfId="0" applyNumberFormat="1" applyFont="1" applyFill="1" applyAlignment="1">
      <alignment horizontal="center" vertical="center"/>
    </xf>
    <xf numFmtId="0" fontId="4" fillId="0" borderId="21" xfId="622" applyFont="1" applyFill="1" applyBorder="1" applyAlignment="1">
      <alignment horizontal="center" vertic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3" fillId="0" borderId="24" xfId="622" applyFont="1" applyFill="1" applyBorder="1" applyAlignment="1">
      <alignment horizontal="center" vertical="center"/>
      <protection/>
    </xf>
    <xf numFmtId="0" fontId="82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 wrapText="1"/>
    </xf>
    <xf numFmtId="172" fontId="78" fillId="0" borderId="3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627" applyFont="1" applyFill="1" applyAlignment="1">
      <alignment horizontal="center" vertical="center" wrapText="1"/>
      <protection/>
    </xf>
    <xf numFmtId="0" fontId="2" fillId="0" borderId="0" xfId="627" applyFont="1" applyFill="1" applyBorder="1" applyAlignment="1">
      <alignment horizontal="center" vertical="center" wrapText="1"/>
      <protection/>
    </xf>
    <xf numFmtId="2" fontId="31" fillId="0" borderId="0" xfId="627" applyNumberFormat="1" applyFont="1" applyFill="1" applyBorder="1" applyAlignment="1">
      <alignment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1" xfId="620" applyFont="1" applyFill="1" applyBorder="1" applyAlignment="1">
      <alignment horizontal="center" vertical="center" wrapText="1"/>
      <protection/>
    </xf>
    <xf numFmtId="2" fontId="3" fillId="0" borderId="21" xfId="620" applyNumberFormat="1" applyFont="1" applyFill="1" applyBorder="1" applyAlignment="1">
      <alignment horizontal="center" vertical="center" wrapText="1"/>
      <protection/>
    </xf>
    <xf numFmtId="0" fontId="3" fillId="55" borderId="35" xfId="0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 wrapText="1"/>
    </xf>
    <xf numFmtId="0" fontId="29" fillId="55" borderId="0" xfId="0" applyFont="1" applyFill="1" applyBorder="1" applyAlignment="1">
      <alignment horizontal="center" vertical="center"/>
    </xf>
    <xf numFmtId="173" fontId="29" fillId="55" borderId="28" xfId="0" applyNumberFormat="1" applyFont="1" applyFill="1" applyBorder="1" applyAlignment="1">
      <alignment horizontal="center" vertical="center" wrapText="1"/>
    </xf>
    <xf numFmtId="173" fontId="29" fillId="55" borderId="0" xfId="0" applyNumberFormat="1" applyFont="1" applyFill="1" applyBorder="1" applyAlignment="1">
      <alignment horizontal="center" vertical="center" wrapText="1"/>
    </xf>
    <xf numFmtId="0" fontId="29" fillId="55" borderId="28" xfId="620" applyFont="1" applyFill="1" applyBorder="1" applyAlignment="1">
      <alignment horizontal="center" vertical="center"/>
      <protection/>
    </xf>
    <xf numFmtId="2" fontId="29" fillId="55" borderId="28" xfId="0" applyNumberFormat="1" applyFont="1" applyFill="1" applyBorder="1" applyAlignment="1">
      <alignment horizontal="center" vertical="center"/>
    </xf>
    <xf numFmtId="0" fontId="29" fillId="55" borderId="28" xfId="0" applyFont="1" applyFill="1" applyBorder="1" applyAlignment="1">
      <alignment horizontal="center" vertical="center"/>
    </xf>
    <xf numFmtId="2" fontId="29" fillId="55" borderId="28" xfId="620" applyNumberFormat="1" applyFont="1" applyFill="1" applyBorder="1" applyAlignment="1">
      <alignment horizontal="center" vertical="center"/>
      <protection/>
    </xf>
    <xf numFmtId="2" fontId="29" fillId="55" borderId="3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4" fillId="55" borderId="37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5" fillId="0" borderId="0" xfId="533" applyFont="1" applyFill="1" applyAlignment="1">
      <alignment horizontal="center" vertical="center" wrapText="1"/>
      <protection/>
    </xf>
    <xf numFmtId="0" fontId="40" fillId="0" borderId="0" xfId="533" applyFont="1" applyFill="1" applyAlignment="1">
      <alignment horizontal="center" vertical="center" wrapText="1"/>
      <protection/>
    </xf>
    <xf numFmtId="0" fontId="35" fillId="0" borderId="21" xfId="533" applyFont="1" applyFill="1" applyBorder="1" applyAlignment="1">
      <alignment horizontal="center" vertical="center" wrapText="1"/>
      <protection/>
    </xf>
    <xf numFmtId="49" fontId="40" fillId="0" borderId="21" xfId="533" applyNumberFormat="1" applyFont="1" applyFill="1" applyBorder="1" applyAlignment="1">
      <alignment horizontal="center" vertical="center" wrapText="1"/>
      <protection/>
    </xf>
    <xf numFmtId="0" fontId="40" fillId="0" borderId="21" xfId="533" applyFont="1" applyFill="1" applyBorder="1" applyAlignment="1">
      <alignment horizontal="left" vertical="center" wrapText="1"/>
      <protection/>
    </xf>
    <xf numFmtId="0" fontId="40" fillId="0" borderId="21" xfId="533" applyFont="1" applyFill="1" applyBorder="1" applyAlignment="1">
      <alignment horizontal="center" vertical="center" wrapText="1"/>
      <protection/>
    </xf>
    <xf numFmtId="184" fontId="40" fillId="0" borderId="21" xfId="533" applyNumberFormat="1" applyFont="1" applyFill="1" applyBorder="1" applyAlignment="1">
      <alignment horizontal="center" vertical="center" wrapText="1"/>
      <protection/>
    </xf>
    <xf numFmtId="173" fontId="41" fillId="0" borderId="0" xfId="533" applyNumberFormat="1" applyFont="1" applyFill="1" applyAlignment="1">
      <alignment horizontal="center" vertical="center" wrapText="1"/>
      <protection/>
    </xf>
    <xf numFmtId="184" fontId="40" fillId="0" borderId="0" xfId="533" applyNumberFormat="1" applyFont="1" applyFill="1" applyBorder="1" applyAlignment="1">
      <alignment horizontal="center" vertical="center" wrapText="1"/>
      <protection/>
    </xf>
    <xf numFmtId="178" fontId="40" fillId="0" borderId="0" xfId="533" applyNumberFormat="1" applyFont="1" applyFill="1" applyBorder="1" applyAlignment="1">
      <alignment horizontal="center" vertical="center" wrapText="1"/>
      <protection/>
    </xf>
    <xf numFmtId="178" fontId="40" fillId="0" borderId="0" xfId="533" applyNumberFormat="1" applyFont="1" applyFill="1" applyAlignment="1">
      <alignment horizontal="center" vertical="center" wrapText="1"/>
      <protection/>
    </xf>
    <xf numFmtId="0" fontId="40" fillId="0" borderId="21" xfId="0" applyFont="1" applyFill="1" applyBorder="1" applyAlignment="1">
      <alignment horizontal="center" vertical="center" wrapText="1"/>
    </xf>
    <xf numFmtId="178" fontId="40" fillId="0" borderId="2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4" fontId="35" fillId="0" borderId="21" xfId="0" applyNumberFormat="1" applyFont="1" applyFill="1" applyBorder="1" applyAlignment="1">
      <alignment horizontal="center" vertical="center" wrapText="1"/>
    </xf>
    <xf numFmtId="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" fontId="40" fillId="0" borderId="21" xfId="0" applyNumberFormat="1" applyFont="1" applyFill="1" applyBorder="1" applyAlignment="1">
      <alignment horizontal="center" vertical="center" wrapText="1"/>
    </xf>
    <xf numFmtId="178" fontId="35" fillId="0" borderId="0" xfId="533" applyNumberFormat="1" applyFont="1" applyFill="1" applyAlignment="1">
      <alignment horizontal="center" vertical="center" wrapText="1"/>
      <protection/>
    </xf>
    <xf numFmtId="184" fontId="35" fillId="0" borderId="0" xfId="533" applyNumberFormat="1" applyFont="1" applyFill="1" applyAlignment="1">
      <alignment horizontal="center" vertical="center" wrapText="1"/>
      <protection/>
    </xf>
    <xf numFmtId="2" fontId="35" fillId="0" borderId="0" xfId="533" applyNumberFormat="1" applyFont="1" applyFill="1" applyAlignment="1">
      <alignment horizontal="center" vertical="center" wrapText="1"/>
      <protection/>
    </xf>
    <xf numFmtId="0" fontId="35" fillId="0" borderId="0" xfId="624" applyFont="1" applyFill="1" applyAlignment="1">
      <alignment vertical="center"/>
      <protection/>
    </xf>
    <xf numFmtId="185" fontId="35" fillId="0" borderId="0" xfId="377" applyNumberFormat="1" applyFont="1" applyFill="1" applyAlignment="1">
      <alignment vertical="center"/>
    </xf>
    <xf numFmtId="0" fontId="35" fillId="0" borderId="0" xfId="624" applyFont="1" applyFill="1" applyAlignment="1">
      <alignment horizontal="center" vertical="center"/>
      <protection/>
    </xf>
    <xf numFmtId="2" fontId="35" fillId="0" borderId="0" xfId="624" applyNumberFormat="1" applyFont="1" applyFill="1" applyAlignment="1">
      <alignment horizontal="center" vertical="center"/>
      <protection/>
    </xf>
    <xf numFmtId="4" fontId="35" fillId="0" borderId="0" xfId="624" applyNumberFormat="1" applyFont="1" applyFill="1" applyAlignment="1">
      <alignment horizontal="center" vertical="center"/>
      <protection/>
    </xf>
    <xf numFmtId="0" fontId="42" fillId="0" borderId="0" xfId="533" applyFont="1" applyFill="1" applyAlignment="1">
      <alignment horizontal="center" vertical="center" wrapText="1"/>
      <protection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2" fontId="4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40" fillId="0" borderId="0" xfId="533" applyNumberFormat="1" applyFont="1" applyFill="1" applyBorder="1" applyAlignment="1">
      <alignment horizontal="center" vertical="center" wrapText="1"/>
      <protection/>
    </xf>
    <xf numFmtId="184" fontId="35" fillId="0" borderId="0" xfId="533" applyNumberFormat="1" applyFont="1" applyFill="1" applyBorder="1" applyAlignment="1">
      <alignment horizontal="center" vertical="center" wrapText="1"/>
      <protection/>
    </xf>
    <xf numFmtId="4" fontId="35" fillId="0" borderId="0" xfId="533" applyNumberFormat="1" applyFont="1" applyFill="1" applyAlignment="1">
      <alignment horizontal="center" vertical="center" wrapText="1"/>
      <protection/>
    </xf>
    <xf numFmtId="184" fontId="40" fillId="0" borderId="0" xfId="533" applyNumberFormat="1" applyFont="1" applyFill="1" applyAlignment="1">
      <alignment horizontal="center" vertical="center" wrapText="1"/>
      <protection/>
    </xf>
    <xf numFmtId="0" fontId="3" fillId="0" borderId="32" xfId="714" applyFont="1" applyFill="1" applyBorder="1" applyAlignment="1">
      <alignment vertical="center" wrapText="1"/>
      <protection/>
    </xf>
    <xf numFmtId="0" fontId="3" fillId="0" borderId="0" xfId="714" applyFont="1" applyFill="1" applyBorder="1" applyAlignment="1">
      <alignment vertical="center" wrapText="1"/>
      <protection/>
    </xf>
    <xf numFmtId="0" fontId="3" fillId="0" borderId="29" xfId="714" applyFont="1" applyFill="1" applyBorder="1" applyAlignment="1">
      <alignment vertical="center" wrapText="1"/>
      <protection/>
    </xf>
    <xf numFmtId="0" fontId="3" fillId="0" borderId="31" xfId="714" applyFont="1" applyFill="1" applyBorder="1" applyAlignment="1">
      <alignment vertical="center" wrapText="1"/>
      <protection/>
    </xf>
    <xf numFmtId="0" fontId="82" fillId="0" borderId="0" xfId="0" applyFont="1" applyFill="1" applyAlignment="1">
      <alignment vertical="center" wrapText="1"/>
    </xf>
    <xf numFmtId="0" fontId="83" fillId="0" borderId="0" xfId="0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3" fillId="0" borderId="21" xfId="620" applyNumberFormat="1" applyFont="1" applyFill="1" applyBorder="1" applyAlignment="1">
      <alignment horizontal="center" vertical="center"/>
      <protection/>
    </xf>
    <xf numFmtId="0" fontId="3" fillId="0" borderId="21" xfId="620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left" vertical="center"/>
    </xf>
    <xf numFmtId="0" fontId="3" fillId="0" borderId="0" xfId="627" applyFont="1" applyFill="1" applyBorder="1" applyAlignment="1">
      <alignment horizontal="center" vertical="center"/>
      <protection/>
    </xf>
    <xf numFmtId="0" fontId="3" fillId="0" borderId="0" xfId="627" applyFont="1" applyFill="1" applyBorder="1" applyAlignment="1">
      <alignment vertical="center"/>
      <protection/>
    </xf>
    <xf numFmtId="2" fontId="82" fillId="0" borderId="0" xfId="0" applyNumberFormat="1" applyFont="1" applyFill="1" applyAlignment="1">
      <alignment vertical="center"/>
    </xf>
    <xf numFmtId="2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3" fillId="0" borderId="0" xfId="627" applyFont="1" applyFill="1" applyBorder="1" applyAlignment="1">
      <alignment vertical="center" wrapText="1"/>
      <protection/>
    </xf>
    <xf numFmtId="0" fontId="3" fillId="0" borderId="21" xfId="627" applyFont="1" applyFill="1" applyBorder="1" applyAlignment="1">
      <alignment horizontal="center" vertical="center" wrapText="1"/>
      <protection/>
    </xf>
    <xf numFmtId="0" fontId="3" fillId="0" borderId="21" xfId="627" applyNumberFormat="1" applyFont="1" applyFill="1" applyBorder="1" applyAlignment="1">
      <alignment horizontal="center" vertical="center" wrapText="1"/>
      <protection/>
    </xf>
    <xf numFmtId="2" fontId="3" fillId="0" borderId="21" xfId="627" applyNumberFormat="1" applyFont="1" applyFill="1" applyBorder="1" applyAlignment="1">
      <alignment horizontal="center" vertical="center" wrapText="1"/>
      <protection/>
    </xf>
    <xf numFmtId="49" fontId="3" fillId="0" borderId="21" xfId="627" applyNumberFormat="1" applyFont="1" applyFill="1" applyBorder="1" applyAlignment="1">
      <alignment horizontal="center" vertical="center" wrapText="1"/>
      <protection/>
    </xf>
    <xf numFmtId="172" fontId="77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" fillId="0" borderId="21" xfId="496" applyFont="1" applyFill="1" applyBorder="1" applyAlignment="1">
      <alignment horizontal="center" vertical="center" wrapText="1"/>
      <protection/>
    </xf>
    <xf numFmtId="0" fontId="3" fillId="0" borderId="21" xfId="621" applyFont="1" applyFill="1" applyBorder="1" applyAlignment="1">
      <alignment horizontal="center" vertical="center" wrapText="1"/>
      <protection/>
    </xf>
    <xf numFmtId="0" fontId="3" fillId="0" borderId="0" xfId="496" applyFont="1" applyFill="1" applyBorder="1" applyAlignment="1">
      <alignment horizontal="center" vertical="center" wrapText="1"/>
      <protection/>
    </xf>
    <xf numFmtId="2" fontId="3" fillId="0" borderId="21" xfId="496" applyNumberFormat="1" applyFont="1" applyFill="1" applyBorder="1" applyAlignment="1">
      <alignment horizontal="center" vertical="center"/>
      <protection/>
    </xf>
    <xf numFmtId="178" fontId="3" fillId="0" borderId="21" xfId="621" applyNumberFormat="1" applyFont="1" applyFill="1" applyBorder="1" applyAlignment="1">
      <alignment horizontal="center" vertical="center"/>
      <protection/>
    </xf>
    <xf numFmtId="0" fontId="3" fillId="0" borderId="0" xfId="496" applyFont="1" applyFill="1" applyBorder="1" applyAlignment="1">
      <alignment horizontal="center" vertical="center"/>
      <protection/>
    </xf>
    <xf numFmtId="2" fontId="3" fillId="0" borderId="21" xfId="499" applyNumberFormat="1" applyFont="1" applyFill="1" applyBorder="1" applyAlignment="1">
      <alignment horizontal="center" vertical="center" wrapText="1"/>
      <protection/>
    </xf>
    <xf numFmtId="0" fontId="3" fillId="0" borderId="21" xfId="499" applyFont="1" applyFill="1" applyBorder="1" applyAlignment="1">
      <alignment horizontal="center" vertical="center" wrapText="1"/>
      <protection/>
    </xf>
    <xf numFmtId="0" fontId="3" fillId="0" borderId="0" xfId="499" applyFont="1" applyFill="1" applyAlignment="1">
      <alignment vertical="center" wrapText="1"/>
      <protection/>
    </xf>
    <xf numFmtId="0" fontId="3" fillId="0" borderId="0" xfId="499" applyFont="1" applyFill="1" applyAlignment="1">
      <alignment horizontal="center" vertical="center" wrapText="1"/>
      <protection/>
    </xf>
    <xf numFmtId="2" fontId="3" fillId="0" borderId="21" xfId="499" applyNumberFormat="1" applyFont="1" applyFill="1" applyBorder="1" applyAlignment="1">
      <alignment horizontal="center" vertical="center"/>
      <protection/>
    </xf>
    <xf numFmtId="0" fontId="3" fillId="0" borderId="0" xfId="499" applyFont="1" applyFill="1" applyAlignment="1">
      <alignment vertical="center"/>
      <protection/>
    </xf>
    <xf numFmtId="0" fontId="3" fillId="0" borderId="0" xfId="499" applyFont="1" applyFill="1" applyAlignment="1">
      <alignment horizontal="center" vertical="center"/>
      <protection/>
    </xf>
    <xf numFmtId="0" fontId="3" fillId="0" borderId="21" xfId="496" applyFont="1" applyFill="1" applyBorder="1" applyAlignment="1">
      <alignment horizontal="center" vertical="center"/>
      <protection/>
    </xf>
    <xf numFmtId="0" fontId="3" fillId="0" borderId="0" xfId="496" applyFont="1" applyFill="1" applyAlignment="1">
      <alignment vertical="center"/>
      <protection/>
    </xf>
    <xf numFmtId="0" fontId="3" fillId="0" borderId="0" xfId="496" applyFont="1" applyFill="1" applyAlignment="1">
      <alignment vertical="center" wrapText="1"/>
      <protection/>
    </xf>
    <xf numFmtId="2" fontId="3" fillId="0" borderId="21" xfId="711" applyNumberFormat="1" applyFont="1" applyFill="1" applyBorder="1" applyAlignment="1">
      <alignment horizontal="center" vertical="center"/>
      <protection/>
    </xf>
    <xf numFmtId="0" fontId="3" fillId="0" borderId="21" xfId="516" applyFont="1" applyFill="1" applyBorder="1" applyAlignment="1">
      <alignment horizontal="left" vertical="center"/>
      <protection/>
    </xf>
    <xf numFmtId="0" fontId="4" fillId="0" borderId="21" xfId="627" applyFont="1" applyFill="1" applyBorder="1" applyAlignment="1">
      <alignment horizontal="center" vertical="center" wrapText="1"/>
      <protection/>
    </xf>
    <xf numFmtId="0" fontId="3" fillId="0" borderId="21" xfId="627" applyFont="1" applyFill="1" applyBorder="1" applyAlignment="1">
      <alignment vertical="center" wrapText="1"/>
      <protection/>
    </xf>
    <xf numFmtId="0" fontId="3" fillId="0" borderId="0" xfId="62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3" fillId="0" borderId="21" xfId="622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534" applyFont="1" applyFill="1" applyBorder="1" applyAlignment="1">
      <alignment horizontal="center" vertical="center" wrapText="1"/>
      <protection/>
    </xf>
    <xf numFmtId="0" fontId="3" fillId="0" borderId="21" xfId="496" applyFont="1" applyFill="1" applyBorder="1" applyAlignment="1">
      <alignment horizontal="left" vertical="center"/>
      <protection/>
    </xf>
    <xf numFmtId="2" fontId="77" fillId="0" borderId="21" xfId="0" applyNumberFormat="1" applyFont="1" applyFill="1" applyBorder="1" applyAlignment="1">
      <alignment horizontal="center" vertical="center" wrapText="1"/>
    </xf>
    <xf numFmtId="0" fontId="3" fillId="0" borderId="21" xfId="529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left" vertical="center" wrapText="1"/>
    </xf>
    <xf numFmtId="43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496" applyFont="1" applyFill="1" applyBorder="1" applyAlignment="1">
      <alignment horizontal="center" vertical="center"/>
      <protection/>
    </xf>
    <xf numFmtId="178" fontId="3" fillId="0" borderId="21" xfId="0" applyNumberFormat="1" applyFont="1" applyFill="1" applyBorder="1" applyAlignment="1">
      <alignment horizontal="center" vertical="center"/>
    </xf>
    <xf numFmtId="0" fontId="34" fillId="0" borderId="0" xfId="529" applyFont="1" applyFill="1" applyAlignment="1">
      <alignment vertical="center"/>
      <protection/>
    </xf>
    <xf numFmtId="2" fontId="35" fillId="0" borderId="0" xfId="624" applyNumberFormat="1" applyFont="1" applyFill="1" applyAlignment="1">
      <alignment vertical="center"/>
      <protection/>
    </xf>
    <xf numFmtId="0" fontId="4" fillId="55" borderId="21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/>
    </xf>
    <xf numFmtId="0" fontId="3" fillId="55" borderId="21" xfId="620" applyFont="1" applyFill="1" applyBorder="1" applyAlignment="1">
      <alignment horizontal="center" vertical="center"/>
      <protection/>
    </xf>
    <xf numFmtId="43" fontId="3" fillId="55" borderId="21" xfId="0" applyNumberFormat="1" applyFont="1" applyFill="1" applyBorder="1" applyAlignment="1">
      <alignment horizontal="center" vertical="center"/>
    </xf>
    <xf numFmtId="2" fontId="3" fillId="55" borderId="21" xfId="0" applyNumberFormat="1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vertical="center"/>
    </xf>
    <xf numFmtId="0" fontId="3" fillId="55" borderId="0" xfId="0" applyFont="1" applyFill="1" applyBorder="1" applyAlignment="1">
      <alignment vertical="center" wrapText="1"/>
    </xf>
    <xf numFmtId="0" fontId="3" fillId="55" borderId="21" xfId="0" applyFont="1" applyFill="1" applyBorder="1" applyAlignment="1">
      <alignment horizontal="left" vertical="center"/>
    </xf>
    <xf numFmtId="2" fontId="3" fillId="55" borderId="21" xfId="620" applyNumberFormat="1" applyFont="1" applyFill="1" applyBorder="1" applyAlignment="1">
      <alignment horizontal="center" vertical="center"/>
      <protection/>
    </xf>
    <xf numFmtId="0" fontId="3" fillId="55" borderId="21" xfId="529" applyFont="1" applyFill="1" applyBorder="1" applyAlignment="1" applyProtection="1">
      <alignment horizontal="left" vertical="center" wrapText="1"/>
      <protection/>
    </xf>
    <xf numFmtId="0" fontId="3" fillId="55" borderId="21" xfId="0" applyFont="1" applyFill="1" applyBorder="1" applyAlignment="1" applyProtection="1">
      <alignment horizontal="center" vertical="center" wrapText="1"/>
      <protection/>
    </xf>
    <xf numFmtId="0" fontId="3" fillId="55" borderId="21" xfId="622" applyNumberFormat="1" applyFont="1" applyFill="1" applyBorder="1" applyAlignment="1">
      <alignment horizontal="center" vertical="center"/>
      <protection/>
    </xf>
    <xf numFmtId="0" fontId="3" fillId="55" borderId="21" xfId="622" applyNumberFormat="1" applyFont="1" applyFill="1" applyBorder="1" applyAlignment="1">
      <alignment horizontal="center" vertical="center" wrapText="1"/>
      <protection/>
    </xf>
    <xf numFmtId="0" fontId="3" fillId="55" borderId="21" xfId="0" applyNumberFormat="1" applyFont="1" applyFill="1" applyBorder="1" applyAlignment="1">
      <alignment horizontal="center" vertical="center" wrapText="1"/>
    </xf>
    <xf numFmtId="0" fontId="82" fillId="55" borderId="0" xfId="0" applyFont="1" applyFill="1" applyAlignment="1">
      <alignment vertical="center"/>
    </xf>
    <xf numFmtId="0" fontId="82" fillId="55" borderId="0" xfId="0" applyFont="1" applyFill="1" applyAlignment="1">
      <alignment vertical="center" wrapText="1"/>
    </xf>
    <xf numFmtId="0" fontId="82" fillId="55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2" fontId="35" fillId="55" borderId="21" xfId="0" applyNumberFormat="1" applyFont="1" applyFill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43" fontId="3" fillId="0" borderId="21" xfId="0" applyNumberFormat="1" applyFont="1" applyFill="1" applyBorder="1" applyAlignment="1">
      <alignment horizontal="center" vertical="center" wrapText="1"/>
    </xf>
    <xf numFmtId="0" fontId="35" fillId="0" borderId="21" xfId="620" applyFont="1" applyBorder="1" applyAlignment="1">
      <alignment horizontal="center"/>
      <protection/>
    </xf>
    <xf numFmtId="43" fontId="3" fillId="55" borderId="21" xfId="0" applyNumberFormat="1" applyFont="1" applyFill="1" applyBorder="1" applyAlignment="1">
      <alignment horizontal="center" vertical="center" wrapText="1"/>
    </xf>
    <xf numFmtId="0" fontId="3" fillId="0" borderId="0" xfId="714" applyFont="1" applyFill="1" applyBorder="1" applyAlignment="1">
      <alignment horizontal="center" vertical="center" wrapText="1"/>
      <protection/>
    </xf>
    <xf numFmtId="0" fontId="3" fillId="0" borderId="26" xfId="714" applyFont="1" applyFill="1" applyBorder="1" applyAlignment="1">
      <alignment horizontal="center" vertical="center" wrapText="1"/>
      <protection/>
    </xf>
    <xf numFmtId="0" fontId="3" fillId="0" borderId="31" xfId="714" applyFont="1" applyFill="1" applyBorder="1" applyAlignment="1">
      <alignment horizontal="center" vertical="center" wrapText="1"/>
      <protection/>
    </xf>
    <xf numFmtId="0" fontId="3" fillId="0" borderId="30" xfId="714" applyFont="1" applyFill="1" applyBorder="1" applyAlignment="1">
      <alignment horizontal="center" vertical="center" wrapText="1"/>
      <protection/>
    </xf>
    <xf numFmtId="0" fontId="3" fillId="0" borderId="30" xfId="622" applyFont="1" applyFill="1" applyBorder="1" applyAlignment="1">
      <alignment horizontal="center" vertical="center"/>
      <protection/>
    </xf>
    <xf numFmtId="0" fontId="35" fillId="0" borderId="21" xfId="0" applyFont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/>
    </xf>
    <xf numFmtId="0" fontId="2" fillId="0" borderId="0" xfId="627" applyFont="1" applyFill="1" applyBorder="1" applyAlignment="1">
      <alignment horizontal="center" vertical="center"/>
      <protection/>
    </xf>
    <xf numFmtId="2" fontId="28" fillId="0" borderId="0" xfId="627" applyNumberFormat="1" applyFill="1" applyBorder="1" applyAlignment="1">
      <alignment vertical="center"/>
      <protection/>
    </xf>
    <xf numFmtId="0" fontId="28" fillId="0" borderId="0" xfId="627" applyFill="1" applyBorder="1" applyAlignment="1">
      <alignment vertical="center"/>
      <protection/>
    </xf>
    <xf numFmtId="0" fontId="4" fillId="55" borderId="21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172" fontId="79" fillId="0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/>
    </xf>
    <xf numFmtId="0" fontId="4" fillId="0" borderId="33" xfId="622" applyFont="1" applyFill="1" applyBorder="1" applyAlignment="1">
      <alignment horizontal="center" vertical="center"/>
      <protection/>
    </xf>
    <xf numFmtId="0" fontId="3" fillId="0" borderId="21" xfId="529" applyNumberFormat="1" applyFont="1" applyFill="1" applyBorder="1" applyAlignment="1" applyProtection="1">
      <alignment horizontal="center" vertical="center" wrapText="1"/>
      <protection/>
    </xf>
    <xf numFmtId="17" fontId="3" fillId="0" borderId="21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21" xfId="534" applyFont="1" applyFill="1" applyBorder="1" applyAlignment="1">
      <alignment horizontal="center" vertical="center"/>
      <protection/>
    </xf>
    <xf numFmtId="0" fontId="3" fillId="0" borderId="21" xfId="499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/>
    </xf>
    <xf numFmtId="0" fontId="40" fillId="55" borderId="21" xfId="0" applyFont="1" applyFill="1" applyBorder="1" applyAlignment="1">
      <alignment horizontal="center" vertical="center"/>
    </xf>
    <xf numFmtId="178" fontId="35" fillId="0" borderId="21" xfId="0" applyNumberFormat="1" applyFont="1" applyBorder="1" applyAlignment="1">
      <alignment horizontal="center"/>
    </xf>
    <xf numFmtId="0" fontId="3" fillId="55" borderId="21" xfId="0" applyFont="1" applyFill="1" applyBorder="1" applyAlignment="1">
      <alignment horizontal="left" vertical="center" wrapText="1"/>
    </xf>
    <xf numFmtId="1" fontId="35" fillId="0" borderId="21" xfId="0" applyNumberFormat="1" applyFont="1" applyBorder="1" applyAlignment="1">
      <alignment horizont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3" fillId="55" borderId="21" xfId="529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1" xfId="724" applyNumberFormat="1" applyFont="1" applyFill="1" applyBorder="1" applyAlignment="1">
      <alignment horizontal="center" vertical="center" wrapText="1"/>
      <protection/>
    </xf>
    <xf numFmtId="2" fontId="3" fillId="0" borderId="21" xfId="724" applyNumberFormat="1" applyFont="1" applyFill="1" applyBorder="1" applyAlignment="1">
      <alignment horizontal="center" vertical="center" wrapText="1"/>
      <protection/>
    </xf>
    <xf numFmtId="2" fontId="8" fillId="0" borderId="21" xfId="0" applyNumberFormat="1" applyFont="1" applyFill="1" applyBorder="1" applyAlignment="1">
      <alignment horizontal="center" vertical="center" wrapText="1"/>
    </xf>
    <xf numFmtId="2" fontId="85" fillId="0" borderId="21" xfId="0" applyNumberFormat="1" applyFont="1" applyFill="1" applyBorder="1" applyAlignment="1">
      <alignment horizontal="center" vertical="center" wrapText="1"/>
    </xf>
    <xf numFmtId="2" fontId="3" fillId="0" borderId="21" xfId="622" applyNumberFormat="1" applyFont="1" applyFill="1" applyBorder="1" applyAlignment="1">
      <alignment horizontal="center" vertical="center"/>
      <protection/>
    </xf>
    <xf numFmtId="2" fontId="4" fillId="0" borderId="21" xfId="534" applyNumberFormat="1" applyFont="1" applyFill="1" applyBorder="1" applyAlignment="1">
      <alignment horizontal="center" vertical="center" wrapText="1"/>
      <protection/>
    </xf>
    <xf numFmtId="2" fontId="3" fillId="0" borderId="21" xfId="534" applyNumberFormat="1" applyFont="1" applyFill="1" applyBorder="1" applyAlignment="1">
      <alignment horizontal="center" vertical="center"/>
      <protection/>
    </xf>
    <xf numFmtId="2" fontId="4" fillId="0" borderId="21" xfId="499" applyNumberFormat="1" applyFont="1" applyFill="1" applyBorder="1" applyAlignment="1">
      <alignment horizontal="center" vertical="center" wrapText="1"/>
      <protection/>
    </xf>
    <xf numFmtId="2" fontId="3" fillId="0" borderId="21" xfId="622" applyNumberFormat="1" applyFont="1" applyFill="1" applyBorder="1" applyAlignment="1">
      <alignment horizontal="center" vertical="center" wrapText="1"/>
      <protection/>
    </xf>
    <xf numFmtId="2" fontId="4" fillId="0" borderId="21" xfId="627" applyNumberFormat="1" applyFont="1" applyFill="1" applyBorder="1" applyAlignment="1">
      <alignment horizontal="center" vertical="center" wrapText="1"/>
      <protection/>
    </xf>
    <xf numFmtId="2" fontId="4" fillId="55" borderId="21" xfId="0" applyNumberFormat="1" applyFont="1" applyFill="1" applyBorder="1" applyAlignment="1">
      <alignment horizontal="center" vertical="center" wrapText="1"/>
    </xf>
    <xf numFmtId="2" fontId="3" fillId="55" borderId="21" xfId="0" applyNumberFormat="1" applyFont="1" applyFill="1" applyBorder="1" applyAlignment="1">
      <alignment horizontal="center" vertical="center" wrapText="1"/>
    </xf>
    <xf numFmtId="2" fontId="3" fillId="55" borderId="21" xfId="622" applyNumberFormat="1" applyFont="1" applyFill="1" applyBorder="1" applyAlignment="1">
      <alignment horizontal="center" vertical="center" wrapText="1"/>
      <protection/>
    </xf>
    <xf numFmtId="0" fontId="4" fillId="0" borderId="21" xfId="534" applyFont="1" applyFill="1" applyBorder="1" applyAlignment="1">
      <alignment horizontal="center" vertical="center" wrapText="1"/>
      <protection/>
    </xf>
    <xf numFmtId="0" fontId="4" fillId="0" borderId="21" xfId="496" applyFont="1" applyFill="1" applyBorder="1" applyAlignment="1">
      <alignment horizontal="center" vertical="center"/>
      <protection/>
    </xf>
    <xf numFmtId="0" fontId="3" fillId="55" borderId="21" xfId="627" applyFont="1" applyFill="1" applyBorder="1" applyAlignment="1">
      <alignment horizontal="center" vertical="center" wrapText="1"/>
      <protection/>
    </xf>
    <xf numFmtId="49" fontId="3" fillId="55" borderId="21" xfId="627" applyNumberFormat="1" applyFont="1" applyFill="1" applyBorder="1" applyAlignment="1">
      <alignment horizontal="center" vertical="center" wrapText="1"/>
      <protection/>
    </xf>
    <xf numFmtId="179" fontId="4" fillId="55" borderId="21" xfId="618" applyNumberFormat="1" applyFont="1" applyFill="1" applyBorder="1" applyAlignment="1">
      <alignment horizontal="center" vertical="center" wrapText="1"/>
      <protection/>
    </xf>
    <xf numFmtId="0" fontId="4" fillId="55" borderId="21" xfId="627" applyFont="1" applyFill="1" applyBorder="1" applyAlignment="1">
      <alignment horizontal="center" vertical="center" wrapText="1"/>
      <protection/>
    </xf>
    <xf numFmtId="2" fontId="4" fillId="55" borderId="21" xfId="627" applyNumberFormat="1" applyFont="1" applyFill="1" applyBorder="1" applyAlignment="1">
      <alignment horizontal="center" vertical="center" wrapText="1"/>
      <protection/>
    </xf>
    <xf numFmtId="0" fontId="3" fillId="55" borderId="21" xfId="627" applyFont="1" applyFill="1" applyBorder="1" applyAlignment="1">
      <alignment horizontal="left" vertical="center" wrapText="1"/>
      <protection/>
    </xf>
    <xf numFmtId="0" fontId="7" fillId="55" borderId="21" xfId="627" applyFont="1" applyFill="1" applyBorder="1" applyAlignment="1">
      <alignment horizontal="left" vertical="center" wrapText="1"/>
      <protection/>
    </xf>
    <xf numFmtId="0" fontId="3" fillId="55" borderId="21" xfId="627" applyNumberFormat="1" applyFont="1" applyFill="1" applyBorder="1" applyAlignment="1">
      <alignment horizontal="center" vertical="center" wrapText="1"/>
      <protection/>
    </xf>
    <xf numFmtId="2" fontId="3" fillId="55" borderId="21" xfId="627" applyNumberFormat="1" applyFont="1" applyFill="1" applyBorder="1" applyAlignment="1">
      <alignment horizontal="center" vertical="center" wrapText="1"/>
      <protection/>
    </xf>
    <xf numFmtId="0" fontId="3" fillId="55" borderId="21" xfId="627" applyFont="1" applyFill="1" applyBorder="1" applyAlignment="1">
      <alignment vertical="center" wrapText="1"/>
      <protection/>
    </xf>
    <xf numFmtId="173" fontId="3" fillId="55" borderId="21" xfId="627" applyNumberFormat="1" applyFont="1" applyFill="1" applyBorder="1" applyAlignment="1">
      <alignment horizontal="center" vertical="center" wrapText="1"/>
      <protection/>
    </xf>
    <xf numFmtId="0" fontId="2" fillId="55" borderId="21" xfId="627" applyFont="1" applyFill="1" applyBorder="1" applyAlignment="1">
      <alignment horizontal="center" vertical="center" wrapText="1"/>
      <protection/>
    </xf>
    <xf numFmtId="179" fontId="33" fillId="55" borderId="21" xfId="618" applyNumberFormat="1" applyFont="1" applyFill="1" applyBorder="1" applyAlignment="1">
      <alignment horizontal="center" vertical="center" wrapText="1"/>
      <protection/>
    </xf>
    <xf numFmtId="0" fontId="4" fillId="55" borderId="21" xfId="0" applyFont="1" applyFill="1" applyBorder="1" applyAlignment="1">
      <alignment horizontal="right" vertical="center" wrapText="1"/>
    </xf>
    <xf numFmtId="0" fontId="5" fillId="55" borderId="21" xfId="0" applyFont="1" applyFill="1" applyBorder="1" applyAlignment="1">
      <alignment horizontal="center" vertical="center" wrapText="1"/>
    </xf>
    <xf numFmtId="172" fontId="78" fillId="55" borderId="21" xfId="0" applyNumberFormat="1" applyFont="1" applyFill="1" applyBorder="1" applyAlignment="1">
      <alignment horizontal="center" vertical="center" wrapText="1"/>
    </xf>
    <xf numFmtId="172" fontId="79" fillId="55" borderId="21" xfId="0" applyNumberFormat="1" applyFont="1" applyFill="1" applyBorder="1" applyAlignment="1">
      <alignment horizontal="center" vertical="center" wrapText="1"/>
    </xf>
    <xf numFmtId="0" fontId="3" fillId="55" borderId="21" xfId="622" applyFont="1" applyFill="1" applyBorder="1" applyAlignment="1">
      <alignment horizontal="center" vertical="center"/>
      <protection/>
    </xf>
    <xf numFmtId="2" fontId="4" fillId="55" borderId="21" xfId="0" applyNumberFormat="1" applyFont="1" applyFill="1" applyBorder="1" applyAlignment="1">
      <alignment horizontal="center" vertical="center"/>
    </xf>
    <xf numFmtId="0" fontId="4" fillId="55" borderId="21" xfId="622" applyFont="1" applyFill="1" applyBorder="1" applyAlignment="1">
      <alignment horizontal="center" vertical="center"/>
      <protection/>
    </xf>
    <xf numFmtId="0" fontId="28" fillId="55" borderId="0" xfId="627" applyFill="1" applyAlignment="1">
      <alignment vertical="center" wrapText="1"/>
      <protection/>
    </xf>
    <xf numFmtId="0" fontId="28" fillId="55" borderId="0" xfId="627" applyFill="1" applyAlignment="1">
      <alignment vertical="center"/>
      <protection/>
    </xf>
    <xf numFmtId="0" fontId="32" fillId="55" borderId="21" xfId="627" applyFont="1" applyFill="1" applyBorder="1" applyAlignment="1" quotePrefix="1">
      <alignment horizontal="center" vertical="center" wrapText="1"/>
      <protection/>
    </xf>
    <xf numFmtId="0" fontId="39" fillId="55" borderId="0" xfId="520" applyFont="1" applyFill="1" applyBorder="1" applyAlignment="1">
      <alignment horizontal="center" vertical="center" wrapText="1"/>
      <protection/>
    </xf>
    <xf numFmtId="0" fontId="39" fillId="55" borderId="0" xfId="520" applyFont="1" applyFill="1" applyBorder="1" applyAlignment="1">
      <alignment horizontal="center" vertical="center"/>
      <protection/>
    </xf>
    <xf numFmtId="0" fontId="43" fillId="55" borderId="0" xfId="520" applyFont="1" applyFill="1" applyBorder="1" applyAlignment="1">
      <alignment horizontal="center" vertical="center"/>
      <protection/>
    </xf>
    <xf numFmtId="0" fontId="35" fillId="55" borderId="0" xfId="619" applyFont="1" applyFill="1" applyAlignment="1">
      <alignment horizontal="center" vertical="center"/>
      <protection/>
    </xf>
    <xf numFmtId="2" fontId="3" fillId="55" borderId="21" xfId="0" applyNumberFormat="1" applyFont="1" applyFill="1" applyBorder="1" applyAlignment="1" applyProtection="1">
      <alignment horizontal="center" vertical="center" wrapText="1"/>
      <protection/>
    </xf>
    <xf numFmtId="2" fontId="3" fillId="55" borderId="33" xfId="0" applyNumberFormat="1" applyFont="1" applyFill="1" applyBorder="1" applyAlignment="1">
      <alignment horizontal="center" vertical="center" wrapText="1"/>
    </xf>
    <xf numFmtId="2" fontId="3" fillId="55" borderId="21" xfId="506" applyNumberFormat="1" applyFont="1" applyFill="1" applyBorder="1" applyAlignment="1">
      <alignment horizontal="center" vertical="center" wrapText="1"/>
      <protection/>
    </xf>
    <xf numFmtId="2" fontId="3" fillId="55" borderId="21" xfId="36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29" fillId="55" borderId="21" xfId="0" applyFont="1" applyFill="1" applyBorder="1" applyAlignment="1">
      <alignment horizontal="left" vertical="center"/>
    </xf>
    <xf numFmtId="0" fontId="29" fillId="55" borderId="21" xfId="0" applyFont="1" applyFill="1" applyBorder="1" applyAlignment="1">
      <alignment horizontal="center" vertical="center"/>
    </xf>
    <xf numFmtId="173" fontId="29" fillId="55" borderId="21" xfId="0" applyNumberFormat="1" applyFont="1" applyFill="1" applyBorder="1" applyAlignment="1">
      <alignment horizontal="center" vertical="center" wrapText="1"/>
    </xf>
    <xf numFmtId="0" fontId="29" fillId="55" borderId="21" xfId="620" applyFont="1" applyFill="1" applyBorder="1" applyAlignment="1">
      <alignment horizontal="center" vertical="center"/>
      <protection/>
    </xf>
    <xf numFmtId="2" fontId="29" fillId="55" borderId="21" xfId="620" applyNumberFormat="1" applyFont="1" applyFill="1" applyBorder="1" applyAlignment="1">
      <alignment horizontal="center" vertical="center"/>
      <protection/>
    </xf>
    <xf numFmtId="2" fontId="29" fillId="55" borderId="21" xfId="0" applyNumberFormat="1" applyFont="1" applyFill="1" applyBorder="1" applyAlignment="1">
      <alignment horizontal="center" vertical="center"/>
    </xf>
    <xf numFmtId="49" fontId="3" fillId="55" borderId="33" xfId="627" applyNumberFormat="1" applyFont="1" applyFill="1" applyBorder="1" applyAlignment="1">
      <alignment horizontal="center" vertical="center" wrapText="1"/>
      <protection/>
    </xf>
    <xf numFmtId="179" fontId="3" fillId="55" borderId="33" xfId="566" applyNumberFormat="1" applyFont="1" applyFill="1" applyBorder="1" applyAlignment="1">
      <alignment horizontal="left" vertical="center" wrapText="1"/>
      <protection/>
    </xf>
    <xf numFmtId="179" fontId="3" fillId="55" borderId="33" xfId="566" applyNumberFormat="1" applyFont="1" applyFill="1" applyBorder="1" applyAlignment="1">
      <alignment horizontal="center" vertical="center" wrapText="1"/>
      <protection/>
    </xf>
    <xf numFmtId="2" fontId="3" fillId="55" borderId="33" xfId="627" applyNumberFormat="1" applyFont="1" applyFill="1" applyBorder="1" applyAlignment="1">
      <alignment horizontal="center" vertical="center" wrapText="1"/>
      <protection/>
    </xf>
    <xf numFmtId="4" fontId="3" fillId="55" borderId="33" xfId="627" applyNumberFormat="1" applyFont="1" applyFill="1" applyBorder="1" applyAlignment="1">
      <alignment horizontal="center" vertical="center" wrapText="1"/>
      <protection/>
    </xf>
    <xf numFmtId="179" fontId="3" fillId="55" borderId="0" xfId="566" applyNumberFormat="1" applyFont="1" applyFill="1" applyAlignment="1">
      <alignment horizontal="center" vertical="center" wrapText="1"/>
      <protection/>
    </xf>
    <xf numFmtId="0" fontId="35" fillId="55" borderId="21" xfId="627" applyFont="1" applyFill="1" applyBorder="1" applyAlignment="1">
      <alignment horizontal="center" vertical="center" wrapText="1"/>
      <protection/>
    </xf>
    <xf numFmtId="0" fontId="36" fillId="55" borderId="21" xfId="627" applyFont="1" applyFill="1" applyBorder="1" applyAlignment="1">
      <alignment horizontal="left" vertical="center" wrapText="1"/>
      <protection/>
    </xf>
    <xf numFmtId="0" fontId="37" fillId="55" borderId="21" xfId="627" applyFont="1" applyFill="1" applyBorder="1" applyAlignment="1">
      <alignment horizontal="center" vertical="center" wrapText="1"/>
      <protection/>
    </xf>
    <xf numFmtId="4" fontId="36" fillId="55" borderId="21" xfId="627" applyNumberFormat="1" applyFont="1" applyFill="1" applyBorder="1" applyAlignment="1">
      <alignment horizontal="center" vertical="center" wrapText="1"/>
      <protection/>
    </xf>
    <xf numFmtId="1" fontId="2" fillId="55" borderId="0" xfId="627" applyNumberFormat="1" applyFont="1" applyFill="1" applyAlignment="1">
      <alignment horizontal="center" vertical="center"/>
      <protection/>
    </xf>
    <xf numFmtId="0" fontId="3" fillId="55" borderId="20" xfId="0" applyNumberFormat="1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left" vertical="center" wrapText="1"/>
    </xf>
    <xf numFmtId="9" fontId="8" fillId="55" borderId="21" xfId="0" applyNumberFormat="1" applyFont="1" applyFill="1" applyBorder="1" applyAlignment="1">
      <alignment horizontal="center" vertical="center" wrapText="1"/>
    </xf>
    <xf numFmtId="2" fontId="79" fillId="55" borderId="21" xfId="0" applyNumberFormat="1" applyFont="1" applyFill="1" applyBorder="1" applyAlignment="1">
      <alignment horizontal="center" vertical="center" wrapText="1"/>
    </xf>
    <xf numFmtId="0" fontId="3" fillId="55" borderId="33" xfId="0" applyNumberFormat="1" applyFont="1" applyFill="1" applyBorder="1" applyAlignment="1">
      <alignment horizontal="center" vertical="center" wrapText="1"/>
    </xf>
    <xf numFmtId="0" fontId="3" fillId="55" borderId="29" xfId="0" applyNumberFormat="1" applyFont="1" applyFill="1" applyBorder="1" applyAlignment="1">
      <alignment horizontal="center" vertical="center" wrapText="1"/>
    </xf>
    <xf numFmtId="2" fontId="82" fillId="55" borderId="0" xfId="0" applyNumberFormat="1" applyFont="1" applyFill="1" applyAlignment="1">
      <alignment vertical="center"/>
    </xf>
    <xf numFmtId="2" fontId="82" fillId="55" borderId="0" xfId="0" applyNumberFormat="1" applyFont="1" applyFill="1" applyAlignment="1">
      <alignment horizontal="center" vertical="center"/>
    </xf>
    <xf numFmtId="0" fontId="35" fillId="55" borderId="21" xfId="627" applyFont="1" applyFill="1" applyBorder="1" applyAlignment="1">
      <alignment horizontal="left" vertical="center" wrapText="1"/>
      <protection/>
    </xf>
    <xf numFmtId="9" fontId="35" fillId="55" borderId="21" xfId="627" applyNumberFormat="1" applyFont="1" applyFill="1" applyBorder="1" applyAlignment="1">
      <alignment horizontal="center" vertical="center" wrapText="1"/>
      <protection/>
    </xf>
    <xf numFmtId="4" fontId="35" fillId="55" borderId="21" xfId="627" applyNumberFormat="1" applyFont="1" applyFill="1" applyBorder="1" applyAlignment="1">
      <alignment horizontal="center" vertical="center" wrapText="1"/>
      <protection/>
    </xf>
    <xf numFmtId="0" fontId="2" fillId="55" borderId="0" xfId="627" applyFont="1" applyFill="1" applyAlignment="1">
      <alignment horizontal="center" vertical="center"/>
      <protection/>
    </xf>
    <xf numFmtId="0" fontId="28" fillId="55" borderId="0" xfId="627" applyFont="1" applyFill="1" applyAlignment="1">
      <alignment vertical="center"/>
      <protection/>
    </xf>
    <xf numFmtId="0" fontId="35" fillId="55" borderId="0" xfId="627" applyFont="1" applyFill="1" applyAlignment="1">
      <alignment horizontal="center" vertical="center"/>
      <protection/>
    </xf>
    <xf numFmtId="0" fontId="34" fillId="55" borderId="0" xfId="625" applyFont="1" applyFill="1" applyAlignment="1">
      <alignment vertical="center"/>
      <protection/>
    </xf>
    <xf numFmtId="0" fontId="34" fillId="55" borderId="0" xfId="626" applyFont="1" applyFill="1" applyBorder="1" applyAlignment="1">
      <alignment horizontal="right" vertical="center"/>
      <protection/>
    </xf>
    <xf numFmtId="0" fontId="34" fillId="55" borderId="0" xfId="626" applyFont="1" applyFill="1" applyAlignment="1">
      <alignment vertical="center"/>
      <protection/>
    </xf>
    <xf numFmtId="0" fontId="34" fillId="55" borderId="0" xfId="625" applyFont="1" applyFill="1" applyBorder="1" applyAlignment="1">
      <alignment vertical="center"/>
      <protection/>
    </xf>
    <xf numFmtId="183" fontId="34" fillId="55" borderId="33" xfId="566" applyNumberFormat="1" applyFont="1" applyFill="1" applyBorder="1" applyAlignment="1">
      <alignment horizontal="center" vertical="center" wrapText="1"/>
      <protection/>
    </xf>
    <xf numFmtId="0" fontId="39" fillId="55" borderId="21" xfId="520" applyFont="1" applyFill="1" applyBorder="1" applyAlignment="1">
      <alignment horizontal="center" vertical="center" wrapText="1"/>
      <protection/>
    </xf>
    <xf numFmtId="0" fontId="46" fillId="55" borderId="21" xfId="520" applyFont="1" applyFill="1" applyBorder="1" applyAlignment="1">
      <alignment horizontal="center" vertical="center" wrapText="1"/>
      <protection/>
    </xf>
    <xf numFmtId="173" fontId="46" fillId="55" borderId="21" xfId="520" applyNumberFormat="1" applyFont="1" applyFill="1" applyBorder="1" applyAlignment="1">
      <alignment horizontal="center" vertical="center" wrapText="1"/>
      <protection/>
    </xf>
    <xf numFmtId="2" fontId="46" fillId="55" borderId="21" xfId="520" applyNumberFormat="1" applyFont="1" applyFill="1" applyBorder="1" applyAlignment="1">
      <alignment horizontal="center" vertical="center" wrapText="1"/>
      <protection/>
    </xf>
    <xf numFmtId="2" fontId="43" fillId="55" borderId="21" xfId="520" applyNumberFormat="1" applyFont="1" applyFill="1" applyBorder="1" applyAlignment="1">
      <alignment horizontal="center" vertical="center" wrapText="1"/>
      <protection/>
    </xf>
    <xf numFmtId="1" fontId="39" fillId="55" borderId="21" xfId="520" applyNumberFormat="1" applyFont="1" applyFill="1" applyBorder="1" applyAlignment="1">
      <alignment horizontal="center" vertical="center" wrapText="1"/>
      <protection/>
    </xf>
    <xf numFmtId="1" fontId="39" fillId="55" borderId="21" xfId="620" applyNumberFormat="1" applyFont="1" applyFill="1" applyBorder="1" applyAlignment="1">
      <alignment horizontal="center" vertical="center" wrapText="1"/>
      <protection/>
    </xf>
    <xf numFmtId="0" fontId="39" fillId="55" borderId="21" xfId="520" applyFont="1" applyFill="1" applyBorder="1" applyAlignment="1">
      <alignment horizontal="center" vertical="center"/>
      <protection/>
    </xf>
    <xf numFmtId="0" fontId="39" fillId="55" borderId="21" xfId="520" applyFont="1" applyFill="1" applyBorder="1" applyAlignment="1">
      <alignment horizontal="left" vertical="center"/>
      <protection/>
    </xf>
    <xf numFmtId="2" fontId="39" fillId="55" borderId="21" xfId="520" applyNumberFormat="1" applyFont="1" applyFill="1" applyBorder="1" applyAlignment="1">
      <alignment horizontal="center" vertical="center"/>
      <protection/>
    </xf>
    <xf numFmtId="178" fontId="39" fillId="55" borderId="21" xfId="520" applyNumberFormat="1" applyFont="1" applyFill="1" applyBorder="1" applyAlignment="1">
      <alignment horizontal="center" vertical="center"/>
      <protection/>
    </xf>
    <xf numFmtId="0" fontId="39" fillId="55" borderId="21" xfId="620" applyFont="1" applyFill="1" applyBorder="1" applyAlignment="1">
      <alignment horizontal="center" vertical="center"/>
      <protection/>
    </xf>
    <xf numFmtId="0" fontId="39" fillId="55" borderId="21" xfId="619" applyFont="1" applyFill="1" applyBorder="1" applyAlignment="1">
      <alignment horizontal="center" vertical="center"/>
      <protection/>
    </xf>
    <xf numFmtId="17" fontId="39" fillId="55" borderId="21" xfId="619" applyNumberFormat="1" applyFont="1" applyFill="1" applyBorder="1" applyAlignment="1">
      <alignment horizontal="center" vertical="center"/>
      <protection/>
    </xf>
    <xf numFmtId="0" fontId="39" fillId="55" borderId="21" xfId="619" applyFont="1" applyFill="1" applyBorder="1" applyAlignment="1">
      <alignment horizontal="left" vertical="center" wrapText="1"/>
      <protection/>
    </xf>
    <xf numFmtId="173" fontId="39" fillId="55" borderId="21" xfId="619" applyNumberFormat="1" applyFont="1" applyFill="1" applyBorder="1" applyAlignment="1">
      <alignment horizontal="center" vertical="center"/>
      <protection/>
    </xf>
    <xf numFmtId="2" fontId="39" fillId="55" borderId="21" xfId="619" applyNumberFormat="1" applyFont="1" applyFill="1" applyBorder="1" applyAlignment="1">
      <alignment horizontal="center" vertical="center"/>
      <protection/>
    </xf>
    <xf numFmtId="0" fontId="39" fillId="55" borderId="21" xfId="623" applyFont="1" applyFill="1" applyBorder="1" applyAlignment="1">
      <alignment horizontal="center" vertical="center"/>
      <protection/>
    </xf>
    <xf numFmtId="0" fontId="3" fillId="55" borderId="21" xfId="0" applyFont="1" applyFill="1" applyBorder="1" applyAlignment="1">
      <alignment horizontal="center" vertical="center" wrapText="1"/>
    </xf>
    <xf numFmtId="178" fontId="4" fillId="55" borderId="21" xfId="0" applyNumberFormat="1" applyFont="1" applyFill="1" applyBorder="1" applyAlignment="1">
      <alignment horizontal="center" vertical="center" wrapText="1"/>
    </xf>
    <xf numFmtId="49" fontId="3" fillId="55" borderId="21" xfId="0" applyNumberFormat="1" applyFont="1" applyFill="1" applyBorder="1" applyAlignment="1">
      <alignment horizontal="center" vertical="center" wrapText="1"/>
    </xf>
    <xf numFmtId="0" fontId="13" fillId="55" borderId="21" xfId="0" applyFont="1" applyFill="1" applyBorder="1" applyAlignment="1">
      <alignment horizontal="center" vertical="center" wrapText="1"/>
    </xf>
    <xf numFmtId="178" fontId="3" fillId="55" borderId="21" xfId="0" applyNumberFormat="1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3" fontId="3" fillId="0" borderId="21" xfId="620" applyNumberFormat="1" applyFont="1" applyBorder="1" applyAlignment="1">
      <alignment horizontal="center" vertical="center" wrapText="1"/>
      <protection/>
    </xf>
    <xf numFmtId="43" fontId="3" fillId="0" borderId="21" xfId="0" applyNumberFormat="1" applyFont="1" applyBorder="1" applyAlignment="1">
      <alignment horizontal="center" vertical="center"/>
    </xf>
    <xf numFmtId="43" fontId="3" fillId="0" borderId="2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/>
    </xf>
    <xf numFmtId="43" fontId="3" fillId="0" borderId="21" xfId="620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center" vertical="center"/>
    </xf>
    <xf numFmtId="2" fontId="82" fillId="0" borderId="21" xfId="0" applyNumberFormat="1" applyFont="1" applyFill="1" applyBorder="1" applyAlignment="1">
      <alignment horizontal="center" vertical="center" wrapText="1"/>
    </xf>
    <xf numFmtId="2" fontId="3" fillId="0" borderId="21" xfId="534" applyNumberFormat="1" applyFont="1" applyFill="1" applyBorder="1" applyAlignment="1">
      <alignment horizontal="center" vertical="center" wrapText="1"/>
      <protection/>
    </xf>
    <xf numFmtId="2" fontId="29" fillId="0" borderId="28" xfId="0" applyNumberFormat="1" applyFont="1" applyBorder="1" applyAlignment="1">
      <alignment horizontal="center" vertical="center"/>
    </xf>
    <xf numFmtId="2" fontId="29" fillId="0" borderId="28" xfId="0" applyNumberFormat="1" applyFont="1" applyBorder="1" applyAlignment="1">
      <alignment horizontal="center" vertical="center" wrapText="1"/>
    </xf>
    <xf numFmtId="2" fontId="29" fillId="0" borderId="42" xfId="0" applyNumberFormat="1" applyFont="1" applyBorder="1" applyAlignment="1">
      <alignment horizontal="center" vertical="center"/>
    </xf>
    <xf numFmtId="2" fontId="82" fillId="55" borderId="21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5" fillId="55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right" vertical="center" wrapText="1"/>
    </xf>
    <xf numFmtId="0" fontId="3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173" fontId="35" fillId="0" borderId="21" xfId="0" applyNumberFormat="1" applyFont="1" applyBorder="1" applyAlignment="1">
      <alignment horizontal="center" vertical="center" wrapText="1"/>
    </xf>
    <xf numFmtId="173" fontId="40" fillId="0" borderId="21" xfId="0" applyNumberFormat="1" applyFont="1" applyBorder="1" applyAlignment="1">
      <alignment horizontal="center" vertical="center" wrapText="1"/>
    </xf>
    <xf numFmtId="0" fontId="35" fillId="0" borderId="21" xfId="620" applyFont="1" applyBorder="1" applyAlignment="1">
      <alignment horizontal="center" vertical="center" wrapText="1"/>
      <protection/>
    </xf>
    <xf numFmtId="2" fontId="35" fillId="0" borderId="21" xfId="0" applyNumberFormat="1" applyFont="1" applyBorder="1" applyAlignment="1">
      <alignment horizontal="center" vertical="center" wrapText="1"/>
    </xf>
    <xf numFmtId="178" fontId="35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73" fontId="35" fillId="0" borderId="21" xfId="0" applyNumberFormat="1" applyFont="1" applyBorder="1" applyAlignment="1">
      <alignment horizontal="center" vertical="center"/>
    </xf>
    <xf numFmtId="2" fontId="35" fillId="0" borderId="21" xfId="0" applyNumberFormat="1" applyFont="1" applyBorder="1" applyAlignment="1">
      <alignment horizontal="center" vertical="center"/>
    </xf>
    <xf numFmtId="2" fontId="35" fillId="0" borderId="21" xfId="620" applyNumberFormat="1" applyFont="1" applyBorder="1" applyAlignment="1">
      <alignment horizontal="center" vertical="center"/>
      <protection/>
    </xf>
    <xf numFmtId="2" fontId="3" fillId="0" borderId="21" xfId="0" applyNumberFormat="1" applyFont="1" applyBorder="1" applyAlignment="1">
      <alignment horizontal="center" vertical="center"/>
    </xf>
    <xf numFmtId="172" fontId="35" fillId="0" borderId="21" xfId="0" applyNumberFormat="1" applyFont="1" applyBorder="1" applyAlignment="1">
      <alignment horizontal="center" vertical="center"/>
    </xf>
    <xf numFmtId="0" fontId="35" fillId="0" borderId="21" xfId="620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173" fontId="49" fillId="0" borderId="21" xfId="0" applyNumberFormat="1" applyFont="1" applyBorder="1" applyAlignment="1">
      <alignment horizontal="center" vertical="center"/>
    </xf>
    <xf numFmtId="173" fontId="40" fillId="0" borderId="21" xfId="0" applyNumberFormat="1" applyFont="1" applyBorder="1" applyAlignment="1">
      <alignment horizontal="center" vertical="center"/>
    </xf>
    <xf numFmtId="0" fontId="29" fillId="55" borderId="34" xfId="0" applyFont="1" applyFill="1" applyBorder="1" applyAlignment="1">
      <alignment horizontal="center" vertical="center" wrapText="1"/>
    </xf>
    <xf numFmtId="14" fontId="29" fillId="55" borderId="43" xfId="0" applyNumberFormat="1" applyFont="1" applyFill="1" applyBorder="1" applyAlignment="1">
      <alignment horizontal="center" vertical="center" wrapText="1"/>
    </xf>
    <xf numFmtId="0" fontId="29" fillId="55" borderId="43" xfId="0" applyFont="1" applyFill="1" applyBorder="1" applyAlignment="1">
      <alignment horizontal="center" vertical="center" wrapText="1"/>
    </xf>
    <xf numFmtId="172" fontId="29" fillId="55" borderId="43" xfId="0" applyNumberFormat="1" applyFont="1" applyFill="1" applyBorder="1" applyAlignment="1">
      <alignment horizontal="center" vertical="center" wrapText="1"/>
    </xf>
    <xf numFmtId="2" fontId="29" fillId="55" borderId="43" xfId="0" applyNumberFormat="1" applyFont="1" applyFill="1" applyBorder="1" applyAlignment="1">
      <alignment horizontal="center" vertical="center" wrapText="1"/>
    </xf>
    <xf numFmtId="0" fontId="29" fillId="55" borderId="44" xfId="0" applyFont="1" applyFill="1" applyBorder="1" applyAlignment="1">
      <alignment horizontal="center" vertical="center" wrapText="1"/>
    </xf>
    <xf numFmtId="0" fontId="29" fillId="55" borderId="0" xfId="0" applyFont="1" applyFill="1" applyBorder="1" applyAlignment="1">
      <alignment horizontal="center" vertical="center" wrapText="1"/>
    </xf>
    <xf numFmtId="0" fontId="29" fillId="55" borderId="45" xfId="0" applyFont="1" applyFill="1" applyBorder="1" applyAlignment="1">
      <alignment horizontal="center" vertical="center" wrapText="1"/>
    </xf>
    <xf numFmtId="14" fontId="29" fillId="55" borderId="21" xfId="0" applyNumberFormat="1" applyFont="1" applyFill="1" applyBorder="1" applyAlignment="1">
      <alignment horizontal="center" vertical="center" wrapText="1"/>
    </xf>
    <xf numFmtId="0" fontId="29" fillId="55" borderId="21" xfId="0" applyFont="1" applyFill="1" applyBorder="1" applyAlignment="1">
      <alignment horizontal="left" vertical="center" wrapText="1"/>
    </xf>
    <xf numFmtId="0" fontId="29" fillId="55" borderId="21" xfId="0" applyFont="1" applyFill="1" applyBorder="1" applyAlignment="1">
      <alignment horizontal="center" vertical="center" wrapText="1"/>
    </xf>
    <xf numFmtId="172" fontId="29" fillId="55" borderId="21" xfId="0" applyNumberFormat="1" applyFont="1" applyFill="1" applyBorder="1" applyAlignment="1">
      <alignment horizontal="center" vertical="center" wrapText="1"/>
    </xf>
    <xf numFmtId="2" fontId="29" fillId="55" borderId="21" xfId="0" applyNumberFormat="1" applyFont="1" applyFill="1" applyBorder="1" applyAlignment="1">
      <alignment horizontal="center" vertical="center" wrapText="1"/>
    </xf>
    <xf numFmtId="0" fontId="29" fillId="55" borderId="46" xfId="0" applyFont="1" applyFill="1" applyBorder="1" applyAlignment="1">
      <alignment horizontal="center" vertical="center" wrapText="1"/>
    </xf>
    <xf numFmtId="0" fontId="29" fillId="55" borderId="47" xfId="0" applyFont="1" applyFill="1" applyBorder="1" applyAlignment="1">
      <alignment horizontal="center" vertical="center" wrapText="1"/>
    </xf>
    <xf numFmtId="14" fontId="29" fillId="55" borderId="48" xfId="0" applyNumberFormat="1" applyFont="1" applyFill="1" applyBorder="1" applyAlignment="1">
      <alignment horizontal="center" vertical="center" wrapText="1"/>
    </xf>
    <xf numFmtId="0" fontId="29" fillId="55" borderId="42" xfId="0" applyFont="1" applyFill="1" applyBorder="1" applyAlignment="1">
      <alignment horizontal="left" vertical="center" wrapText="1"/>
    </xf>
    <xf numFmtId="0" fontId="29" fillId="55" borderId="48" xfId="0" applyFont="1" applyFill="1" applyBorder="1" applyAlignment="1">
      <alignment horizontal="center" vertical="center" wrapText="1"/>
    </xf>
    <xf numFmtId="172" fontId="29" fillId="55" borderId="48" xfId="0" applyNumberFormat="1" applyFont="1" applyFill="1" applyBorder="1" applyAlignment="1">
      <alignment horizontal="center" vertical="center" wrapText="1"/>
    </xf>
    <xf numFmtId="2" fontId="29" fillId="55" borderId="48" xfId="0" applyNumberFormat="1" applyFont="1" applyFill="1" applyBorder="1" applyAlignment="1">
      <alignment horizontal="center" vertical="center" wrapText="1"/>
    </xf>
    <xf numFmtId="0" fontId="29" fillId="55" borderId="49" xfId="0" applyFont="1" applyFill="1" applyBorder="1" applyAlignment="1">
      <alignment horizontal="center" vertical="center" wrapText="1"/>
    </xf>
    <xf numFmtId="0" fontId="48" fillId="55" borderId="43" xfId="0" applyFont="1" applyFill="1" applyBorder="1" applyAlignment="1">
      <alignment horizontal="center" vertical="center" wrapText="1"/>
    </xf>
    <xf numFmtId="172" fontId="48" fillId="55" borderId="43" xfId="0" applyNumberFormat="1" applyFont="1" applyFill="1" applyBorder="1" applyAlignment="1">
      <alignment horizontal="center" vertical="center" wrapText="1"/>
    </xf>
    <xf numFmtId="0" fontId="3" fillId="55" borderId="33" xfId="0" applyFont="1" applyFill="1" applyBorder="1" applyAlignment="1">
      <alignment horizontal="center" vertical="center" wrapText="1"/>
    </xf>
    <xf numFmtId="49" fontId="3" fillId="55" borderId="33" xfId="0" applyNumberFormat="1" applyFont="1" applyFill="1" applyBorder="1" applyAlignment="1">
      <alignment horizontal="center" vertical="center" wrapText="1"/>
    </xf>
    <xf numFmtId="0" fontId="50" fillId="55" borderId="21" xfId="0" applyFont="1" applyFill="1" applyBorder="1" applyAlignment="1">
      <alignment vertical="center" wrapText="1"/>
    </xf>
    <xf numFmtId="2" fontId="40" fillId="55" borderId="33" xfId="0" applyNumberFormat="1" applyFont="1" applyFill="1" applyBorder="1" applyAlignment="1">
      <alignment horizontal="center" vertical="center" wrapText="1"/>
    </xf>
    <xf numFmtId="2" fontId="35" fillId="0" borderId="21" xfId="508" applyNumberFormat="1" applyFont="1" applyBorder="1" applyAlignment="1">
      <alignment horizontal="center" vertical="center" wrapText="1"/>
      <protection/>
    </xf>
    <xf numFmtId="2" fontId="35" fillId="0" borderId="21" xfId="360" applyNumberFormat="1" applyFont="1" applyBorder="1" applyAlignment="1">
      <alignment horizontal="center" vertical="center" wrapText="1"/>
    </xf>
    <xf numFmtId="0" fontId="40" fillId="55" borderId="0" xfId="0" applyFont="1" applyFill="1" applyAlignment="1">
      <alignment horizontal="center" vertical="center" wrapText="1"/>
    </xf>
    <xf numFmtId="0" fontId="3" fillId="55" borderId="33" xfId="546" applyFont="1" applyFill="1" applyBorder="1" applyAlignment="1">
      <alignment horizontal="center" vertical="center" wrapText="1"/>
      <protection/>
    </xf>
    <xf numFmtId="173" fontId="3" fillId="55" borderId="21" xfId="546" applyNumberFormat="1" applyFont="1" applyFill="1" applyBorder="1" applyAlignment="1">
      <alignment horizontal="center" vertical="center" wrapText="1"/>
      <protection/>
    </xf>
    <xf numFmtId="178" fontId="35" fillId="55" borderId="33" xfId="546" applyNumberFormat="1" applyFont="1" applyFill="1" applyBorder="1" applyAlignment="1">
      <alignment horizontal="center" vertical="center" wrapText="1"/>
      <protection/>
    </xf>
    <xf numFmtId="0" fontId="35" fillId="55" borderId="0" xfId="0" applyFont="1" applyFill="1" applyAlignment="1">
      <alignment horizontal="center" vertical="center" wrapText="1"/>
    </xf>
    <xf numFmtId="2" fontId="35" fillId="55" borderId="33" xfId="0" applyNumberFormat="1" applyFont="1" applyFill="1" applyBorder="1" applyAlignment="1">
      <alignment horizontal="center" vertical="center" wrapText="1"/>
    </xf>
    <xf numFmtId="0" fontId="35" fillId="55" borderId="21" xfId="0" applyFont="1" applyFill="1" applyBorder="1" applyAlignment="1">
      <alignment vertical="center"/>
    </xf>
    <xf numFmtId="0" fontId="35" fillId="55" borderId="28" xfId="0" applyFont="1" applyFill="1" applyBorder="1" applyAlignment="1">
      <alignment horizontal="center" vertical="center" wrapText="1"/>
    </xf>
    <xf numFmtId="14" fontId="35" fillId="55" borderId="0" xfId="0" applyNumberFormat="1" applyFont="1" applyFill="1" applyAlignment="1">
      <alignment horizontal="center" vertical="center" wrapText="1"/>
    </xf>
    <xf numFmtId="0" fontId="40" fillId="55" borderId="28" xfId="0" applyFont="1" applyFill="1" applyBorder="1" applyAlignment="1">
      <alignment horizontal="center" vertical="center" wrapText="1"/>
    </xf>
    <xf numFmtId="0" fontId="40" fillId="55" borderId="0" xfId="0" applyFont="1" applyFill="1" applyBorder="1" applyAlignment="1">
      <alignment horizontal="center" vertical="center" wrapText="1"/>
    </xf>
    <xf numFmtId="173" fontId="40" fillId="55" borderId="21" xfId="0" applyNumberFormat="1" applyFont="1" applyFill="1" applyBorder="1" applyAlignment="1">
      <alignment horizontal="center" vertical="center" wrapText="1"/>
    </xf>
    <xf numFmtId="0" fontId="34" fillId="55" borderId="21" xfId="0" applyFont="1" applyFill="1" applyBorder="1" applyAlignment="1">
      <alignment horizontal="center" vertical="center" wrapText="1"/>
    </xf>
    <xf numFmtId="43" fontId="3" fillId="55" borderId="21" xfId="360" applyNumberFormat="1" applyFont="1" applyFill="1" applyBorder="1" applyAlignment="1">
      <alignment horizontal="center" vertical="center" wrapText="1"/>
    </xf>
    <xf numFmtId="2" fontId="35" fillId="55" borderId="21" xfId="0" applyNumberFormat="1" applyFont="1" applyFill="1" applyBorder="1" applyAlignment="1">
      <alignment horizontal="center" vertical="center" wrapText="1"/>
    </xf>
    <xf numFmtId="0" fontId="34" fillId="55" borderId="0" xfId="0" applyFont="1" applyFill="1" applyBorder="1" applyAlignment="1">
      <alignment horizontal="center" vertical="center" wrapText="1"/>
    </xf>
    <xf numFmtId="0" fontId="35" fillId="55" borderId="28" xfId="0" applyFont="1" applyFill="1" applyBorder="1" applyAlignment="1">
      <alignment horizontal="center" vertical="center"/>
    </xf>
    <xf numFmtId="0" fontId="34" fillId="55" borderId="0" xfId="0" applyFont="1" applyFill="1" applyBorder="1" applyAlignment="1">
      <alignment horizontal="center" vertical="center"/>
    </xf>
    <xf numFmtId="0" fontId="35" fillId="55" borderId="28" xfId="0" applyFont="1" applyFill="1" applyBorder="1" applyAlignment="1">
      <alignment horizontal="left" vertical="center"/>
    </xf>
    <xf numFmtId="0" fontId="35" fillId="55" borderId="0" xfId="0" applyFont="1" applyFill="1" applyAlignment="1">
      <alignment horizontal="center" vertical="center"/>
    </xf>
    <xf numFmtId="173" fontId="35" fillId="55" borderId="21" xfId="0" applyNumberFormat="1" applyFont="1" applyFill="1" applyBorder="1" applyAlignment="1">
      <alignment horizontal="center" vertical="center"/>
    </xf>
    <xf numFmtId="2" fontId="35" fillId="55" borderId="21" xfId="0" applyNumberFormat="1" applyFont="1" applyFill="1" applyBorder="1" applyAlignment="1">
      <alignment horizontal="center" vertical="center"/>
    </xf>
    <xf numFmtId="0" fontId="35" fillId="55" borderId="0" xfId="0" applyFont="1" applyFill="1" applyBorder="1" applyAlignment="1">
      <alignment horizontal="center" vertical="center"/>
    </xf>
    <xf numFmtId="0" fontId="35" fillId="55" borderId="33" xfId="0" applyFont="1" applyFill="1" applyBorder="1" applyAlignment="1">
      <alignment horizontal="center" vertical="center"/>
    </xf>
    <xf numFmtId="0" fontId="35" fillId="55" borderId="31" xfId="0" applyFont="1" applyFill="1" applyBorder="1" applyAlignment="1">
      <alignment horizontal="center" vertical="center"/>
    </xf>
    <xf numFmtId="0" fontId="35" fillId="55" borderId="33" xfId="0" applyFont="1" applyFill="1" applyBorder="1" applyAlignment="1">
      <alignment horizontal="left" vertical="center"/>
    </xf>
    <xf numFmtId="2" fontId="34" fillId="55" borderId="21" xfId="0" applyNumberFormat="1" applyFont="1" applyFill="1" applyBorder="1" applyAlignment="1">
      <alignment horizontal="center" vertical="center"/>
    </xf>
    <xf numFmtId="0" fontId="3" fillId="55" borderId="28" xfId="520" applyFont="1" applyFill="1" applyBorder="1" applyAlignment="1">
      <alignment horizontal="center" vertical="center"/>
      <protection/>
    </xf>
    <xf numFmtId="14" fontId="3" fillId="55" borderId="0" xfId="520" applyNumberFormat="1" applyFont="1" applyFill="1" applyAlignment="1">
      <alignment horizontal="center" vertical="center"/>
      <protection/>
    </xf>
    <xf numFmtId="0" fontId="3" fillId="55" borderId="0" xfId="520" applyFont="1" applyFill="1" applyBorder="1" applyAlignment="1">
      <alignment horizontal="center" vertical="center"/>
      <protection/>
    </xf>
    <xf numFmtId="173" fontId="3" fillId="55" borderId="28" xfId="520" applyNumberFormat="1" applyFont="1" applyFill="1" applyBorder="1" applyAlignment="1">
      <alignment horizontal="center" vertical="center"/>
      <protection/>
    </xf>
    <xf numFmtId="2" fontId="4" fillId="55" borderId="0" xfId="520" applyNumberFormat="1" applyFont="1" applyFill="1" applyBorder="1" applyAlignment="1">
      <alignment horizontal="center" vertical="center"/>
      <protection/>
    </xf>
    <xf numFmtId="2" fontId="3" fillId="55" borderId="32" xfId="520" applyNumberFormat="1" applyFont="1" applyFill="1" applyBorder="1" applyAlignment="1">
      <alignment horizontal="center" vertical="center"/>
      <protection/>
    </xf>
    <xf numFmtId="178" fontId="3" fillId="55" borderId="28" xfId="520" applyNumberFormat="1" applyFont="1" applyFill="1" applyBorder="1" applyAlignment="1">
      <alignment horizontal="center" vertical="center"/>
      <protection/>
    </xf>
    <xf numFmtId="2" fontId="3" fillId="55" borderId="28" xfId="520" applyNumberFormat="1" applyFont="1" applyFill="1" applyBorder="1" applyAlignment="1">
      <alignment horizontal="center" vertical="center"/>
      <protection/>
    </xf>
    <xf numFmtId="2" fontId="3" fillId="55" borderId="0" xfId="520" applyNumberFormat="1" applyFont="1" applyFill="1" applyAlignment="1">
      <alignment horizontal="center" vertical="center"/>
      <protection/>
    </xf>
    <xf numFmtId="0" fontId="3" fillId="55" borderId="32" xfId="520" applyFont="1" applyFill="1" applyBorder="1" applyAlignment="1">
      <alignment horizontal="center" vertical="center"/>
      <protection/>
    </xf>
    <xf numFmtId="0" fontId="3" fillId="55" borderId="0" xfId="520" applyFont="1" applyFill="1" applyAlignment="1">
      <alignment horizontal="center" vertical="center"/>
      <protection/>
    </xf>
    <xf numFmtId="0" fontId="3" fillId="55" borderId="28" xfId="520" applyFont="1" applyFill="1" applyBorder="1" applyAlignment="1">
      <alignment horizontal="left" vertical="center"/>
      <protection/>
    </xf>
    <xf numFmtId="0" fontId="3" fillId="55" borderId="33" xfId="520" applyFont="1" applyFill="1" applyBorder="1" applyAlignment="1">
      <alignment horizontal="center" vertical="center"/>
      <protection/>
    </xf>
    <xf numFmtId="0" fontId="3" fillId="55" borderId="31" xfId="520" applyFont="1" applyFill="1" applyBorder="1" applyAlignment="1">
      <alignment horizontal="center" vertical="center"/>
      <protection/>
    </xf>
    <xf numFmtId="0" fontId="3" fillId="55" borderId="33" xfId="520" applyFont="1" applyFill="1" applyBorder="1" applyAlignment="1">
      <alignment horizontal="left" vertical="center"/>
      <protection/>
    </xf>
    <xf numFmtId="2" fontId="3" fillId="55" borderId="33" xfId="520" applyNumberFormat="1" applyFont="1" applyFill="1" applyBorder="1" applyAlignment="1">
      <alignment horizontal="center" vertical="center"/>
      <protection/>
    </xf>
    <xf numFmtId="2" fontId="3" fillId="55" borderId="31" xfId="520" applyNumberFormat="1" applyFont="1" applyFill="1" applyBorder="1" applyAlignment="1">
      <alignment horizontal="center" vertical="center"/>
      <protection/>
    </xf>
    <xf numFmtId="2" fontId="3" fillId="55" borderId="29" xfId="520" applyNumberFormat="1" applyFont="1" applyFill="1" applyBorder="1" applyAlignment="1">
      <alignment horizontal="center" vertical="center"/>
      <protection/>
    </xf>
    <xf numFmtId="0" fontId="48" fillId="55" borderId="50" xfId="0" applyFont="1" applyFill="1" applyBorder="1" applyAlignment="1">
      <alignment horizontal="center" vertical="center" wrapText="1"/>
    </xf>
    <xf numFmtId="2" fontId="29" fillId="55" borderId="37" xfId="0" applyNumberFormat="1" applyFont="1" applyFill="1" applyBorder="1" applyAlignment="1">
      <alignment horizontal="center" vertical="center" wrapText="1"/>
    </xf>
    <xf numFmtId="43" fontId="4" fillId="55" borderId="21" xfId="0" applyNumberFormat="1" applyFont="1" applyFill="1" applyBorder="1" applyAlignment="1">
      <alignment horizontal="center" vertical="center" wrapText="1"/>
    </xf>
    <xf numFmtId="0" fontId="3" fillId="0" borderId="19" xfId="520" applyFont="1" applyFill="1" applyBorder="1" applyAlignment="1">
      <alignment horizontal="center" vertical="center" wrapText="1"/>
      <protection/>
    </xf>
    <xf numFmtId="0" fontId="3" fillId="0" borderId="24" xfId="520" applyFont="1" applyFill="1" applyBorder="1" applyAlignment="1">
      <alignment horizontal="center" vertical="center" wrapText="1"/>
      <protection/>
    </xf>
    <xf numFmtId="0" fontId="4" fillId="0" borderId="19" xfId="520" applyFont="1" applyFill="1" applyBorder="1" applyAlignment="1">
      <alignment horizontal="center" vertical="center" wrapText="1"/>
      <protection/>
    </xf>
    <xf numFmtId="0" fontId="3" fillId="0" borderId="25" xfId="520" applyFont="1" applyFill="1" applyBorder="1" applyAlignment="1">
      <alignment horizontal="center" vertical="center" wrapText="1"/>
      <protection/>
    </xf>
    <xf numFmtId="173" fontId="3" fillId="0" borderId="19" xfId="520" applyNumberFormat="1" applyFont="1" applyFill="1" applyBorder="1" applyAlignment="1">
      <alignment horizontal="center" vertical="center" wrapText="1"/>
      <protection/>
    </xf>
    <xf numFmtId="2" fontId="4" fillId="56" borderId="25" xfId="520" applyNumberFormat="1" applyFont="1" applyFill="1" applyBorder="1" applyAlignment="1">
      <alignment horizontal="center" vertical="center" wrapText="1"/>
      <protection/>
    </xf>
    <xf numFmtId="2" fontId="3" fillId="0" borderId="19" xfId="520" applyNumberFormat="1" applyFont="1" applyFill="1" applyBorder="1" applyAlignment="1">
      <alignment horizontal="center" vertical="center" wrapText="1"/>
      <protection/>
    </xf>
    <xf numFmtId="2" fontId="3" fillId="0" borderId="25" xfId="520" applyNumberFormat="1" applyFont="1" applyFill="1" applyBorder="1" applyAlignment="1">
      <alignment horizontal="center" vertical="center" wrapText="1"/>
      <protection/>
    </xf>
    <xf numFmtId="2" fontId="3" fillId="0" borderId="19" xfId="620" applyNumberFormat="1" applyFont="1" applyFill="1" applyBorder="1" applyAlignment="1">
      <alignment horizontal="center" vertical="center" wrapText="1"/>
      <protection/>
    </xf>
    <xf numFmtId="2" fontId="3" fillId="0" borderId="25" xfId="620" applyNumberFormat="1" applyFont="1" applyFill="1" applyBorder="1" applyAlignment="1">
      <alignment horizontal="center" vertical="center" wrapText="1"/>
      <protection/>
    </xf>
    <xf numFmtId="0" fontId="3" fillId="0" borderId="0" xfId="520" applyFont="1" applyFill="1" applyBorder="1" applyAlignment="1">
      <alignment horizontal="center" vertical="center" wrapText="1"/>
      <protection/>
    </xf>
    <xf numFmtId="2" fontId="3" fillId="0" borderId="0" xfId="520" applyNumberFormat="1" applyFont="1" applyFill="1" applyBorder="1" applyAlignment="1">
      <alignment horizontal="center" vertical="center" wrapText="1"/>
      <protection/>
    </xf>
    <xf numFmtId="0" fontId="3" fillId="0" borderId="28" xfId="520" applyFont="1" applyFill="1" applyBorder="1" applyAlignment="1">
      <alignment horizontal="center" vertical="center"/>
      <protection/>
    </xf>
    <xf numFmtId="0" fontId="3" fillId="0" borderId="28" xfId="520" applyFont="1" applyFill="1" applyBorder="1" applyAlignment="1">
      <alignment horizontal="left" vertical="center"/>
      <protection/>
    </xf>
    <xf numFmtId="2" fontId="3" fillId="0" borderId="28" xfId="520" applyNumberFormat="1" applyFont="1" applyFill="1" applyBorder="1" applyAlignment="1">
      <alignment horizontal="center" vertical="center"/>
      <protection/>
    </xf>
    <xf numFmtId="2" fontId="3" fillId="0" borderId="0" xfId="520" applyNumberFormat="1" applyFont="1" applyFill="1" applyBorder="1" applyAlignment="1">
      <alignment horizontal="center" vertical="center"/>
      <protection/>
    </xf>
    <xf numFmtId="0" fontId="3" fillId="0" borderId="0" xfId="520" applyFont="1" applyFill="1" applyBorder="1" applyAlignment="1">
      <alignment horizontal="center" vertical="center"/>
      <protection/>
    </xf>
    <xf numFmtId="0" fontId="3" fillId="0" borderId="32" xfId="520" applyFont="1" applyFill="1" applyBorder="1" applyAlignment="1">
      <alignment horizontal="center" vertical="center"/>
      <protection/>
    </xf>
    <xf numFmtId="2" fontId="3" fillId="0" borderId="32" xfId="520" applyNumberFormat="1" applyFont="1" applyFill="1" applyBorder="1" applyAlignment="1">
      <alignment horizontal="center" vertical="center"/>
      <protection/>
    </xf>
    <xf numFmtId="2" fontId="3" fillId="0" borderId="28" xfId="620" applyNumberFormat="1" applyFont="1" applyFill="1" applyBorder="1" applyAlignment="1">
      <alignment horizontal="center" vertical="center"/>
      <protection/>
    </xf>
    <xf numFmtId="2" fontId="3" fillId="0" borderId="0" xfId="620" applyNumberFormat="1" applyFont="1" applyFill="1" applyBorder="1" applyAlignment="1">
      <alignment horizontal="center" vertical="center"/>
      <protection/>
    </xf>
    <xf numFmtId="0" fontId="3" fillId="0" borderId="33" xfId="619" applyFont="1" applyFill="1" applyBorder="1" applyAlignment="1">
      <alignment horizontal="center" vertical="center"/>
      <protection/>
    </xf>
    <xf numFmtId="17" fontId="3" fillId="0" borderId="32" xfId="619" applyNumberFormat="1" applyFont="1" applyFill="1" applyBorder="1" applyAlignment="1">
      <alignment horizontal="center" vertical="center"/>
      <protection/>
    </xf>
    <xf numFmtId="0" fontId="3" fillId="0" borderId="28" xfId="619" applyFont="1" applyFill="1" applyBorder="1" applyAlignment="1">
      <alignment horizontal="left" vertical="center" wrapText="1"/>
      <protection/>
    </xf>
    <xf numFmtId="0" fontId="3" fillId="0" borderId="0" xfId="619" applyFont="1" applyFill="1" applyBorder="1" applyAlignment="1">
      <alignment horizontal="center" vertical="center"/>
      <protection/>
    </xf>
    <xf numFmtId="173" fontId="3" fillId="0" borderId="28" xfId="619" applyNumberFormat="1" applyFont="1" applyFill="1" applyBorder="1" applyAlignment="1">
      <alignment horizontal="center" vertical="center"/>
      <protection/>
    </xf>
    <xf numFmtId="2" fontId="3" fillId="0" borderId="28" xfId="619" applyNumberFormat="1" applyFont="1" applyFill="1" applyBorder="1" applyAlignment="1">
      <alignment horizontal="center" vertical="center"/>
      <protection/>
    </xf>
    <xf numFmtId="2" fontId="3" fillId="0" borderId="28" xfId="623" applyNumberFormat="1" applyFont="1" applyFill="1" applyBorder="1" applyAlignment="1">
      <alignment horizontal="center" vertical="center"/>
      <protection/>
    </xf>
    <xf numFmtId="2" fontId="3" fillId="0" borderId="0" xfId="623" applyNumberFormat="1" applyFont="1" applyFill="1" applyBorder="1" applyAlignment="1">
      <alignment horizontal="center" vertical="center"/>
      <protection/>
    </xf>
    <xf numFmtId="0" fontId="3" fillId="0" borderId="0" xfId="619" applyFont="1" applyFill="1" applyAlignment="1">
      <alignment horizontal="center" vertical="center"/>
      <protection/>
    </xf>
    <xf numFmtId="0" fontId="2" fillId="0" borderId="26" xfId="714" applyFont="1" applyFill="1" applyBorder="1" applyAlignment="1">
      <alignment horizontal="center" vertical="center" wrapText="1"/>
      <protection/>
    </xf>
    <xf numFmtId="0" fontId="34" fillId="0" borderId="0" xfId="529" applyFont="1" applyFill="1" applyBorder="1" applyAlignment="1">
      <alignment horizontal="center" vertical="center"/>
      <protection/>
    </xf>
    <xf numFmtId="0" fontId="34" fillId="0" borderId="0" xfId="529" applyFont="1" applyFill="1" applyAlignment="1">
      <alignment horizontal="center" vertical="center"/>
      <protection/>
    </xf>
    <xf numFmtId="0" fontId="84" fillId="0" borderId="23" xfId="0" applyFont="1" applyFill="1" applyBorder="1" applyAlignment="1">
      <alignment vertical="center" wrapText="1"/>
    </xf>
    <xf numFmtId="0" fontId="8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5" fillId="55" borderId="0" xfId="0" applyFont="1" applyFill="1" applyBorder="1" applyAlignment="1">
      <alignment horizontal="center" vertical="center" wrapText="1"/>
    </xf>
    <xf numFmtId="0" fontId="33" fillId="0" borderId="0" xfId="714" applyFont="1" applyFill="1" applyBorder="1" applyAlignment="1">
      <alignment horizontal="center" vertical="center" wrapText="1"/>
      <protection/>
    </xf>
    <xf numFmtId="0" fontId="82" fillId="0" borderId="0" xfId="0" applyFont="1" applyFill="1" applyAlignment="1">
      <alignment horizontal="center" vertical="center" wrapText="1"/>
    </xf>
    <xf numFmtId="175" fontId="86" fillId="36" borderId="0" xfId="732" applyFont="1" applyFill="1" applyAlignment="1">
      <alignment horizontal="center" vertical="center"/>
    </xf>
    <xf numFmtId="0" fontId="34" fillId="55" borderId="0" xfId="626" applyFont="1" applyFill="1" applyAlignment="1">
      <alignment vertical="center"/>
      <protection/>
    </xf>
    <xf numFmtId="0" fontId="3" fillId="55" borderId="21" xfId="627" applyNumberFormat="1" applyFont="1" applyFill="1" applyBorder="1" applyAlignment="1">
      <alignment horizontal="center" vertical="center" wrapText="1"/>
      <protection/>
    </xf>
    <xf numFmtId="2" fontId="3" fillId="55" borderId="21" xfId="627" applyNumberFormat="1" applyFont="1" applyFill="1" applyBorder="1" applyAlignment="1">
      <alignment horizontal="center" vertical="center" wrapText="1"/>
      <protection/>
    </xf>
    <xf numFmtId="179" fontId="3" fillId="55" borderId="32" xfId="566" applyNumberFormat="1" applyFont="1" applyFill="1" applyBorder="1" applyAlignment="1">
      <alignment horizontal="left" vertical="center" wrapText="1"/>
      <protection/>
    </xf>
    <xf numFmtId="179" fontId="3" fillId="55" borderId="0" xfId="566" applyNumberFormat="1" applyFont="1" applyFill="1" applyAlignment="1">
      <alignment horizontal="left" vertical="center" wrapText="1"/>
      <protection/>
    </xf>
    <xf numFmtId="4" fontId="35" fillId="55" borderId="20" xfId="627" applyNumberFormat="1" applyFont="1" applyFill="1" applyBorder="1" applyAlignment="1">
      <alignment horizontal="center" vertical="center" wrapText="1"/>
      <protection/>
    </xf>
    <xf numFmtId="0" fontId="35" fillId="55" borderId="23" xfId="627" applyFont="1" applyFill="1" applyBorder="1" applyAlignment="1">
      <alignment horizontal="center" vertical="center" wrapText="1"/>
      <protection/>
    </xf>
    <xf numFmtId="0" fontId="35" fillId="55" borderId="0" xfId="627" applyFont="1" applyFill="1" applyAlignment="1">
      <alignment horizontal="center" vertical="center"/>
      <protection/>
    </xf>
    <xf numFmtId="0" fontId="3" fillId="55" borderId="0" xfId="627" applyNumberFormat="1" applyFont="1" applyFill="1" applyBorder="1" applyAlignment="1">
      <alignment horizontal="center" vertical="center" wrapText="1"/>
      <protection/>
    </xf>
    <xf numFmtId="0" fontId="28" fillId="55" borderId="0" xfId="627" applyFill="1" applyBorder="1" applyAlignment="1">
      <alignment horizontal="center" vertical="center" wrapText="1"/>
      <protection/>
    </xf>
    <xf numFmtId="0" fontId="2" fillId="55" borderId="21" xfId="627" applyFont="1" applyFill="1" applyBorder="1" applyAlignment="1">
      <alignment horizontal="center" vertical="center" wrapText="1"/>
      <protection/>
    </xf>
    <xf numFmtId="0" fontId="3" fillId="55" borderId="21" xfId="627" applyFont="1" applyFill="1" applyBorder="1" applyAlignment="1">
      <alignment horizontal="center" vertical="center" wrapText="1"/>
      <protection/>
    </xf>
    <xf numFmtId="0" fontId="33" fillId="0" borderId="0" xfId="533" applyFont="1" applyFill="1" applyAlignment="1">
      <alignment horizontal="center" vertical="center" wrapText="1"/>
      <protection/>
    </xf>
    <xf numFmtId="0" fontId="35" fillId="0" borderId="0" xfId="624" applyFont="1" applyFill="1" applyAlignment="1">
      <alignment horizontal="center" vertical="center"/>
      <protection/>
    </xf>
  </cellXfs>
  <cellStyles count="71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Currency_McxeTa BOQ - File. 17.05.2010" xfId="377"/>
    <cellStyle name="Explanatory Text" xfId="378"/>
    <cellStyle name="Explanatory Text 2" xfId="379"/>
    <cellStyle name="Explanatory Text 2 2" xfId="380"/>
    <cellStyle name="Explanatory Text 2 3" xfId="381"/>
    <cellStyle name="Explanatory Text 2 4" xfId="382"/>
    <cellStyle name="Explanatory Text 2 5" xfId="383"/>
    <cellStyle name="Explanatory Text 3" xfId="384"/>
    <cellStyle name="Explanatory Text 4" xfId="385"/>
    <cellStyle name="Explanatory Text 4 2" xfId="386"/>
    <cellStyle name="Explanatory Text 5" xfId="387"/>
    <cellStyle name="Explanatory Text 6" xfId="388"/>
    <cellStyle name="Explanatory Text 7" xfId="389"/>
    <cellStyle name="Good" xfId="390"/>
    <cellStyle name="Good 2" xfId="391"/>
    <cellStyle name="Good 2 2" xfId="392"/>
    <cellStyle name="Good 2 3" xfId="393"/>
    <cellStyle name="Good 2 4" xfId="394"/>
    <cellStyle name="Good 2 5" xfId="395"/>
    <cellStyle name="Good 3" xfId="396"/>
    <cellStyle name="Good 4" xfId="397"/>
    <cellStyle name="Good 4 2" xfId="398"/>
    <cellStyle name="Good 5" xfId="399"/>
    <cellStyle name="Good 6" xfId="400"/>
    <cellStyle name="Good 7" xfId="401"/>
    <cellStyle name="Heading 1" xfId="402"/>
    <cellStyle name="Heading 1 2" xfId="403"/>
    <cellStyle name="Heading 1 2 2" xfId="404"/>
    <cellStyle name="Heading 1 2 3" xfId="405"/>
    <cellStyle name="Heading 1 2 4" xfId="406"/>
    <cellStyle name="Heading 1 2 5" xfId="407"/>
    <cellStyle name="Heading 1 2_anakia II etapi.xls sm. defeqturi" xfId="408"/>
    <cellStyle name="Heading 1 3" xfId="409"/>
    <cellStyle name="Heading 1 4" xfId="410"/>
    <cellStyle name="Heading 1 4 2" xfId="411"/>
    <cellStyle name="Heading 1 4_anakia II etapi.xls sm. defeqturi" xfId="412"/>
    <cellStyle name="Heading 1 5" xfId="413"/>
    <cellStyle name="Heading 1 6" xfId="414"/>
    <cellStyle name="Heading 1 7" xfId="415"/>
    <cellStyle name="Heading 2" xfId="416"/>
    <cellStyle name="Heading 2 2" xfId="417"/>
    <cellStyle name="Heading 2 2 2" xfId="418"/>
    <cellStyle name="Heading 2 2 3" xfId="419"/>
    <cellStyle name="Heading 2 2 4" xfId="420"/>
    <cellStyle name="Heading 2 2 5" xfId="421"/>
    <cellStyle name="Heading 2 2_anakia II etapi.xls sm. defeqturi" xfId="422"/>
    <cellStyle name="Heading 2 3" xfId="423"/>
    <cellStyle name="Heading 2 4" xfId="424"/>
    <cellStyle name="Heading 2 4 2" xfId="425"/>
    <cellStyle name="Heading 2 4_anakia II etapi.xls sm. defeqturi" xfId="426"/>
    <cellStyle name="Heading 2 5" xfId="427"/>
    <cellStyle name="Heading 2 6" xfId="428"/>
    <cellStyle name="Heading 2 7" xfId="429"/>
    <cellStyle name="Heading 3" xfId="430"/>
    <cellStyle name="Heading 3 2" xfId="431"/>
    <cellStyle name="Heading 3 2 2" xfId="432"/>
    <cellStyle name="Heading 3 2 3" xfId="433"/>
    <cellStyle name="Heading 3 2 4" xfId="434"/>
    <cellStyle name="Heading 3 2 5" xfId="435"/>
    <cellStyle name="Heading 3 2_anakia II etapi.xls sm. defeqturi" xfId="436"/>
    <cellStyle name="Heading 3 3" xfId="437"/>
    <cellStyle name="Heading 3 4" xfId="438"/>
    <cellStyle name="Heading 3 4 2" xfId="439"/>
    <cellStyle name="Heading 3 4_anakia II etapi.xls sm. defeqturi" xfId="440"/>
    <cellStyle name="Heading 3 5" xfId="441"/>
    <cellStyle name="Heading 3 6" xfId="442"/>
    <cellStyle name="Heading 3 7" xfId="443"/>
    <cellStyle name="Heading 4" xfId="444"/>
    <cellStyle name="Heading 4 2" xfId="445"/>
    <cellStyle name="Heading 4 2 2" xfId="446"/>
    <cellStyle name="Heading 4 2 3" xfId="447"/>
    <cellStyle name="Heading 4 2 4" xfId="448"/>
    <cellStyle name="Heading 4 2 5" xfId="449"/>
    <cellStyle name="Heading 4 3" xfId="450"/>
    <cellStyle name="Heading 4 4" xfId="451"/>
    <cellStyle name="Heading 4 4 2" xfId="452"/>
    <cellStyle name="Heading 4 5" xfId="453"/>
    <cellStyle name="Heading 4 6" xfId="454"/>
    <cellStyle name="Heading 4 7" xfId="455"/>
    <cellStyle name="Input" xfId="456"/>
    <cellStyle name="Input 2" xfId="457"/>
    <cellStyle name="Input 2 2" xfId="458"/>
    <cellStyle name="Input 2 3" xfId="459"/>
    <cellStyle name="Input 2 4" xfId="460"/>
    <cellStyle name="Input 2 5" xfId="461"/>
    <cellStyle name="Input 2_anakia II etapi.xls sm. defeqturi" xfId="462"/>
    <cellStyle name="Input 3" xfId="463"/>
    <cellStyle name="Input 4" xfId="464"/>
    <cellStyle name="Input 4 2" xfId="465"/>
    <cellStyle name="Input 4_anakia II etapi.xls sm. defeqturi" xfId="466"/>
    <cellStyle name="Input 5" xfId="467"/>
    <cellStyle name="Input 6" xfId="468"/>
    <cellStyle name="Input 7" xfId="469"/>
    <cellStyle name="Linked Cell" xfId="470"/>
    <cellStyle name="Linked Cell 2" xfId="471"/>
    <cellStyle name="Linked Cell 2 2" xfId="472"/>
    <cellStyle name="Linked Cell 2 3" xfId="473"/>
    <cellStyle name="Linked Cell 2 4" xfId="474"/>
    <cellStyle name="Linked Cell 2 5" xfId="475"/>
    <cellStyle name="Linked Cell 2_anakia II etapi.xls sm. defeqturi" xfId="476"/>
    <cellStyle name="Linked Cell 3" xfId="477"/>
    <cellStyle name="Linked Cell 4" xfId="478"/>
    <cellStyle name="Linked Cell 4 2" xfId="479"/>
    <cellStyle name="Linked Cell 4_anakia II etapi.xls sm. defeqturi" xfId="480"/>
    <cellStyle name="Linked Cell 5" xfId="481"/>
    <cellStyle name="Linked Cell 6" xfId="482"/>
    <cellStyle name="Linked Cell 7" xfId="483"/>
    <cellStyle name="Neutral" xfId="484"/>
    <cellStyle name="Neutral 2" xfId="485"/>
    <cellStyle name="Neutral 2 2" xfId="486"/>
    <cellStyle name="Neutral 2 3" xfId="487"/>
    <cellStyle name="Neutral 2 4" xfId="488"/>
    <cellStyle name="Neutral 2 5" xfId="489"/>
    <cellStyle name="Neutral 3" xfId="490"/>
    <cellStyle name="Neutral 4" xfId="491"/>
    <cellStyle name="Neutral 4 2" xfId="492"/>
    <cellStyle name="Neutral 5" xfId="493"/>
    <cellStyle name="Neutral 6" xfId="494"/>
    <cellStyle name="Neutral 7" xfId="495"/>
    <cellStyle name="Normal 10" xfId="496"/>
    <cellStyle name="Normal 10 2" xfId="497"/>
    <cellStyle name="Normal 11" xfId="498"/>
    <cellStyle name="Normal 11 2" xfId="499"/>
    <cellStyle name="Normal 11 2 2" xfId="500"/>
    <cellStyle name="Normal 11 3" xfId="501"/>
    <cellStyle name="Normal 11_GAZI-2010" xfId="502"/>
    <cellStyle name="Normal 12" xfId="503"/>
    <cellStyle name="Normal 12 2" xfId="504"/>
    <cellStyle name="Normal 12_gazis gare qseli" xfId="505"/>
    <cellStyle name="Normal 13" xfId="506"/>
    <cellStyle name="Normal 13 2" xfId="507"/>
    <cellStyle name="Normal 13 2 2" xfId="508"/>
    <cellStyle name="Normal 13 3" xfId="509"/>
    <cellStyle name="Normal 13 3 2" xfId="510"/>
    <cellStyle name="Normal 13 4" xfId="511"/>
    <cellStyle name="Normal 13 5" xfId="512"/>
    <cellStyle name="Normal 13_GAZI-2010" xfId="513"/>
    <cellStyle name="Normal 14" xfId="514"/>
    <cellStyle name="Normal 14 2" xfId="515"/>
    <cellStyle name="Normal 14 3" xfId="516"/>
    <cellStyle name="Normal 14 3 2" xfId="517"/>
    <cellStyle name="Normal 14 4" xfId="518"/>
    <cellStyle name="Normal 14 5" xfId="519"/>
    <cellStyle name="Normal 14_anakia II etapi.xls sm. defeqturi" xfId="520"/>
    <cellStyle name="Normal 15" xfId="521"/>
    <cellStyle name="Normal 16" xfId="522"/>
    <cellStyle name="Normal 16 2" xfId="523"/>
    <cellStyle name="Normal 16 3" xfId="524"/>
    <cellStyle name="Normal 16_axalq.skola" xfId="525"/>
    <cellStyle name="Normal 17" xfId="526"/>
    <cellStyle name="Normal 18" xfId="527"/>
    <cellStyle name="Normal 19" xfId="528"/>
    <cellStyle name="Normal 2" xfId="529"/>
    <cellStyle name="Normal 2 10" xfId="530"/>
    <cellStyle name="Normal 2 11" xfId="531"/>
    <cellStyle name="Normal 2 12" xfId="532"/>
    <cellStyle name="Normal 2 2" xfId="533"/>
    <cellStyle name="Normal 2 2 2" xfId="534"/>
    <cellStyle name="Normal 2 2 3" xfId="535"/>
    <cellStyle name="Normal 2 2 4" xfId="536"/>
    <cellStyle name="Normal 2 2 5" xfId="537"/>
    <cellStyle name="Normal 2 2 6" xfId="538"/>
    <cellStyle name="Normal 2 2 7" xfId="539"/>
    <cellStyle name="Normal 2 2_2D4CD000" xfId="540"/>
    <cellStyle name="Normal 2 3" xfId="541"/>
    <cellStyle name="Normal 2 4" xfId="542"/>
    <cellStyle name="Normal 2 5" xfId="543"/>
    <cellStyle name="Normal 2 6" xfId="544"/>
    <cellStyle name="Normal 2 7" xfId="545"/>
    <cellStyle name="Normal 2 7 2" xfId="546"/>
    <cellStyle name="Normal 2 7 3" xfId="547"/>
    <cellStyle name="Normal 2 7_anakia II etapi.xls sm. defeqturi" xfId="548"/>
    <cellStyle name="Normal 2 8" xfId="549"/>
    <cellStyle name="Normal 2 9" xfId="550"/>
    <cellStyle name="Normal 2_anakia II etapi.xls sm. defeqturi" xfId="551"/>
    <cellStyle name="Normal 20" xfId="552"/>
    <cellStyle name="Normal 21" xfId="553"/>
    <cellStyle name="Normal 22" xfId="554"/>
    <cellStyle name="Normal 23" xfId="555"/>
    <cellStyle name="Normal 24" xfId="556"/>
    <cellStyle name="Normal 25" xfId="557"/>
    <cellStyle name="Normal 26" xfId="558"/>
    <cellStyle name="Normal 27" xfId="559"/>
    <cellStyle name="Normal 28" xfId="560"/>
    <cellStyle name="Normal 29" xfId="561"/>
    <cellStyle name="Normal 29 2" xfId="562"/>
    <cellStyle name="Normal 3" xfId="563"/>
    <cellStyle name="Normal 3 2" xfId="564"/>
    <cellStyle name="Normal 3 2 2" xfId="565"/>
    <cellStyle name="Normal 3 2_anakia II etapi.xls sm. defeqturi" xfId="566"/>
    <cellStyle name="Normal 30" xfId="567"/>
    <cellStyle name="Normal 30 2" xfId="568"/>
    <cellStyle name="Normal 31" xfId="569"/>
    <cellStyle name="Normal 32" xfId="570"/>
    <cellStyle name="Normal 32 2" xfId="571"/>
    <cellStyle name="Normal 32 3" xfId="572"/>
    <cellStyle name="Normal 32 3 2" xfId="573"/>
    <cellStyle name="Normal 33" xfId="574"/>
    <cellStyle name="Normal 33 2" xfId="575"/>
    <cellStyle name="Normal 34" xfId="576"/>
    <cellStyle name="Normal 35" xfId="577"/>
    <cellStyle name="Normal 35 2" xfId="578"/>
    <cellStyle name="Normal 35 3" xfId="579"/>
    <cellStyle name="Normal 36" xfId="580"/>
    <cellStyle name="Normal 36 2" xfId="581"/>
    <cellStyle name="Normal 36 2 2" xfId="582"/>
    <cellStyle name="Normal 36 3" xfId="583"/>
    <cellStyle name="Normal 37" xfId="584"/>
    <cellStyle name="Normal 38" xfId="585"/>
    <cellStyle name="Normal 38 2" xfId="586"/>
    <cellStyle name="Normal 38 2 2" xfId="587"/>
    <cellStyle name="Normal 38 3" xfId="588"/>
    <cellStyle name="Normal 39" xfId="589"/>
    <cellStyle name="Normal 39 2" xfId="590"/>
    <cellStyle name="Normal 4" xfId="591"/>
    <cellStyle name="Normal 40" xfId="592"/>
    <cellStyle name="Normal 40 2" xfId="593"/>
    <cellStyle name="Normal 41" xfId="594"/>
    <cellStyle name="Normal 42" xfId="595"/>
    <cellStyle name="Normal 43" xfId="596"/>
    <cellStyle name="Normal 44" xfId="597"/>
    <cellStyle name="Normal 46" xfId="598"/>
    <cellStyle name="Normal 5" xfId="599"/>
    <cellStyle name="Normal 5 2" xfId="600"/>
    <cellStyle name="Normal 5 2 2" xfId="601"/>
    <cellStyle name="Normal 5 3" xfId="602"/>
    <cellStyle name="Normal 5 4" xfId="603"/>
    <cellStyle name="Normal 5 4 2" xfId="604"/>
    <cellStyle name="Normal 5_Copy of SAN2010" xfId="605"/>
    <cellStyle name="Normal 6" xfId="606"/>
    <cellStyle name="Normal 7" xfId="607"/>
    <cellStyle name="Normal 8" xfId="608"/>
    <cellStyle name="Normal 8 2" xfId="609"/>
    <cellStyle name="Normal 8_2D4CD000" xfId="610"/>
    <cellStyle name="Normal 9" xfId="611"/>
    <cellStyle name="Normal 9 2" xfId="612"/>
    <cellStyle name="Normal 9 2 2" xfId="613"/>
    <cellStyle name="Normal 9 2 3" xfId="614"/>
    <cellStyle name="Normal 9 2 4" xfId="615"/>
    <cellStyle name="Normal 9 2_anakia II etapi.xls sm. defeqturi" xfId="616"/>
    <cellStyle name="Normal 9_2D4CD000" xfId="617"/>
    <cellStyle name="Normal_2-1-1" xfId="618"/>
    <cellStyle name="Normal_Book1_axalqalaqis skola " xfId="619"/>
    <cellStyle name="Normal_gare wyalsadfenigagarini 10" xfId="620"/>
    <cellStyle name="Normal_gare wyalsadfenigagarini 2 2" xfId="621"/>
    <cellStyle name="Normal_gare wyalsadfenigagarini 2_SMSH2008-IIkv ." xfId="622"/>
    <cellStyle name="Normal_gare wyalsadfenigagarini_axmetta #1" xfId="623"/>
    <cellStyle name="Normal_McxeTa BOQ - File. 17.05.2010" xfId="624"/>
    <cellStyle name="Normal_rustavi-1" xfId="625"/>
    <cellStyle name="Normal_sax-nak-tip" xfId="626"/>
    <cellStyle name="Normal_stadion-1" xfId="627"/>
    <cellStyle name="Note" xfId="628"/>
    <cellStyle name="Note 2" xfId="629"/>
    <cellStyle name="Note 2 2" xfId="630"/>
    <cellStyle name="Note 2 3" xfId="631"/>
    <cellStyle name="Note 2 4" xfId="632"/>
    <cellStyle name="Note 2 5" xfId="633"/>
    <cellStyle name="Note 2_anakia II etapi.xls sm. defeqturi" xfId="634"/>
    <cellStyle name="Note 3" xfId="635"/>
    <cellStyle name="Note 4" xfId="636"/>
    <cellStyle name="Note 4 2" xfId="637"/>
    <cellStyle name="Note 4_anakia II etapi.xls sm. defeqturi" xfId="638"/>
    <cellStyle name="Note 5" xfId="639"/>
    <cellStyle name="Note 6" xfId="640"/>
    <cellStyle name="Note 7" xfId="641"/>
    <cellStyle name="Output" xfId="642"/>
    <cellStyle name="Output 2" xfId="643"/>
    <cellStyle name="Output 2 2" xfId="644"/>
    <cellStyle name="Output 2 3" xfId="645"/>
    <cellStyle name="Output 2 4" xfId="646"/>
    <cellStyle name="Output 2 5" xfId="647"/>
    <cellStyle name="Output 2_anakia II etapi.xls sm. defeqturi" xfId="648"/>
    <cellStyle name="Output 3" xfId="649"/>
    <cellStyle name="Output 4" xfId="650"/>
    <cellStyle name="Output 4 2" xfId="651"/>
    <cellStyle name="Output 4_anakia II etapi.xls sm. defeqturi" xfId="652"/>
    <cellStyle name="Output 5" xfId="653"/>
    <cellStyle name="Output 6" xfId="654"/>
    <cellStyle name="Output 7" xfId="655"/>
    <cellStyle name="Percent" xfId="656"/>
    <cellStyle name="Percent 2" xfId="657"/>
    <cellStyle name="Percent 3" xfId="658"/>
    <cellStyle name="Percent 3 2" xfId="659"/>
    <cellStyle name="Percent 4" xfId="660"/>
    <cellStyle name="Percent 5" xfId="661"/>
    <cellStyle name="Percent 6" xfId="662"/>
    <cellStyle name="Percent 7" xfId="663"/>
    <cellStyle name="Percent 8" xfId="664"/>
    <cellStyle name="Style 1" xfId="665"/>
    <cellStyle name="Title" xfId="666"/>
    <cellStyle name="Title 2" xfId="667"/>
    <cellStyle name="Title 2 2" xfId="668"/>
    <cellStyle name="Title 2 3" xfId="669"/>
    <cellStyle name="Title 2 4" xfId="670"/>
    <cellStyle name="Title 2 5" xfId="671"/>
    <cellStyle name="Title 3" xfId="672"/>
    <cellStyle name="Title 4" xfId="673"/>
    <cellStyle name="Title 4 2" xfId="674"/>
    <cellStyle name="Title 5" xfId="675"/>
    <cellStyle name="Title 6" xfId="676"/>
    <cellStyle name="Title 7" xfId="677"/>
    <cellStyle name="Total" xfId="678"/>
    <cellStyle name="Total 2" xfId="679"/>
    <cellStyle name="Total 2 2" xfId="680"/>
    <cellStyle name="Total 2 3" xfId="681"/>
    <cellStyle name="Total 2 4" xfId="682"/>
    <cellStyle name="Total 2 5" xfId="683"/>
    <cellStyle name="Total 2_anakia II etapi.xls sm. defeqturi" xfId="684"/>
    <cellStyle name="Total 3" xfId="685"/>
    <cellStyle name="Total 4" xfId="686"/>
    <cellStyle name="Total 4 2" xfId="687"/>
    <cellStyle name="Total 4_anakia II etapi.xls sm. defeqturi" xfId="688"/>
    <cellStyle name="Total 5" xfId="689"/>
    <cellStyle name="Total 6" xfId="690"/>
    <cellStyle name="Total 7" xfId="691"/>
    <cellStyle name="Warning Text" xfId="692"/>
    <cellStyle name="Warning Text 2" xfId="693"/>
    <cellStyle name="Warning Text 2 2" xfId="694"/>
    <cellStyle name="Warning Text 2 3" xfId="695"/>
    <cellStyle name="Warning Text 2 4" xfId="696"/>
    <cellStyle name="Warning Text 2 5" xfId="697"/>
    <cellStyle name="Warning Text 3" xfId="698"/>
    <cellStyle name="Warning Text 4" xfId="699"/>
    <cellStyle name="Warning Text 4 2" xfId="700"/>
    <cellStyle name="Warning Text 5" xfId="701"/>
    <cellStyle name="Warning Text 6" xfId="702"/>
    <cellStyle name="Warning Text 7" xfId="703"/>
    <cellStyle name="Обычный 10" xfId="704"/>
    <cellStyle name="Обычный 11" xfId="705"/>
    <cellStyle name="Обычный 2" xfId="706"/>
    <cellStyle name="Обычный 2 2" xfId="707"/>
    <cellStyle name="Обычный 3" xfId="708"/>
    <cellStyle name="Обычный 3 2" xfId="709"/>
    <cellStyle name="Обычный 3 3" xfId="710"/>
    <cellStyle name="Обычный 4" xfId="711"/>
    <cellStyle name="Обычный 4 2" xfId="712"/>
    <cellStyle name="Обычный 4 3" xfId="713"/>
    <cellStyle name="Обычный 4_პუშკინის 13" xfId="714"/>
    <cellStyle name="Обычный 5" xfId="715"/>
    <cellStyle name="Обычный 5 2" xfId="716"/>
    <cellStyle name="Обычный 5 2 2" xfId="717"/>
    <cellStyle name="Обычный 5 3" xfId="718"/>
    <cellStyle name="Обычный 6" xfId="719"/>
    <cellStyle name="Обычный 7" xfId="720"/>
    <cellStyle name="Обычный 8" xfId="721"/>
    <cellStyle name="Обычный 9" xfId="722"/>
    <cellStyle name="Обычный_SAN2008-I" xfId="723"/>
    <cellStyle name="Обычный_დემონტაჟი" xfId="724"/>
    <cellStyle name="Процентный 2" xfId="725"/>
    <cellStyle name="Процентный 3" xfId="726"/>
    <cellStyle name="Процентный 3 2" xfId="727"/>
    <cellStyle name="Финансовый 2" xfId="728"/>
    <cellStyle name="Финансовый 3" xfId="729"/>
    <cellStyle name="Финансовый 4" xfId="730"/>
    <cellStyle name="Финансовый 4 2" xfId="731"/>
    <cellStyle name="Финансовый 5" xfId="7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238125</xdr:colOff>
      <xdr:row>38</xdr:row>
      <xdr:rowOff>19050</xdr:rowOff>
    </xdr:from>
    <xdr:to>
      <xdr:col>28</xdr:col>
      <xdr:colOff>219075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87950" y="8772525"/>
          <a:ext cx="180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1"/>
  <sheetViews>
    <sheetView tabSelected="1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4.57421875" style="70" customWidth="1"/>
    <col min="2" max="2" width="9.7109375" style="68" customWidth="1"/>
    <col min="3" max="3" width="45.8515625" style="70" customWidth="1"/>
    <col min="4" max="4" width="9.28125" style="70" bestFit="1" customWidth="1"/>
    <col min="5" max="5" width="11.57421875" style="70" bestFit="1" customWidth="1"/>
    <col min="6" max="6" width="12.421875" style="70" bestFit="1" customWidth="1"/>
    <col min="7" max="7" width="9.421875" style="70" customWidth="1"/>
    <col min="8" max="8" width="11.28125" style="70" bestFit="1" customWidth="1"/>
    <col min="9" max="9" width="9.421875" style="70" customWidth="1"/>
    <col min="10" max="10" width="11.421875" style="70" bestFit="1" customWidth="1"/>
    <col min="11" max="12" width="9.28125" style="70" bestFit="1" customWidth="1"/>
    <col min="13" max="13" width="11.7109375" style="70" bestFit="1" customWidth="1"/>
    <col min="14" max="16" width="0" style="68" hidden="1" customWidth="1"/>
    <col min="17" max="17" width="34.57421875" style="68" hidden="1" customWidth="1"/>
    <col min="18" max="18" width="11.00390625" style="68" customWidth="1"/>
    <col min="19" max="19" width="11.28125" style="70" bestFit="1" customWidth="1"/>
    <col min="20" max="20" width="44.8515625" style="147" hidden="1" customWidth="1"/>
    <col min="21" max="21" width="14.8515625" style="147" hidden="1" customWidth="1"/>
    <col min="22" max="22" width="14.8515625" style="147" customWidth="1"/>
    <col min="23" max="23" width="13.140625" style="147" customWidth="1"/>
    <col min="24" max="24" width="18.8515625" style="68" customWidth="1"/>
    <col min="25" max="25" width="13.00390625" style="68" customWidth="1"/>
    <col min="26" max="26" width="18.140625" style="68" customWidth="1"/>
    <col min="27" max="16384" width="9.140625" style="68" customWidth="1"/>
  </cols>
  <sheetData>
    <row r="1" spans="1:13" ht="16.5">
      <c r="A1" s="143"/>
      <c r="B1" s="144"/>
      <c r="C1" s="144"/>
      <c r="D1" s="546" t="s">
        <v>241</v>
      </c>
      <c r="E1" s="546"/>
      <c r="F1" s="546"/>
      <c r="G1" s="546"/>
      <c r="H1" s="546"/>
      <c r="I1" s="546"/>
      <c r="J1" s="546"/>
      <c r="K1" s="243"/>
      <c r="L1" s="243"/>
      <c r="M1" s="244"/>
    </row>
    <row r="2" spans="1:13" ht="12.75" customHeight="1">
      <c r="A2" s="143"/>
      <c r="B2" s="144"/>
      <c r="C2" s="144"/>
      <c r="D2" s="144"/>
      <c r="E2" s="243"/>
      <c r="F2" s="243"/>
      <c r="G2" s="243"/>
      <c r="H2" s="243"/>
      <c r="I2" s="243"/>
      <c r="J2" s="243"/>
      <c r="K2" s="243"/>
      <c r="L2" s="243"/>
      <c r="M2" s="538" t="s">
        <v>407</v>
      </c>
    </row>
    <row r="3" spans="1:13" ht="5.25" customHeight="1">
      <c r="A3" s="145"/>
      <c r="B3" s="146"/>
      <c r="C3" s="146"/>
      <c r="D3" s="146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13.5">
      <c r="A4" s="69"/>
      <c r="B4" s="12"/>
      <c r="C4" s="13"/>
      <c r="D4" s="18"/>
      <c r="E4" s="14" t="s">
        <v>102</v>
      </c>
      <c r="F4" s="15"/>
      <c r="G4" s="14" t="s">
        <v>104</v>
      </c>
      <c r="H4" s="34"/>
      <c r="I4" s="69" t="s">
        <v>105</v>
      </c>
      <c r="J4" s="34"/>
      <c r="K4" s="13" t="s">
        <v>106</v>
      </c>
      <c r="L4" s="13"/>
      <c r="M4" s="12"/>
    </row>
    <row r="5" spans="1:13" ht="13.5">
      <c r="A5" s="23"/>
      <c r="B5" s="18"/>
      <c r="C5" s="14" t="s">
        <v>100</v>
      </c>
      <c r="D5" s="25"/>
      <c r="E5" s="19" t="s">
        <v>103</v>
      </c>
      <c r="F5" s="247"/>
      <c r="G5" s="19"/>
      <c r="H5" s="247"/>
      <c r="I5" s="19"/>
      <c r="J5" s="247"/>
      <c r="K5" s="19" t="s">
        <v>107</v>
      </c>
      <c r="L5" s="26"/>
      <c r="M5" s="18" t="s">
        <v>108</v>
      </c>
    </row>
    <row r="6" spans="1:13" ht="13.5">
      <c r="A6" s="23" t="s">
        <v>2</v>
      </c>
      <c r="B6" s="18" t="s">
        <v>99</v>
      </c>
      <c r="C6" s="31" t="s">
        <v>101</v>
      </c>
      <c r="D6" s="18" t="s">
        <v>112</v>
      </c>
      <c r="E6" s="18" t="s">
        <v>113</v>
      </c>
      <c r="F6" s="24" t="s">
        <v>109</v>
      </c>
      <c r="G6" s="18" t="s">
        <v>110</v>
      </c>
      <c r="H6" s="24" t="s">
        <v>109</v>
      </c>
      <c r="I6" s="18" t="s">
        <v>110</v>
      </c>
      <c r="J6" s="24" t="s">
        <v>109</v>
      </c>
      <c r="K6" s="18" t="s">
        <v>110</v>
      </c>
      <c r="L6" s="24" t="s">
        <v>109</v>
      </c>
      <c r="M6" s="18"/>
    </row>
    <row r="7" spans="1:13" ht="13.5">
      <c r="A7" s="19"/>
      <c r="B7" s="25"/>
      <c r="C7" s="26"/>
      <c r="D7" s="25"/>
      <c r="E7" s="25"/>
      <c r="F7" s="26"/>
      <c r="G7" s="25" t="s">
        <v>111</v>
      </c>
      <c r="H7" s="26"/>
      <c r="I7" s="25" t="s">
        <v>111</v>
      </c>
      <c r="J7" s="26"/>
      <c r="K7" s="25" t="s">
        <v>111</v>
      </c>
      <c r="L7" s="26"/>
      <c r="M7" s="25"/>
    </row>
    <row r="8" spans="1:23" s="148" customFormat="1" ht="13.5">
      <c r="A8" s="3" t="s">
        <v>3</v>
      </c>
      <c r="B8" s="4" t="s">
        <v>4</v>
      </c>
      <c r="C8" s="5" t="s">
        <v>5</v>
      </c>
      <c r="D8" s="3" t="s">
        <v>6</v>
      </c>
      <c r="E8" s="4" t="s">
        <v>7</v>
      </c>
      <c r="F8" s="6" t="s">
        <v>8</v>
      </c>
      <c r="G8" s="5" t="s">
        <v>9</v>
      </c>
      <c r="H8" s="3" t="s">
        <v>10</v>
      </c>
      <c r="I8" s="4" t="s">
        <v>11</v>
      </c>
      <c r="J8" s="5" t="s">
        <v>12</v>
      </c>
      <c r="K8" s="4" t="s">
        <v>13</v>
      </c>
      <c r="L8" s="3" t="s">
        <v>14</v>
      </c>
      <c r="M8" s="4" t="s">
        <v>15</v>
      </c>
      <c r="S8" s="149"/>
      <c r="T8" s="150"/>
      <c r="U8" s="150"/>
      <c r="V8" s="150"/>
      <c r="W8" s="150"/>
    </row>
    <row r="9" spans="1:17" ht="15.75" customHeight="1">
      <c r="A9" s="77"/>
      <c r="B9" s="259"/>
      <c r="C9" s="207" t="s">
        <v>56</v>
      </c>
      <c r="D9" s="208"/>
      <c r="E9" s="401"/>
      <c r="F9" s="170"/>
      <c r="G9" s="58"/>
      <c r="H9" s="58"/>
      <c r="I9" s="58"/>
      <c r="J9" s="58"/>
      <c r="K9" s="58"/>
      <c r="L9" s="99"/>
      <c r="M9" s="99"/>
      <c r="N9" s="172"/>
      <c r="O9" s="172"/>
      <c r="P9" s="172"/>
      <c r="Q9" s="172"/>
    </row>
    <row r="10" spans="1:13" s="175" customFormat="1" ht="15.75">
      <c r="A10" s="77">
        <v>1</v>
      </c>
      <c r="B10" s="77" t="s">
        <v>322</v>
      </c>
      <c r="C10" s="100" t="s">
        <v>323</v>
      </c>
      <c r="D10" s="76" t="s">
        <v>333</v>
      </c>
      <c r="E10" s="99"/>
      <c r="F10" s="67">
        <v>1.2</v>
      </c>
      <c r="G10" s="99"/>
      <c r="H10" s="211"/>
      <c r="I10" s="99"/>
      <c r="J10" s="77"/>
      <c r="K10" s="158"/>
      <c r="L10" s="158"/>
      <c r="M10" s="99"/>
    </row>
    <row r="11" spans="1:21" s="213" customFormat="1" ht="15.75">
      <c r="A11" s="77"/>
      <c r="B11" s="77"/>
      <c r="C11" s="159" t="s">
        <v>123</v>
      </c>
      <c r="D11" s="77" t="s">
        <v>16</v>
      </c>
      <c r="E11" s="99">
        <v>8.2</v>
      </c>
      <c r="F11" s="99">
        <f>F10*E11</f>
        <v>9.839999999999998</v>
      </c>
      <c r="G11" s="99"/>
      <c r="H11" s="210">
        <f>F11*G11</f>
        <v>0</v>
      </c>
      <c r="I11" s="157"/>
      <c r="J11" s="157"/>
      <c r="K11" s="157"/>
      <c r="L11" s="157"/>
      <c r="M11" s="99">
        <f>H11</f>
        <v>0</v>
      </c>
      <c r="N11" s="212"/>
      <c r="O11" s="212"/>
      <c r="P11" s="212"/>
      <c r="Q11" s="212"/>
      <c r="R11" s="212"/>
      <c r="S11" s="212"/>
      <c r="T11" s="212"/>
      <c r="U11" s="212"/>
    </row>
    <row r="12" spans="1:13" s="175" customFormat="1" ht="15.75">
      <c r="A12" s="77"/>
      <c r="B12" s="77"/>
      <c r="C12" s="159" t="s">
        <v>124</v>
      </c>
      <c r="D12" s="77" t="s">
        <v>125</v>
      </c>
      <c r="E12" s="99">
        <v>0.5</v>
      </c>
      <c r="F12" s="99">
        <f>F10*E12</f>
        <v>0.6</v>
      </c>
      <c r="G12" s="99"/>
      <c r="H12" s="210"/>
      <c r="I12" s="99"/>
      <c r="J12" s="99"/>
      <c r="K12" s="99"/>
      <c r="L12" s="99">
        <f>F12*K12</f>
        <v>0</v>
      </c>
      <c r="M12" s="99">
        <f>L12</f>
        <v>0</v>
      </c>
    </row>
    <row r="13" spans="1:13" s="175" customFormat="1" ht="15.75">
      <c r="A13" s="77">
        <v>2</v>
      </c>
      <c r="B13" s="260" t="s">
        <v>324</v>
      </c>
      <c r="C13" s="100" t="s">
        <v>325</v>
      </c>
      <c r="D13" s="76" t="s">
        <v>19</v>
      </c>
      <c r="E13" s="99"/>
      <c r="F13" s="99">
        <v>120</v>
      </c>
      <c r="G13" s="99"/>
      <c r="H13" s="210"/>
      <c r="I13" s="77"/>
      <c r="J13" s="77"/>
      <c r="K13" s="99"/>
      <c r="L13" s="99"/>
      <c r="M13" s="99"/>
    </row>
    <row r="14" spans="1:21" s="213" customFormat="1" ht="15.75">
      <c r="A14" s="77"/>
      <c r="B14" s="77"/>
      <c r="C14" s="159" t="s">
        <v>123</v>
      </c>
      <c r="D14" s="77" t="s">
        <v>16</v>
      </c>
      <c r="E14" s="99">
        <v>0.516</v>
      </c>
      <c r="F14" s="99">
        <f>F13*E14</f>
        <v>61.92</v>
      </c>
      <c r="G14" s="99"/>
      <c r="H14" s="210">
        <f>F14*G14</f>
        <v>0</v>
      </c>
      <c r="I14" s="157"/>
      <c r="J14" s="157"/>
      <c r="K14" s="157"/>
      <c r="L14" s="99"/>
      <c r="M14" s="99">
        <f>H14</f>
        <v>0</v>
      </c>
      <c r="N14" s="212"/>
      <c r="O14" s="212"/>
      <c r="P14" s="212"/>
      <c r="Q14" s="212"/>
      <c r="R14" s="212"/>
      <c r="S14" s="212"/>
      <c r="T14" s="212"/>
      <c r="U14" s="212"/>
    </row>
    <row r="15" spans="1:13" s="175" customFormat="1" ht="15.75">
      <c r="A15" s="77"/>
      <c r="B15" s="77"/>
      <c r="C15" s="159" t="s">
        <v>124</v>
      </c>
      <c r="D15" s="77" t="s">
        <v>125</v>
      </c>
      <c r="E15" s="99">
        <v>0.104</v>
      </c>
      <c r="F15" s="99">
        <f>F13*E15</f>
        <v>12.479999999999999</v>
      </c>
      <c r="G15" s="99"/>
      <c r="H15" s="210"/>
      <c r="I15" s="99"/>
      <c r="J15" s="99"/>
      <c r="K15" s="99"/>
      <c r="L15" s="99">
        <f>F15*K15</f>
        <v>0</v>
      </c>
      <c r="M15" s="99">
        <f>L15</f>
        <v>0</v>
      </c>
    </row>
    <row r="16" spans="1:23" s="154" customFormat="1" ht="13.5">
      <c r="A16" s="77">
        <v>3</v>
      </c>
      <c r="B16" s="77" t="s">
        <v>17</v>
      </c>
      <c r="C16" s="100" t="s">
        <v>247</v>
      </c>
      <c r="D16" s="76" t="s">
        <v>47</v>
      </c>
      <c r="E16" s="99"/>
      <c r="F16" s="67">
        <v>25</v>
      </c>
      <c r="G16" s="99"/>
      <c r="H16" s="210"/>
      <c r="I16" s="99"/>
      <c r="J16" s="99"/>
      <c r="K16" s="99"/>
      <c r="L16" s="99"/>
      <c r="M16" s="99"/>
      <c r="N16" s="541" t="s">
        <v>116</v>
      </c>
      <c r="O16" s="542"/>
      <c r="P16" s="542"/>
      <c r="Q16" s="542"/>
      <c r="S16" s="155"/>
      <c r="T16" s="153"/>
      <c r="U16" s="153"/>
      <c r="V16" s="156"/>
      <c r="W16" s="156"/>
    </row>
    <row r="17" spans="1:23" s="154" customFormat="1" ht="13.5">
      <c r="A17" s="77"/>
      <c r="B17" s="77"/>
      <c r="C17" s="159" t="s">
        <v>48</v>
      </c>
      <c r="D17" s="77" t="s">
        <v>49</v>
      </c>
      <c r="E17" s="99">
        <v>0.323</v>
      </c>
      <c r="F17" s="99">
        <f>F16*E17</f>
        <v>8.075000000000001</v>
      </c>
      <c r="G17" s="99"/>
      <c r="H17" s="210">
        <f>F17*G17</f>
        <v>0</v>
      </c>
      <c r="I17" s="157"/>
      <c r="J17" s="157"/>
      <c r="K17" s="157"/>
      <c r="L17" s="99"/>
      <c r="M17" s="99">
        <f>H17</f>
        <v>0</v>
      </c>
      <c r="N17" s="541" t="s">
        <v>117</v>
      </c>
      <c r="O17" s="542"/>
      <c r="P17" s="542"/>
      <c r="Q17" s="542"/>
      <c r="S17" s="155"/>
      <c r="T17" s="151"/>
      <c r="U17" s="151"/>
      <c r="V17" s="156"/>
      <c r="W17" s="156"/>
    </row>
    <row r="18" spans="1:23" s="154" customFormat="1" ht="13.5">
      <c r="A18" s="77"/>
      <c r="B18" s="77"/>
      <c r="C18" s="159" t="s">
        <v>50</v>
      </c>
      <c r="D18" s="77" t="s">
        <v>51</v>
      </c>
      <c r="E18" s="99">
        <v>0.0215</v>
      </c>
      <c r="F18" s="99">
        <f>F16*E18</f>
        <v>0.5375</v>
      </c>
      <c r="G18" s="99"/>
      <c r="H18" s="210"/>
      <c r="I18" s="99"/>
      <c r="J18" s="99"/>
      <c r="K18" s="99"/>
      <c r="L18" s="99">
        <f>F18*K18</f>
        <v>0</v>
      </c>
      <c r="M18" s="99">
        <f>L18</f>
        <v>0</v>
      </c>
      <c r="N18" s="543" t="s">
        <v>118</v>
      </c>
      <c r="O18" s="544"/>
      <c r="P18" s="544"/>
      <c r="Q18" s="544"/>
      <c r="S18" s="155"/>
      <c r="T18" s="153"/>
      <c r="U18" s="153"/>
      <c r="V18" s="156"/>
      <c r="W18" s="156"/>
    </row>
    <row r="19" spans="1:23" s="154" customFormat="1" ht="13.5">
      <c r="A19" s="77">
        <v>4</v>
      </c>
      <c r="B19" s="77" t="s">
        <v>17</v>
      </c>
      <c r="C19" s="100" t="s">
        <v>248</v>
      </c>
      <c r="D19" s="76" t="s">
        <v>47</v>
      </c>
      <c r="E19" s="99"/>
      <c r="F19" s="67">
        <v>10</v>
      </c>
      <c r="G19" s="99"/>
      <c r="H19" s="210"/>
      <c r="I19" s="99"/>
      <c r="J19" s="99"/>
      <c r="K19" s="99"/>
      <c r="L19" s="99"/>
      <c r="M19" s="99"/>
      <c r="N19" s="541" t="s">
        <v>116</v>
      </c>
      <c r="O19" s="542"/>
      <c r="P19" s="542"/>
      <c r="Q19" s="542"/>
      <c r="S19" s="155"/>
      <c r="T19" s="153"/>
      <c r="U19" s="153"/>
      <c r="V19" s="156"/>
      <c r="W19" s="156"/>
    </row>
    <row r="20" spans="1:23" s="154" customFormat="1" ht="13.5">
      <c r="A20" s="77"/>
      <c r="B20" s="77"/>
      <c r="C20" s="159" t="s">
        <v>48</v>
      </c>
      <c r="D20" s="77" t="s">
        <v>49</v>
      </c>
      <c r="E20" s="99">
        <v>0.323</v>
      </c>
      <c r="F20" s="99">
        <f>F19*E20</f>
        <v>3.23</v>
      </c>
      <c r="G20" s="99"/>
      <c r="H20" s="210">
        <f>F20*G20</f>
        <v>0</v>
      </c>
      <c r="I20" s="157"/>
      <c r="J20" s="157"/>
      <c r="K20" s="157"/>
      <c r="L20" s="99"/>
      <c r="M20" s="99">
        <f>H20</f>
        <v>0</v>
      </c>
      <c r="N20" s="541" t="s">
        <v>117</v>
      </c>
      <c r="O20" s="542"/>
      <c r="P20" s="542"/>
      <c r="Q20" s="542"/>
      <c r="S20" s="155"/>
      <c r="T20" s="151"/>
      <c r="U20" s="151"/>
      <c r="V20" s="156"/>
      <c r="W20" s="156"/>
    </row>
    <row r="21" spans="1:23" s="154" customFormat="1" ht="13.5">
      <c r="A21" s="77"/>
      <c r="B21" s="77"/>
      <c r="C21" s="159" t="s">
        <v>50</v>
      </c>
      <c r="D21" s="77" t="s">
        <v>51</v>
      </c>
      <c r="E21" s="99">
        <v>0.0215</v>
      </c>
      <c r="F21" s="99">
        <f>F19*E21</f>
        <v>0.21499999999999997</v>
      </c>
      <c r="G21" s="99"/>
      <c r="H21" s="210"/>
      <c r="I21" s="99"/>
      <c r="J21" s="99"/>
      <c r="K21" s="99"/>
      <c r="L21" s="99">
        <f>F21*K21</f>
        <v>0</v>
      </c>
      <c r="M21" s="99">
        <f>L21</f>
        <v>0</v>
      </c>
      <c r="N21" s="543" t="s">
        <v>118</v>
      </c>
      <c r="O21" s="544"/>
      <c r="P21" s="544"/>
      <c r="Q21" s="544"/>
      <c r="S21" s="155"/>
      <c r="T21" s="153"/>
      <c r="U21" s="153"/>
      <c r="V21" s="156"/>
      <c r="W21" s="156"/>
    </row>
    <row r="22" spans="1:23" s="154" customFormat="1" ht="27">
      <c r="A22" s="77">
        <v>5</v>
      </c>
      <c r="B22" s="77" t="s">
        <v>122</v>
      </c>
      <c r="C22" s="100" t="s">
        <v>404</v>
      </c>
      <c r="D22" s="76" t="s">
        <v>19</v>
      </c>
      <c r="E22" s="99"/>
      <c r="F22" s="67">
        <v>35</v>
      </c>
      <c r="G22" s="99"/>
      <c r="H22" s="210"/>
      <c r="I22" s="77"/>
      <c r="J22" s="77"/>
      <c r="K22" s="77"/>
      <c r="L22" s="99"/>
      <c r="M22" s="99"/>
      <c r="S22" s="155"/>
      <c r="T22" s="156"/>
      <c r="U22" s="156"/>
      <c r="V22" s="156"/>
      <c r="W22" s="156"/>
    </row>
    <row r="23" spans="1:23" s="154" customFormat="1" ht="13.5">
      <c r="A23" s="77"/>
      <c r="B23" s="77"/>
      <c r="C23" s="159" t="s">
        <v>123</v>
      </c>
      <c r="D23" s="77" t="s">
        <v>16</v>
      </c>
      <c r="E23" s="99">
        <v>0.205</v>
      </c>
      <c r="F23" s="99">
        <f>F22*E23</f>
        <v>7.175</v>
      </c>
      <c r="G23" s="99"/>
      <c r="H23" s="210">
        <f>F23*G23</f>
        <v>0</v>
      </c>
      <c r="I23" s="157"/>
      <c r="J23" s="157"/>
      <c r="K23" s="157"/>
      <c r="L23" s="99"/>
      <c r="M23" s="99">
        <f>H23</f>
        <v>0</v>
      </c>
      <c r="S23" s="155"/>
      <c r="T23" s="156"/>
      <c r="U23" s="156"/>
      <c r="V23" s="156"/>
      <c r="W23" s="156"/>
    </row>
    <row r="24" spans="1:23" s="154" customFormat="1" ht="13.5">
      <c r="A24" s="77"/>
      <c r="B24" s="77"/>
      <c r="C24" s="159" t="s">
        <v>124</v>
      </c>
      <c r="D24" s="77" t="s">
        <v>125</v>
      </c>
      <c r="E24" s="99">
        <v>0.078</v>
      </c>
      <c r="F24" s="99">
        <f>F22*E24</f>
        <v>2.73</v>
      </c>
      <c r="G24" s="99"/>
      <c r="H24" s="210"/>
      <c r="I24" s="99"/>
      <c r="J24" s="99"/>
      <c r="K24" s="99"/>
      <c r="L24" s="99">
        <f>F24*K24</f>
        <v>0</v>
      </c>
      <c r="M24" s="99">
        <f>L24</f>
        <v>0</v>
      </c>
      <c r="S24" s="155"/>
      <c r="T24" s="156"/>
      <c r="U24" s="156"/>
      <c r="V24" s="156"/>
      <c r="W24" s="156"/>
    </row>
    <row r="25" spans="1:13" s="175" customFormat="1" ht="27">
      <c r="A25" s="77">
        <v>6</v>
      </c>
      <c r="B25" s="261" t="s">
        <v>242</v>
      </c>
      <c r="C25" s="100" t="s">
        <v>243</v>
      </c>
      <c r="D25" s="76" t="s">
        <v>343</v>
      </c>
      <c r="E25" s="99"/>
      <c r="F25" s="306">
        <v>2</v>
      </c>
      <c r="G25" s="99"/>
      <c r="H25" s="210"/>
      <c r="I25" s="77"/>
      <c r="J25" s="77"/>
      <c r="K25" s="99"/>
      <c r="L25" s="99"/>
      <c r="M25" s="99"/>
    </row>
    <row r="26" spans="1:13" s="214" customFormat="1" ht="15.75">
      <c r="A26" s="77"/>
      <c r="B26" s="171"/>
      <c r="C26" s="159" t="s">
        <v>123</v>
      </c>
      <c r="D26" s="77" t="s">
        <v>16</v>
      </c>
      <c r="E26" s="99">
        <v>18.6</v>
      </c>
      <c r="F26" s="99">
        <f>F25*E26</f>
        <v>37.2</v>
      </c>
      <c r="G26" s="99"/>
      <c r="H26" s="210">
        <f>F26*G26</f>
        <v>0</v>
      </c>
      <c r="I26" s="157"/>
      <c r="J26" s="157"/>
      <c r="K26" s="157"/>
      <c r="L26" s="99"/>
      <c r="M26" s="99">
        <f>H26</f>
        <v>0</v>
      </c>
    </row>
    <row r="27" spans="1:13" s="175" customFormat="1" ht="15.75">
      <c r="A27" s="77"/>
      <c r="B27" s="77"/>
      <c r="C27" s="159" t="s">
        <v>124</v>
      </c>
      <c r="D27" s="77" t="s">
        <v>125</v>
      </c>
      <c r="E27" s="99">
        <v>0.16</v>
      </c>
      <c r="F27" s="99">
        <f>F25*E27</f>
        <v>0.32</v>
      </c>
      <c r="G27" s="99"/>
      <c r="H27" s="210"/>
      <c r="I27" s="99"/>
      <c r="J27" s="99"/>
      <c r="K27" s="99"/>
      <c r="L27" s="99">
        <f>F27*K27</f>
        <v>0</v>
      </c>
      <c r="M27" s="99">
        <f>L27</f>
        <v>0</v>
      </c>
    </row>
    <row r="28" spans="1:13" s="175" customFormat="1" ht="27">
      <c r="A28" s="77">
        <v>7</v>
      </c>
      <c r="B28" s="261" t="s">
        <v>242</v>
      </c>
      <c r="C28" s="100" t="s">
        <v>300</v>
      </c>
      <c r="D28" s="76" t="s">
        <v>19</v>
      </c>
      <c r="E28" s="99"/>
      <c r="F28" s="306">
        <v>1200</v>
      </c>
      <c r="G28" s="99"/>
      <c r="H28" s="210"/>
      <c r="I28" s="77"/>
      <c r="J28" s="77"/>
      <c r="K28" s="99"/>
      <c r="L28" s="99"/>
      <c r="M28" s="99"/>
    </row>
    <row r="29" spans="1:13" s="214" customFormat="1" ht="15.75">
      <c r="A29" s="77"/>
      <c r="B29" s="171"/>
      <c r="C29" s="159" t="s">
        <v>123</v>
      </c>
      <c r="D29" s="77" t="s">
        <v>16</v>
      </c>
      <c r="E29" s="99">
        <v>0.186</v>
      </c>
      <c r="F29" s="99">
        <f>F28*E29</f>
        <v>223.2</v>
      </c>
      <c r="G29" s="99"/>
      <c r="H29" s="210">
        <f>F29*G29</f>
        <v>0</v>
      </c>
      <c r="I29" s="157"/>
      <c r="J29" s="157"/>
      <c r="K29" s="157"/>
      <c r="L29" s="99"/>
      <c r="M29" s="99">
        <f>H29</f>
        <v>0</v>
      </c>
    </row>
    <row r="30" spans="1:13" s="175" customFormat="1" ht="15.75">
      <c r="A30" s="77"/>
      <c r="B30" s="77"/>
      <c r="C30" s="159" t="s">
        <v>124</v>
      </c>
      <c r="D30" s="77" t="s">
        <v>125</v>
      </c>
      <c r="E30" s="99">
        <v>0.0016</v>
      </c>
      <c r="F30" s="99">
        <f>F28*E30</f>
        <v>1.9200000000000002</v>
      </c>
      <c r="G30" s="99"/>
      <c r="H30" s="210"/>
      <c r="I30" s="99"/>
      <c r="J30" s="99"/>
      <c r="K30" s="99"/>
      <c r="L30" s="99">
        <f>F30*K30</f>
        <v>0</v>
      </c>
      <c r="M30" s="99">
        <f>L30</f>
        <v>0</v>
      </c>
    </row>
    <row r="31" spans="1:23" s="43" customFormat="1" ht="13.5">
      <c r="A31" s="77">
        <v>8</v>
      </c>
      <c r="B31" s="261" t="s">
        <v>26</v>
      </c>
      <c r="C31" s="76" t="s">
        <v>52</v>
      </c>
      <c r="D31" s="76" t="s">
        <v>47</v>
      </c>
      <c r="E31" s="99"/>
      <c r="F31" s="306">
        <v>100</v>
      </c>
      <c r="G31" s="99"/>
      <c r="H31" s="210"/>
      <c r="I31" s="99"/>
      <c r="J31" s="99"/>
      <c r="K31" s="99"/>
      <c r="L31" s="99"/>
      <c r="M31" s="99"/>
      <c r="N31" s="173" t="s">
        <v>120</v>
      </c>
      <c r="O31" s="174"/>
      <c r="P31" s="174"/>
      <c r="Q31" s="174"/>
      <c r="T31" s="35"/>
      <c r="U31" s="35"/>
      <c r="V31" s="42"/>
      <c r="W31" s="42"/>
    </row>
    <row r="32" spans="1:23" s="43" customFormat="1" ht="13.5">
      <c r="A32" s="77"/>
      <c r="B32" s="77"/>
      <c r="C32" s="159" t="s">
        <v>48</v>
      </c>
      <c r="D32" s="77" t="s">
        <v>49</v>
      </c>
      <c r="E32" s="99">
        <v>0.56</v>
      </c>
      <c r="F32" s="99">
        <f>F31*E32</f>
        <v>56.00000000000001</v>
      </c>
      <c r="G32" s="99"/>
      <c r="H32" s="210">
        <f>F32*G32</f>
        <v>0</v>
      </c>
      <c r="I32" s="157"/>
      <c r="J32" s="157"/>
      <c r="K32" s="157"/>
      <c r="L32" s="99"/>
      <c r="M32" s="99">
        <f>H32</f>
        <v>0</v>
      </c>
      <c r="N32" s="173" t="s">
        <v>121</v>
      </c>
      <c r="O32" s="174"/>
      <c r="P32" s="174"/>
      <c r="Q32" s="174"/>
      <c r="T32" s="151"/>
      <c r="U32" s="152"/>
      <c r="V32" s="42"/>
      <c r="W32" s="42"/>
    </row>
    <row r="33" spans="1:23" s="154" customFormat="1" ht="13.5">
      <c r="A33" s="77">
        <v>9</v>
      </c>
      <c r="B33" s="261" t="s">
        <v>35</v>
      </c>
      <c r="C33" s="100" t="s">
        <v>57</v>
      </c>
      <c r="D33" s="76" t="s">
        <v>47</v>
      </c>
      <c r="E33" s="99"/>
      <c r="F33" s="67">
        <v>100</v>
      </c>
      <c r="G33" s="99"/>
      <c r="H33" s="210"/>
      <c r="I33" s="99"/>
      <c r="J33" s="99"/>
      <c r="K33" s="99"/>
      <c r="L33" s="99"/>
      <c r="M33" s="99"/>
      <c r="S33" s="155"/>
      <c r="T33" s="152"/>
      <c r="U33" s="152"/>
      <c r="V33" s="156"/>
      <c r="W33" s="156"/>
    </row>
    <row r="34" spans="1:23" s="46" customFormat="1" ht="13.5">
      <c r="A34" s="77"/>
      <c r="B34" s="171"/>
      <c r="C34" s="159" t="s">
        <v>48</v>
      </c>
      <c r="D34" s="77" t="s">
        <v>49</v>
      </c>
      <c r="E34" s="99">
        <v>0.186</v>
      </c>
      <c r="F34" s="99">
        <f>F33*E34</f>
        <v>18.6</v>
      </c>
      <c r="G34" s="99"/>
      <c r="H34" s="210">
        <f>F34*G34</f>
        <v>0</v>
      </c>
      <c r="I34" s="157"/>
      <c r="J34" s="157"/>
      <c r="K34" s="157"/>
      <c r="L34" s="99"/>
      <c r="M34" s="99">
        <f>H34</f>
        <v>0</v>
      </c>
      <c r="S34" s="43"/>
      <c r="T34" s="153"/>
      <c r="U34" s="153"/>
      <c r="V34" s="40"/>
      <c r="W34" s="40"/>
    </row>
    <row r="35" spans="1:23" s="154" customFormat="1" ht="13.5">
      <c r="A35" s="77"/>
      <c r="B35" s="77"/>
      <c r="C35" s="159" t="s">
        <v>50</v>
      </c>
      <c r="D35" s="77" t="s">
        <v>51</v>
      </c>
      <c r="E35" s="99">
        <v>0.0016</v>
      </c>
      <c r="F35" s="99">
        <f>F33*E35</f>
        <v>0.16</v>
      </c>
      <c r="G35" s="99"/>
      <c r="H35" s="210"/>
      <c r="I35" s="99"/>
      <c r="J35" s="99"/>
      <c r="K35" s="99"/>
      <c r="L35" s="99">
        <f>F35*K35</f>
        <v>0</v>
      </c>
      <c r="M35" s="99">
        <f>L35</f>
        <v>0</v>
      </c>
      <c r="S35" s="155"/>
      <c r="T35" s="151"/>
      <c r="U35" s="152"/>
      <c r="V35" s="156"/>
      <c r="W35" s="156"/>
    </row>
    <row r="36" spans="1:13" s="176" customFormat="1" ht="15.75">
      <c r="A36" s="35">
        <v>10</v>
      </c>
      <c r="B36" s="35" t="s">
        <v>251</v>
      </c>
      <c r="C36" s="100" t="s">
        <v>360</v>
      </c>
      <c r="D36" s="76" t="s">
        <v>19</v>
      </c>
      <c r="E36" s="200"/>
      <c r="F36" s="200">
        <v>14</v>
      </c>
      <c r="G36" s="83"/>
      <c r="H36" s="210"/>
      <c r="I36" s="36"/>
      <c r="J36" s="35"/>
      <c r="K36" s="83"/>
      <c r="L36" s="99"/>
      <c r="M36" s="99"/>
    </row>
    <row r="37" spans="1:13" s="214" customFormat="1" ht="15.75">
      <c r="A37" s="77"/>
      <c r="B37" s="77" t="s">
        <v>128</v>
      </c>
      <c r="C37" s="159" t="s">
        <v>129</v>
      </c>
      <c r="D37" s="77" t="s">
        <v>16</v>
      </c>
      <c r="E37" s="99">
        <f>0.6*1.11</f>
        <v>0.666</v>
      </c>
      <c r="F37" s="99">
        <f>F36*E37</f>
        <v>9.324</v>
      </c>
      <c r="G37" s="99"/>
      <c r="H37" s="210">
        <f>F37*G37</f>
        <v>0</v>
      </c>
      <c r="I37" s="157"/>
      <c r="J37" s="157"/>
      <c r="K37" s="157"/>
      <c r="L37" s="99"/>
      <c r="M37" s="99">
        <f>H37</f>
        <v>0</v>
      </c>
    </row>
    <row r="38" spans="1:13" s="214" customFormat="1" ht="15.75">
      <c r="A38" s="77"/>
      <c r="B38" s="261" t="s">
        <v>176</v>
      </c>
      <c r="C38" s="159" t="s">
        <v>130</v>
      </c>
      <c r="D38" s="77" t="s">
        <v>125</v>
      </c>
      <c r="E38" s="99">
        <f>0.7*0.516</f>
        <v>0.36119999999999997</v>
      </c>
      <c r="F38" s="99">
        <f>F36*E38</f>
        <v>5.056799999999999</v>
      </c>
      <c r="G38" s="158"/>
      <c r="H38" s="210"/>
      <c r="I38" s="157"/>
      <c r="J38" s="157"/>
      <c r="K38" s="99"/>
      <c r="L38" s="99">
        <f>F38*K38</f>
        <v>0</v>
      </c>
      <c r="M38" s="99">
        <f>L38</f>
        <v>0</v>
      </c>
    </row>
    <row r="39" spans="1:13" s="214" customFormat="1" ht="15.75">
      <c r="A39" s="77"/>
      <c r="B39" s="77"/>
      <c r="C39" s="159" t="s">
        <v>252</v>
      </c>
      <c r="D39" s="77" t="s">
        <v>125</v>
      </c>
      <c r="E39" s="99">
        <f>0.5*0.054</f>
        <v>0.027</v>
      </c>
      <c r="F39" s="99">
        <f>F36*E39</f>
        <v>0.378</v>
      </c>
      <c r="G39" s="158"/>
      <c r="H39" s="210"/>
      <c r="I39" s="99"/>
      <c r="J39" s="210">
        <f>F39*I39</f>
        <v>0</v>
      </c>
      <c r="K39" s="157"/>
      <c r="L39" s="99"/>
      <c r="M39" s="99">
        <f>J39</f>
        <v>0</v>
      </c>
    </row>
    <row r="40" spans="1:13" s="176" customFormat="1" ht="27">
      <c r="A40" s="35">
        <v>11</v>
      </c>
      <c r="B40" s="35" t="s">
        <v>23</v>
      </c>
      <c r="C40" s="100" t="s">
        <v>344</v>
      </c>
      <c r="D40" s="76" t="s">
        <v>172</v>
      </c>
      <c r="E40" s="36"/>
      <c r="F40" s="200">
        <v>3</v>
      </c>
      <c r="G40" s="83"/>
      <c r="H40" s="210"/>
      <c r="I40" s="36"/>
      <c r="J40" s="210"/>
      <c r="K40" s="83"/>
      <c r="L40" s="99"/>
      <c r="M40" s="99"/>
    </row>
    <row r="41" spans="1:13" s="214" customFormat="1" ht="15.75">
      <c r="A41" s="77"/>
      <c r="B41" s="77"/>
      <c r="C41" s="159" t="s">
        <v>196</v>
      </c>
      <c r="D41" s="77" t="s">
        <v>172</v>
      </c>
      <c r="E41" s="99">
        <v>1</v>
      </c>
      <c r="F41" s="99">
        <f>F40*E41</f>
        <v>3</v>
      </c>
      <c r="G41" s="99"/>
      <c r="H41" s="210">
        <f>F41*G41</f>
        <v>0</v>
      </c>
      <c r="I41" s="157"/>
      <c r="J41" s="210"/>
      <c r="K41" s="157"/>
      <c r="L41" s="99"/>
      <c r="M41" s="99">
        <f>H41</f>
        <v>0</v>
      </c>
    </row>
    <row r="42" spans="1:13" s="212" customFormat="1" ht="15.75">
      <c r="A42" s="77">
        <v>12</v>
      </c>
      <c r="B42" s="77" t="s">
        <v>272</v>
      </c>
      <c r="C42" s="100" t="s">
        <v>273</v>
      </c>
      <c r="D42" s="76" t="s">
        <v>126</v>
      </c>
      <c r="E42" s="99"/>
      <c r="F42" s="67">
        <v>2</v>
      </c>
      <c r="G42" s="77"/>
      <c r="H42" s="210"/>
      <c r="I42" s="158"/>
      <c r="J42" s="210"/>
      <c r="K42" s="158"/>
      <c r="L42" s="99"/>
      <c r="M42" s="99"/>
    </row>
    <row r="43" spans="1:13" s="214" customFormat="1" ht="15.75">
      <c r="A43" s="77"/>
      <c r="B43" s="171"/>
      <c r="C43" s="159" t="s">
        <v>123</v>
      </c>
      <c r="D43" s="77" t="s">
        <v>16</v>
      </c>
      <c r="E43" s="99">
        <v>4.8</v>
      </c>
      <c r="F43" s="99">
        <f>F42*E43</f>
        <v>9.6</v>
      </c>
      <c r="G43" s="99"/>
      <c r="H43" s="210">
        <f>F43*G43</f>
        <v>0</v>
      </c>
      <c r="I43" s="157"/>
      <c r="J43" s="210"/>
      <c r="K43" s="157"/>
      <c r="L43" s="99"/>
      <c r="M43" s="99">
        <f>H43</f>
        <v>0</v>
      </c>
    </row>
    <row r="44" spans="1:13" s="214" customFormat="1" ht="15.75">
      <c r="A44" s="77"/>
      <c r="B44" s="77"/>
      <c r="C44" s="159" t="s">
        <v>124</v>
      </c>
      <c r="D44" s="77" t="s">
        <v>125</v>
      </c>
      <c r="E44" s="99">
        <v>1.1</v>
      </c>
      <c r="F44" s="99">
        <f>F42*E44</f>
        <v>2.2</v>
      </c>
      <c r="G44" s="99"/>
      <c r="H44" s="210"/>
      <c r="I44" s="99"/>
      <c r="J44" s="210"/>
      <c r="K44" s="99"/>
      <c r="L44" s="99">
        <f>F44*K44</f>
        <v>0</v>
      </c>
      <c r="M44" s="99">
        <f>L44</f>
        <v>0</v>
      </c>
    </row>
    <row r="45" spans="1:13" s="212" customFormat="1" ht="27">
      <c r="A45" s="77">
        <v>13</v>
      </c>
      <c r="B45" s="77" t="s">
        <v>282</v>
      </c>
      <c r="C45" s="100" t="s">
        <v>283</v>
      </c>
      <c r="D45" s="76" t="s">
        <v>126</v>
      </c>
      <c r="E45" s="67"/>
      <c r="F45" s="67">
        <f>2*0.4</f>
        <v>0.8</v>
      </c>
      <c r="G45" s="77"/>
      <c r="H45" s="210"/>
      <c r="I45" s="77"/>
      <c r="J45" s="210"/>
      <c r="K45" s="77"/>
      <c r="L45" s="99"/>
      <c r="M45" s="99"/>
    </row>
    <row r="46" spans="1:13" s="212" customFormat="1" ht="15.75">
      <c r="A46" s="77"/>
      <c r="B46" s="77"/>
      <c r="C46" s="159" t="s">
        <v>123</v>
      </c>
      <c r="D46" s="77" t="s">
        <v>16</v>
      </c>
      <c r="E46" s="99">
        <v>8.89</v>
      </c>
      <c r="F46" s="99">
        <f>F45*E46</f>
        <v>7.112000000000001</v>
      </c>
      <c r="G46" s="99"/>
      <c r="H46" s="210">
        <f>F46*G46</f>
        <v>0</v>
      </c>
      <c r="I46" s="157"/>
      <c r="J46" s="210"/>
      <c r="K46" s="157"/>
      <c r="L46" s="99"/>
      <c r="M46" s="99">
        <f>H46</f>
        <v>0</v>
      </c>
    </row>
    <row r="47" spans="1:13" s="212" customFormat="1" ht="15.75">
      <c r="A47" s="77"/>
      <c r="B47" s="77"/>
      <c r="C47" s="159" t="s">
        <v>124</v>
      </c>
      <c r="D47" s="77" t="s">
        <v>125</v>
      </c>
      <c r="E47" s="99">
        <v>3.35</v>
      </c>
      <c r="F47" s="99">
        <f>F45*E47</f>
        <v>2.68</v>
      </c>
      <c r="G47" s="99"/>
      <c r="H47" s="210"/>
      <c r="I47" s="99"/>
      <c r="J47" s="210"/>
      <c r="K47" s="99"/>
      <c r="L47" s="99">
        <f>F47*K47</f>
        <v>0</v>
      </c>
      <c r="M47" s="99">
        <f>L47</f>
        <v>0</v>
      </c>
    </row>
    <row r="48" spans="1:13" s="175" customFormat="1" ht="15.75">
      <c r="A48" s="77">
        <v>14</v>
      </c>
      <c r="B48" s="77" t="s">
        <v>294</v>
      </c>
      <c r="C48" s="100" t="s">
        <v>295</v>
      </c>
      <c r="D48" s="76" t="s">
        <v>126</v>
      </c>
      <c r="E48" s="67"/>
      <c r="F48" s="67">
        <v>1</v>
      </c>
      <c r="G48" s="77"/>
      <c r="H48" s="210"/>
      <c r="I48" s="77"/>
      <c r="J48" s="210"/>
      <c r="K48" s="77"/>
      <c r="L48" s="99"/>
      <c r="M48" s="99"/>
    </row>
    <row r="49" spans="1:13" s="175" customFormat="1" ht="15.75">
      <c r="A49" s="77"/>
      <c r="B49" s="171"/>
      <c r="C49" s="159" t="s">
        <v>123</v>
      </c>
      <c r="D49" s="77" t="s">
        <v>16</v>
      </c>
      <c r="E49" s="99">
        <v>7.3</v>
      </c>
      <c r="F49" s="99">
        <f>F48*E49</f>
        <v>7.3</v>
      </c>
      <c r="G49" s="99"/>
      <c r="H49" s="210">
        <f>F49*G49</f>
        <v>0</v>
      </c>
      <c r="I49" s="157"/>
      <c r="J49" s="210"/>
      <c r="K49" s="157"/>
      <c r="L49" s="99"/>
      <c r="M49" s="99">
        <f>H49</f>
        <v>0</v>
      </c>
    </row>
    <row r="50" spans="1:13" s="175" customFormat="1" ht="15.75">
      <c r="A50" s="77"/>
      <c r="B50" s="77"/>
      <c r="C50" s="159" t="s">
        <v>124</v>
      </c>
      <c r="D50" s="77" t="s">
        <v>125</v>
      </c>
      <c r="E50" s="99">
        <v>2.9</v>
      </c>
      <c r="F50" s="99">
        <f>F48*E50</f>
        <v>2.9</v>
      </c>
      <c r="G50" s="99"/>
      <c r="H50" s="210"/>
      <c r="I50" s="99"/>
      <c r="J50" s="210"/>
      <c r="K50" s="99"/>
      <c r="L50" s="99">
        <f>F50*K50</f>
        <v>0</v>
      </c>
      <c r="M50" s="99">
        <f>L50</f>
        <v>0</v>
      </c>
    </row>
    <row r="51" spans="1:13" s="175" customFormat="1" ht="15.75">
      <c r="A51" s="77">
        <v>15</v>
      </c>
      <c r="B51" s="77" t="s">
        <v>302</v>
      </c>
      <c r="C51" s="100" t="s">
        <v>303</v>
      </c>
      <c r="D51" s="76" t="s">
        <v>173</v>
      </c>
      <c r="E51" s="67"/>
      <c r="F51" s="67">
        <v>10</v>
      </c>
      <c r="G51" s="158"/>
      <c r="H51" s="210"/>
      <c r="I51" s="99"/>
      <c r="J51" s="210"/>
      <c r="K51" s="158"/>
      <c r="L51" s="99"/>
      <c r="M51" s="99"/>
    </row>
    <row r="52" spans="1:13" s="213" customFormat="1" ht="15.75">
      <c r="A52" s="77"/>
      <c r="B52" s="77"/>
      <c r="C52" s="159" t="s">
        <v>123</v>
      </c>
      <c r="D52" s="77" t="s">
        <v>16</v>
      </c>
      <c r="E52" s="99">
        <v>0.102</v>
      </c>
      <c r="F52" s="99">
        <f>F51*E52</f>
        <v>1.02</v>
      </c>
      <c r="G52" s="99"/>
      <c r="H52" s="210">
        <f>F52*G52</f>
        <v>0</v>
      </c>
      <c r="I52" s="158"/>
      <c r="J52" s="210"/>
      <c r="K52" s="158"/>
      <c r="L52" s="99"/>
      <c r="M52" s="99">
        <f>H52</f>
        <v>0</v>
      </c>
    </row>
    <row r="53" spans="1:13" s="212" customFormat="1" ht="15.75">
      <c r="A53" s="77">
        <v>16</v>
      </c>
      <c r="B53" s="77" t="s">
        <v>274</v>
      </c>
      <c r="C53" s="159" t="s">
        <v>314</v>
      </c>
      <c r="D53" s="77" t="s">
        <v>19</v>
      </c>
      <c r="E53" s="99"/>
      <c r="F53" s="99">
        <v>63</v>
      </c>
      <c r="G53" s="158"/>
      <c r="H53" s="210"/>
      <c r="I53" s="99"/>
      <c r="J53" s="210"/>
      <c r="K53" s="158"/>
      <c r="L53" s="99"/>
      <c r="M53" s="99"/>
    </row>
    <row r="54" spans="1:13" s="214" customFormat="1" ht="15.75">
      <c r="A54" s="77"/>
      <c r="B54" s="261" t="s">
        <v>309</v>
      </c>
      <c r="C54" s="159" t="s">
        <v>310</v>
      </c>
      <c r="D54" s="77" t="s">
        <v>16</v>
      </c>
      <c r="E54" s="99">
        <f>0.6*2.72</f>
        <v>1.6320000000000001</v>
      </c>
      <c r="F54" s="99">
        <f>F53*E54</f>
        <v>102.816</v>
      </c>
      <c r="G54" s="99"/>
      <c r="H54" s="210">
        <f>F54*G54</f>
        <v>0</v>
      </c>
      <c r="I54" s="158"/>
      <c r="J54" s="210"/>
      <c r="K54" s="158"/>
      <c r="L54" s="99"/>
      <c r="M54" s="99">
        <f>H54</f>
        <v>0</v>
      </c>
    </row>
    <row r="55" spans="1:23" s="43" customFormat="1" ht="13.5">
      <c r="A55" s="77">
        <v>17</v>
      </c>
      <c r="B55" s="261" t="s">
        <v>46</v>
      </c>
      <c r="C55" s="100" t="s">
        <v>54</v>
      </c>
      <c r="D55" s="76" t="s">
        <v>47</v>
      </c>
      <c r="E55" s="99"/>
      <c r="F55" s="67">
        <v>22</v>
      </c>
      <c r="G55" s="99"/>
      <c r="H55" s="210"/>
      <c r="I55" s="77"/>
      <c r="J55" s="210"/>
      <c r="K55" s="77"/>
      <c r="L55" s="99"/>
      <c r="M55" s="99"/>
      <c r="T55" s="151" t="s">
        <v>139</v>
      </c>
      <c r="U55" s="151" t="s">
        <v>137</v>
      </c>
      <c r="V55" s="42"/>
      <c r="W55" s="42"/>
    </row>
    <row r="56" spans="1:23" s="43" customFormat="1" ht="13.5">
      <c r="A56" s="77"/>
      <c r="B56" s="77"/>
      <c r="C56" s="159" t="s">
        <v>48</v>
      </c>
      <c r="D56" s="77" t="s">
        <v>49</v>
      </c>
      <c r="E56" s="99">
        <v>0.77</v>
      </c>
      <c r="F56" s="99">
        <f>F55*E56</f>
        <v>16.94</v>
      </c>
      <c r="G56" s="99"/>
      <c r="H56" s="210">
        <f>F56*G56</f>
        <v>0</v>
      </c>
      <c r="I56" s="157"/>
      <c r="J56" s="210"/>
      <c r="K56" s="157"/>
      <c r="L56" s="99"/>
      <c r="M56" s="99">
        <f>H56</f>
        <v>0</v>
      </c>
      <c r="T56" s="153"/>
      <c r="U56" s="153"/>
      <c r="V56" s="42"/>
      <c r="W56" s="42"/>
    </row>
    <row r="57" spans="1:23" s="43" customFormat="1" ht="27">
      <c r="A57" s="77"/>
      <c r="B57" s="77"/>
      <c r="C57" s="159" t="s">
        <v>50</v>
      </c>
      <c r="D57" s="77" t="s">
        <v>51</v>
      </c>
      <c r="E57" s="99">
        <v>0.0421</v>
      </c>
      <c r="F57" s="99">
        <f>F55*E57</f>
        <v>0.9261999999999999</v>
      </c>
      <c r="G57" s="99"/>
      <c r="H57" s="210"/>
      <c r="I57" s="99"/>
      <c r="J57" s="210"/>
      <c r="K57" s="99"/>
      <c r="L57" s="99">
        <f>F57*K57</f>
        <v>0</v>
      </c>
      <c r="M57" s="99">
        <f>L57</f>
        <v>0</v>
      </c>
      <c r="T57" s="151" t="s">
        <v>141</v>
      </c>
      <c r="U57" s="151" t="s">
        <v>136</v>
      </c>
      <c r="V57" s="42"/>
      <c r="W57" s="42"/>
    </row>
    <row r="58" spans="1:23" s="43" customFormat="1" ht="13.5">
      <c r="A58" s="77">
        <v>18</v>
      </c>
      <c r="B58" s="261" t="s">
        <v>46</v>
      </c>
      <c r="C58" s="100" t="s">
        <v>361</v>
      </c>
      <c r="D58" s="76" t="s">
        <v>47</v>
      </c>
      <c r="E58" s="99"/>
      <c r="F58" s="67">
        <v>50</v>
      </c>
      <c r="G58" s="99"/>
      <c r="H58" s="210"/>
      <c r="I58" s="77"/>
      <c r="J58" s="210"/>
      <c r="K58" s="77"/>
      <c r="L58" s="99"/>
      <c r="M58" s="99"/>
      <c r="T58" s="151" t="s">
        <v>139</v>
      </c>
      <c r="U58" s="151" t="s">
        <v>137</v>
      </c>
      <c r="V58" s="42"/>
      <c r="W58" s="42"/>
    </row>
    <row r="59" spans="1:23" s="43" customFormat="1" ht="13.5">
      <c r="A59" s="77"/>
      <c r="B59" s="77"/>
      <c r="C59" s="159" t="s">
        <v>48</v>
      </c>
      <c r="D59" s="77" t="s">
        <v>49</v>
      </c>
      <c r="E59" s="99">
        <v>0.77</v>
      </c>
      <c r="F59" s="99">
        <f>F58*E59</f>
        <v>38.5</v>
      </c>
      <c r="G59" s="99"/>
      <c r="H59" s="210">
        <f>F59*G59</f>
        <v>0</v>
      </c>
      <c r="I59" s="157"/>
      <c r="J59" s="210"/>
      <c r="K59" s="157"/>
      <c r="L59" s="99"/>
      <c r="M59" s="99">
        <f>H59</f>
        <v>0</v>
      </c>
      <c r="T59" s="153"/>
      <c r="U59" s="153"/>
      <c r="V59" s="42"/>
      <c r="W59" s="42"/>
    </row>
    <row r="60" spans="1:23" s="43" customFormat="1" ht="27">
      <c r="A60" s="77"/>
      <c r="B60" s="77"/>
      <c r="C60" s="159" t="s">
        <v>50</v>
      </c>
      <c r="D60" s="77" t="s">
        <v>51</v>
      </c>
      <c r="E60" s="99">
        <v>0.0421</v>
      </c>
      <c r="F60" s="99">
        <f>F58*E60</f>
        <v>2.105</v>
      </c>
      <c r="G60" s="99"/>
      <c r="H60" s="210"/>
      <c r="I60" s="99"/>
      <c r="J60" s="210"/>
      <c r="K60" s="99"/>
      <c r="L60" s="99">
        <f>F60*K60</f>
        <v>0</v>
      </c>
      <c r="M60" s="99">
        <f>L60</f>
        <v>0</v>
      </c>
      <c r="T60" s="151" t="s">
        <v>141</v>
      </c>
      <c r="U60" s="151" t="s">
        <v>136</v>
      </c>
      <c r="V60" s="42"/>
      <c r="W60" s="42"/>
    </row>
    <row r="61" spans="1:23" s="46" customFormat="1" ht="13.5">
      <c r="A61" s="77">
        <v>19</v>
      </c>
      <c r="B61" s="261" t="s">
        <v>37</v>
      </c>
      <c r="C61" s="100" t="s">
        <v>134</v>
      </c>
      <c r="D61" s="76" t="s">
        <v>47</v>
      </c>
      <c r="E61" s="99"/>
      <c r="F61" s="306">
        <v>5</v>
      </c>
      <c r="G61" s="158"/>
      <c r="H61" s="210"/>
      <c r="I61" s="99"/>
      <c r="J61" s="210"/>
      <c r="K61" s="158"/>
      <c r="L61" s="99"/>
      <c r="M61" s="99"/>
      <c r="S61" s="43"/>
      <c r="T61" s="153"/>
      <c r="U61" s="153"/>
      <c r="V61" s="40"/>
      <c r="W61" s="40"/>
    </row>
    <row r="62" spans="1:23" s="43" customFormat="1" ht="13.5">
      <c r="A62" s="77"/>
      <c r="B62" s="260" t="s">
        <v>38</v>
      </c>
      <c r="C62" s="159" t="s">
        <v>48</v>
      </c>
      <c r="D62" s="77" t="s">
        <v>49</v>
      </c>
      <c r="E62" s="99">
        <f>0.8*0.19</f>
        <v>0.15200000000000002</v>
      </c>
      <c r="F62" s="99">
        <f>F61*E62</f>
        <v>0.7600000000000001</v>
      </c>
      <c r="G62" s="99"/>
      <c r="H62" s="210">
        <f>F62*G62</f>
        <v>0</v>
      </c>
      <c r="I62" s="158"/>
      <c r="J62" s="210"/>
      <c r="K62" s="158"/>
      <c r="L62" s="99"/>
      <c r="M62" s="99">
        <f>H62</f>
        <v>0</v>
      </c>
      <c r="T62" s="151" t="s">
        <v>140</v>
      </c>
      <c r="U62" s="151" t="s">
        <v>135</v>
      </c>
      <c r="V62" s="42"/>
      <c r="W62" s="42"/>
    </row>
    <row r="63" spans="1:23" s="43" customFormat="1" ht="15" customHeight="1">
      <c r="A63" s="77"/>
      <c r="B63" s="77"/>
      <c r="C63" s="159" t="s">
        <v>50</v>
      </c>
      <c r="D63" s="77" t="s">
        <v>51</v>
      </c>
      <c r="E63" s="99">
        <f>0.8*0.0182</f>
        <v>0.014560000000000002</v>
      </c>
      <c r="F63" s="99">
        <f>F61*E63</f>
        <v>0.0728</v>
      </c>
      <c r="G63" s="158"/>
      <c r="H63" s="210"/>
      <c r="I63" s="158"/>
      <c r="J63" s="210"/>
      <c r="K63" s="99"/>
      <c r="L63" s="99">
        <f>F63*K63</f>
        <v>0</v>
      </c>
      <c r="M63" s="99">
        <f>L63</f>
        <v>0</v>
      </c>
      <c r="T63" s="153"/>
      <c r="U63" s="153"/>
      <c r="V63" s="42"/>
      <c r="W63" s="42"/>
    </row>
    <row r="64" spans="1:21" ht="18" customHeight="1">
      <c r="A64" s="77">
        <v>20</v>
      </c>
      <c r="B64" s="259" t="s">
        <v>22</v>
      </c>
      <c r="C64" s="100" t="s">
        <v>55</v>
      </c>
      <c r="D64" s="76" t="s">
        <v>47</v>
      </c>
      <c r="E64" s="401"/>
      <c r="F64" s="276">
        <v>400</v>
      </c>
      <c r="G64" s="59"/>
      <c r="H64" s="210"/>
      <c r="I64" s="59"/>
      <c r="J64" s="210"/>
      <c r="K64" s="59"/>
      <c r="L64" s="99"/>
      <c r="M64" s="99"/>
      <c r="T64" s="151"/>
      <c r="U64" s="151"/>
    </row>
    <row r="65" spans="1:21" ht="15.75" customHeight="1">
      <c r="A65" s="77"/>
      <c r="B65" s="259"/>
      <c r="C65" s="159" t="s">
        <v>48</v>
      </c>
      <c r="D65" s="77" t="s">
        <v>49</v>
      </c>
      <c r="E65" s="401">
        <v>0.0437</v>
      </c>
      <c r="F65" s="277">
        <f>F64*E65</f>
        <v>17.48</v>
      </c>
      <c r="G65" s="59"/>
      <c r="H65" s="210">
        <f>F65*G65</f>
        <v>0</v>
      </c>
      <c r="I65" s="60"/>
      <c r="J65" s="210"/>
      <c r="K65" s="7"/>
      <c r="L65" s="99"/>
      <c r="M65" s="99">
        <f>H65</f>
        <v>0</v>
      </c>
      <c r="T65" s="35"/>
      <c r="U65" s="35"/>
    </row>
    <row r="66" spans="1:21" ht="13.5">
      <c r="A66" s="77"/>
      <c r="B66" s="259"/>
      <c r="C66" s="159" t="s">
        <v>50</v>
      </c>
      <c r="D66" s="77" t="s">
        <v>51</v>
      </c>
      <c r="E66" s="401">
        <v>0.0078</v>
      </c>
      <c r="F66" s="277">
        <f>F64*E66</f>
        <v>3.1199999999999997</v>
      </c>
      <c r="G66" s="59"/>
      <c r="H66" s="210"/>
      <c r="I66" s="60"/>
      <c r="J66" s="210"/>
      <c r="K66" s="7"/>
      <c r="L66" s="99">
        <f>F66*K66</f>
        <v>0</v>
      </c>
      <c r="M66" s="99">
        <f>L66</f>
        <v>0</v>
      </c>
      <c r="T66" s="151" t="s">
        <v>142</v>
      </c>
      <c r="U66" s="152" t="s">
        <v>138</v>
      </c>
    </row>
    <row r="67" spans="1:21" s="42" customFormat="1" ht="27">
      <c r="A67" s="35">
        <v>21</v>
      </c>
      <c r="B67" s="262" t="s">
        <v>25</v>
      </c>
      <c r="C67" s="100" t="s">
        <v>359</v>
      </c>
      <c r="D67" s="100" t="s">
        <v>86</v>
      </c>
      <c r="E67" s="36"/>
      <c r="F67" s="200">
        <v>0.02</v>
      </c>
      <c r="G67" s="36"/>
      <c r="H67" s="210"/>
      <c r="I67" s="35"/>
      <c r="J67" s="210"/>
      <c r="K67" s="35"/>
      <c r="L67" s="99"/>
      <c r="M67" s="99"/>
      <c r="T67" s="35"/>
      <c r="U67" s="35"/>
    </row>
    <row r="68" spans="1:23" s="46" customFormat="1" ht="13.5">
      <c r="A68" s="77"/>
      <c r="B68" s="77"/>
      <c r="C68" s="159" t="s">
        <v>48</v>
      </c>
      <c r="D68" s="77" t="s">
        <v>49</v>
      </c>
      <c r="E68" s="99">
        <v>65.8</v>
      </c>
      <c r="F68" s="99">
        <f>F67*E68</f>
        <v>1.316</v>
      </c>
      <c r="G68" s="99"/>
      <c r="H68" s="210">
        <f>F68*G68</f>
        <v>0</v>
      </c>
      <c r="I68" s="157"/>
      <c r="J68" s="210"/>
      <c r="K68" s="157"/>
      <c r="L68" s="99"/>
      <c r="M68" s="99">
        <f>H68</f>
        <v>0</v>
      </c>
      <c r="S68" s="43"/>
      <c r="T68" s="152" t="s">
        <v>143</v>
      </c>
      <c r="U68" s="152" t="s">
        <v>144</v>
      </c>
      <c r="V68" s="40"/>
      <c r="W68" s="40"/>
    </row>
    <row r="69" spans="1:23" s="43" customFormat="1" ht="13.5">
      <c r="A69" s="77"/>
      <c r="B69" s="77"/>
      <c r="C69" s="159" t="s">
        <v>50</v>
      </c>
      <c r="D69" s="77" t="s">
        <v>51</v>
      </c>
      <c r="E69" s="99">
        <v>5</v>
      </c>
      <c r="F69" s="99">
        <f>F67*E69</f>
        <v>0.1</v>
      </c>
      <c r="G69" s="99"/>
      <c r="H69" s="210"/>
      <c r="I69" s="99"/>
      <c r="J69" s="210"/>
      <c r="K69" s="99"/>
      <c r="L69" s="99">
        <f>F69*K69</f>
        <v>0</v>
      </c>
      <c r="M69" s="99">
        <f>L69</f>
        <v>0</v>
      </c>
      <c r="T69" s="42"/>
      <c r="U69" s="42"/>
      <c r="V69" s="42"/>
      <c r="W69" s="42"/>
    </row>
    <row r="70" spans="1:23" s="46" customFormat="1" ht="13.5">
      <c r="A70" s="77">
        <v>22</v>
      </c>
      <c r="B70" s="261" t="s">
        <v>37</v>
      </c>
      <c r="C70" s="100" t="s">
        <v>58</v>
      </c>
      <c r="D70" s="76" t="s">
        <v>47</v>
      </c>
      <c r="E70" s="99"/>
      <c r="F70" s="67">
        <v>20</v>
      </c>
      <c r="G70" s="158"/>
      <c r="H70" s="210"/>
      <c r="I70" s="99"/>
      <c r="J70" s="210"/>
      <c r="K70" s="158"/>
      <c r="L70" s="99"/>
      <c r="M70" s="99"/>
      <c r="S70" s="43"/>
      <c r="T70" s="40"/>
      <c r="U70" s="40"/>
      <c r="V70" s="40"/>
      <c r="W70" s="40"/>
    </row>
    <row r="71" spans="1:23" s="43" customFormat="1" ht="13.5">
      <c r="A71" s="77"/>
      <c r="B71" s="260" t="s">
        <v>114</v>
      </c>
      <c r="C71" s="159" t="s">
        <v>48</v>
      </c>
      <c r="D71" s="77" t="s">
        <v>49</v>
      </c>
      <c r="E71" s="99">
        <f>0.8*0.19</f>
        <v>0.15200000000000002</v>
      </c>
      <c r="F71" s="99">
        <f>F70*E71</f>
        <v>3.0400000000000005</v>
      </c>
      <c r="G71" s="99"/>
      <c r="H71" s="210">
        <f>F71*G71</f>
        <v>0</v>
      </c>
      <c r="I71" s="158"/>
      <c r="J71" s="210"/>
      <c r="K71" s="158"/>
      <c r="L71" s="99"/>
      <c r="M71" s="99">
        <f>H71</f>
        <v>0</v>
      </c>
      <c r="T71" s="42"/>
      <c r="U71" s="42"/>
      <c r="V71" s="42"/>
      <c r="W71" s="42"/>
    </row>
    <row r="72" spans="1:23" s="43" customFormat="1" ht="15" customHeight="1">
      <c r="A72" s="77"/>
      <c r="B72" s="77"/>
      <c r="C72" s="159" t="s">
        <v>50</v>
      </c>
      <c r="D72" s="77" t="s">
        <v>51</v>
      </c>
      <c r="E72" s="99">
        <f>0.8*0.0182</f>
        <v>0.014560000000000002</v>
      </c>
      <c r="F72" s="99">
        <f>F70*E72</f>
        <v>0.2912</v>
      </c>
      <c r="G72" s="158"/>
      <c r="H72" s="210"/>
      <c r="I72" s="158"/>
      <c r="J72" s="210"/>
      <c r="K72" s="99"/>
      <c r="L72" s="99">
        <f>F72*K72</f>
        <v>0</v>
      </c>
      <c r="M72" s="99">
        <f>L72</f>
        <v>0</v>
      </c>
      <c r="T72" s="42"/>
      <c r="U72" s="42"/>
      <c r="V72" s="42"/>
      <c r="W72" s="42"/>
    </row>
    <row r="73" spans="1:13" s="175" customFormat="1" ht="15.75">
      <c r="A73" s="77">
        <v>23</v>
      </c>
      <c r="B73" s="77" t="s">
        <v>284</v>
      </c>
      <c r="C73" s="100" t="s">
        <v>379</v>
      </c>
      <c r="D73" s="76" t="s">
        <v>19</v>
      </c>
      <c r="E73" s="99"/>
      <c r="F73" s="67">
        <v>10.4</v>
      </c>
      <c r="G73" s="99"/>
      <c r="H73" s="210"/>
      <c r="I73" s="157"/>
      <c r="J73" s="210"/>
      <c r="K73" s="157"/>
      <c r="L73" s="99"/>
      <c r="M73" s="99"/>
    </row>
    <row r="74" spans="1:13" s="175" customFormat="1" ht="15.75">
      <c r="A74" s="77"/>
      <c r="B74" s="171"/>
      <c r="C74" s="159" t="s">
        <v>123</v>
      </c>
      <c r="D74" s="77" t="s">
        <v>16</v>
      </c>
      <c r="E74" s="99">
        <v>0.887</v>
      </c>
      <c r="F74" s="99">
        <f>F73*E74</f>
        <v>9.2248</v>
      </c>
      <c r="G74" s="99"/>
      <c r="H74" s="210">
        <f>F74*G74</f>
        <v>0</v>
      </c>
      <c r="I74" s="157"/>
      <c r="J74" s="210"/>
      <c r="K74" s="157"/>
      <c r="L74" s="99"/>
      <c r="M74" s="99">
        <f>H74</f>
        <v>0</v>
      </c>
    </row>
    <row r="75" spans="1:13" s="175" customFormat="1" ht="15.75">
      <c r="A75" s="77"/>
      <c r="B75" s="77"/>
      <c r="C75" s="159" t="s">
        <v>124</v>
      </c>
      <c r="D75" s="77" t="s">
        <v>125</v>
      </c>
      <c r="E75" s="99">
        <v>0.0984</v>
      </c>
      <c r="F75" s="99">
        <f>F73*E75</f>
        <v>1.02336</v>
      </c>
      <c r="G75" s="99"/>
      <c r="H75" s="210"/>
      <c r="I75" s="99"/>
      <c r="J75" s="210"/>
      <c r="K75" s="99"/>
      <c r="L75" s="99">
        <f>F75*K75</f>
        <v>0</v>
      </c>
      <c r="M75" s="99">
        <f>L75</f>
        <v>0</v>
      </c>
    </row>
    <row r="76" spans="1:23" s="43" customFormat="1" ht="13.5">
      <c r="A76" s="77">
        <v>24</v>
      </c>
      <c r="B76" s="77" t="s">
        <v>45</v>
      </c>
      <c r="C76" s="100" t="s">
        <v>119</v>
      </c>
      <c r="D76" s="76" t="s">
        <v>19</v>
      </c>
      <c r="E76" s="99"/>
      <c r="F76" s="306">
        <v>20</v>
      </c>
      <c r="G76" s="158"/>
      <c r="H76" s="210"/>
      <c r="I76" s="99"/>
      <c r="J76" s="210"/>
      <c r="K76" s="158"/>
      <c r="L76" s="99"/>
      <c r="M76" s="99"/>
      <c r="T76" s="42"/>
      <c r="U76" s="42"/>
      <c r="V76" s="42"/>
      <c r="W76" s="42"/>
    </row>
    <row r="77" spans="1:23" s="46" customFormat="1" ht="13.5">
      <c r="A77" s="77"/>
      <c r="B77" s="77" t="s">
        <v>128</v>
      </c>
      <c r="C77" s="159" t="s">
        <v>129</v>
      </c>
      <c r="D77" s="77" t="s">
        <v>16</v>
      </c>
      <c r="E77" s="99">
        <f>0.6*7.65</f>
        <v>4.59</v>
      </c>
      <c r="F77" s="99">
        <f>F76*E77</f>
        <v>91.8</v>
      </c>
      <c r="G77" s="99"/>
      <c r="H77" s="210">
        <f>F77*G77</f>
        <v>0</v>
      </c>
      <c r="I77" s="158"/>
      <c r="J77" s="210"/>
      <c r="K77" s="158"/>
      <c r="L77" s="99"/>
      <c r="M77" s="99">
        <f>H77</f>
        <v>0</v>
      </c>
      <c r="S77" s="43"/>
      <c r="T77" s="40"/>
      <c r="U77" s="40"/>
      <c r="V77" s="40"/>
      <c r="W77" s="40"/>
    </row>
    <row r="78" spans="1:23" s="46" customFormat="1" ht="13.5">
      <c r="A78" s="77"/>
      <c r="B78" s="261" t="s">
        <v>176</v>
      </c>
      <c r="C78" s="159" t="s">
        <v>130</v>
      </c>
      <c r="D78" s="77" t="s">
        <v>125</v>
      </c>
      <c r="E78" s="99">
        <f>0.7*0.348</f>
        <v>0.24359999999999996</v>
      </c>
      <c r="F78" s="99">
        <f>F76*E78</f>
        <v>4.871999999999999</v>
      </c>
      <c r="G78" s="158"/>
      <c r="H78" s="210"/>
      <c r="I78" s="158"/>
      <c r="J78" s="210"/>
      <c r="K78" s="99"/>
      <c r="L78" s="99">
        <f>F78*K78</f>
        <v>0</v>
      </c>
      <c r="M78" s="99">
        <f>L78</f>
        <v>0</v>
      </c>
      <c r="S78" s="43"/>
      <c r="T78" s="40"/>
      <c r="U78" s="40"/>
      <c r="V78" s="40"/>
      <c r="W78" s="40"/>
    </row>
    <row r="79" spans="1:13" s="212" customFormat="1" ht="34.5" customHeight="1">
      <c r="A79" s="35">
        <v>25</v>
      </c>
      <c r="B79" s="35" t="s">
        <v>315</v>
      </c>
      <c r="C79" s="100" t="s">
        <v>316</v>
      </c>
      <c r="D79" s="100" t="s">
        <v>173</v>
      </c>
      <c r="E79" s="36"/>
      <c r="F79" s="200">
        <v>60</v>
      </c>
      <c r="G79" s="83"/>
      <c r="H79" s="210"/>
      <c r="I79" s="36"/>
      <c r="J79" s="210"/>
      <c r="K79" s="83"/>
      <c r="L79" s="99"/>
      <c r="M79" s="99"/>
    </row>
    <row r="80" spans="1:13" s="214" customFormat="1" ht="15.75">
      <c r="A80" s="77"/>
      <c r="B80" s="261"/>
      <c r="C80" s="159" t="s">
        <v>123</v>
      </c>
      <c r="D80" s="77" t="s">
        <v>16</v>
      </c>
      <c r="E80" s="99">
        <v>0.123</v>
      </c>
      <c r="F80" s="99">
        <f>F79*E80</f>
        <v>7.38</v>
      </c>
      <c r="G80" s="99"/>
      <c r="H80" s="210">
        <f>F80*G80</f>
        <v>0</v>
      </c>
      <c r="I80" s="157"/>
      <c r="J80" s="210"/>
      <c r="K80" s="157"/>
      <c r="L80" s="99"/>
      <c r="M80" s="99">
        <f>H80</f>
        <v>0</v>
      </c>
    </row>
    <row r="81" spans="1:13" s="214" customFormat="1" ht="15.75">
      <c r="A81" s="77"/>
      <c r="B81" s="77"/>
      <c r="C81" s="159" t="s">
        <v>124</v>
      </c>
      <c r="D81" s="77" t="s">
        <v>125</v>
      </c>
      <c r="E81" s="99">
        <v>0.0012</v>
      </c>
      <c r="F81" s="99">
        <f>F79*E81</f>
        <v>0.072</v>
      </c>
      <c r="G81" s="158"/>
      <c r="H81" s="210"/>
      <c r="I81" s="157"/>
      <c r="J81" s="210"/>
      <c r="K81" s="99"/>
      <c r="L81" s="99">
        <f>F81*K81</f>
        <v>0</v>
      </c>
      <c r="M81" s="99">
        <f>L81</f>
        <v>0</v>
      </c>
    </row>
    <row r="82" spans="1:13" s="179" customFormat="1" ht="27">
      <c r="A82" s="205">
        <v>26</v>
      </c>
      <c r="B82" s="205" t="s">
        <v>39</v>
      </c>
      <c r="C82" s="100" t="s">
        <v>60</v>
      </c>
      <c r="D82" s="286" t="s">
        <v>61</v>
      </c>
      <c r="E82" s="402"/>
      <c r="F82" s="278">
        <f>F16*0.025+F31*0.025+F55*0.05+F61*0.08+F64*0.015+F33*0.03*2+F67*0.03++F22*0.05*2+F76*0.015+F10*3.7/1000+F13*0.03*0.7*0.5+F19*0.02+F42*1.8+F45*1.8+F48*2+F58*0.012</f>
        <v>29.53004</v>
      </c>
      <c r="G82" s="177"/>
      <c r="H82" s="210"/>
      <c r="I82" s="178"/>
      <c r="J82" s="210"/>
      <c r="K82" s="178"/>
      <c r="L82" s="99"/>
      <c r="M82" s="99"/>
    </row>
    <row r="83" spans="1:23" s="182" customFormat="1" ht="13.5">
      <c r="A83" s="263"/>
      <c r="B83" s="263"/>
      <c r="C83" s="159" t="s">
        <v>48</v>
      </c>
      <c r="D83" s="77" t="s">
        <v>49</v>
      </c>
      <c r="E83" s="279">
        <v>1.85</v>
      </c>
      <c r="F83" s="279">
        <f>F82*E83</f>
        <v>54.630574</v>
      </c>
      <c r="G83" s="180"/>
      <c r="H83" s="210">
        <f>F83*G83</f>
        <v>0</v>
      </c>
      <c r="I83" s="181"/>
      <c r="J83" s="210"/>
      <c r="K83" s="181"/>
      <c r="L83" s="99"/>
      <c r="M83" s="99">
        <f>H83</f>
        <v>0</v>
      </c>
      <c r="T83" s="179"/>
      <c r="U83" s="179"/>
      <c r="V83" s="179"/>
      <c r="W83" s="179"/>
    </row>
    <row r="84" spans="1:19" s="185" customFormat="1" ht="33.75" customHeight="1">
      <c r="A84" s="184">
        <v>27</v>
      </c>
      <c r="B84" s="184" t="s">
        <v>40</v>
      </c>
      <c r="C84" s="100" t="s">
        <v>62</v>
      </c>
      <c r="D84" s="76" t="s">
        <v>53</v>
      </c>
      <c r="E84" s="183"/>
      <c r="F84" s="280">
        <f>F16*0.01+F31*0.01+F55*0.01+F61*0.01+F64*0.012+F33*0.03+F67*0.015+F70*0.012+F22*0.05+F76*0.05+F10*0.01+F13*0.03*0.7</f>
        <v>14.8423</v>
      </c>
      <c r="G84" s="183"/>
      <c r="H84" s="210"/>
      <c r="I84" s="184"/>
      <c r="J84" s="210"/>
      <c r="K84" s="184"/>
      <c r="L84" s="99"/>
      <c r="M84" s="99"/>
      <c r="S84" s="186"/>
    </row>
    <row r="85" spans="1:23" s="188" customFormat="1" ht="13.5">
      <c r="A85" s="264"/>
      <c r="B85" s="264"/>
      <c r="C85" s="159" t="s">
        <v>48</v>
      </c>
      <c r="D85" s="77" t="s">
        <v>49</v>
      </c>
      <c r="E85" s="187">
        <v>0.87</v>
      </c>
      <c r="F85" s="187">
        <f>F84*E85</f>
        <v>12.912801</v>
      </c>
      <c r="G85" s="187"/>
      <c r="H85" s="210">
        <f>F85*G85</f>
        <v>0</v>
      </c>
      <c r="I85" s="158"/>
      <c r="J85" s="210"/>
      <c r="K85" s="158"/>
      <c r="L85" s="99"/>
      <c r="M85" s="99">
        <f>H85</f>
        <v>0</v>
      </c>
      <c r="S85" s="189"/>
      <c r="T85" s="185"/>
      <c r="U85" s="185"/>
      <c r="V85" s="185"/>
      <c r="W85" s="185"/>
    </row>
    <row r="86" spans="1:23" s="191" customFormat="1" ht="13.5">
      <c r="A86" s="190">
        <v>28</v>
      </c>
      <c r="B86" s="177"/>
      <c r="C86" s="100" t="s">
        <v>63</v>
      </c>
      <c r="D86" s="190"/>
      <c r="E86" s="180"/>
      <c r="F86" s="180"/>
      <c r="G86" s="190"/>
      <c r="H86" s="210"/>
      <c r="I86" s="190"/>
      <c r="J86" s="210"/>
      <c r="K86" s="190"/>
      <c r="L86" s="99"/>
      <c r="M86" s="99"/>
      <c r="S86" s="31"/>
      <c r="T86" s="192"/>
      <c r="U86" s="192"/>
      <c r="V86" s="192"/>
      <c r="W86" s="192"/>
    </row>
    <row r="87" spans="1:23" s="191" customFormat="1" ht="13.5">
      <c r="A87" s="190"/>
      <c r="B87" s="190"/>
      <c r="C87" s="206" t="s">
        <v>64</v>
      </c>
      <c r="D87" s="287" t="s">
        <v>61</v>
      </c>
      <c r="E87" s="180"/>
      <c r="F87" s="278">
        <f>F82</f>
        <v>29.53004</v>
      </c>
      <c r="G87" s="190"/>
      <c r="H87" s="210"/>
      <c r="I87" s="190"/>
      <c r="J87" s="210"/>
      <c r="K87" s="193"/>
      <c r="L87" s="99">
        <f>F87*K87</f>
        <v>0</v>
      </c>
      <c r="M87" s="99">
        <f>L87</f>
        <v>0</v>
      </c>
      <c r="S87" s="31"/>
      <c r="T87" s="192"/>
      <c r="U87" s="192"/>
      <c r="V87" s="192"/>
      <c r="W87" s="192"/>
    </row>
    <row r="88" spans="1:20" ht="13.5">
      <c r="A88" s="77"/>
      <c r="B88" s="259"/>
      <c r="C88" s="207" t="s">
        <v>0</v>
      </c>
      <c r="D88" s="208"/>
      <c r="E88" s="401"/>
      <c r="F88" s="170"/>
      <c r="G88" s="59"/>
      <c r="H88" s="210"/>
      <c r="I88" s="59"/>
      <c r="J88" s="210"/>
      <c r="K88" s="59"/>
      <c r="L88" s="99"/>
      <c r="M88" s="99"/>
      <c r="R88" s="547"/>
      <c r="S88" s="547"/>
      <c r="T88" s="547"/>
    </row>
    <row r="89" spans="1:23" s="154" customFormat="1" ht="27">
      <c r="A89" s="77">
        <v>1</v>
      </c>
      <c r="B89" s="260" t="s">
        <v>33</v>
      </c>
      <c r="C89" s="30" t="s">
        <v>296</v>
      </c>
      <c r="D89" s="76" t="s">
        <v>47</v>
      </c>
      <c r="E89" s="99"/>
      <c r="F89" s="67">
        <v>4</v>
      </c>
      <c r="G89" s="158"/>
      <c r="H89" s="210"/>
      <c r="I89" s="99"/>
      <c r="J89" s="210"/>
      <c r="K89" s="158"/>
      <c r="L89" s="99"/>
      <c r="M89" s="99"/>
      <c r="S89" s="155"/>
      <c r="T89" s="156"/>
      <c r="U89" s="156"/>
      <c r="V89" s="156"/>
      <c r="W89" s="156"/>
    </row>
    <row r="90" spans="1:23" s="154" customFormat="1" ht="13.5">
      <c r="A90" s="77"/>
      <c r="B90" s="261" t="s">
        <v>34</v>
      </c>
      <c r="C90" s="159" t="s">
        <v>48</v>
      </c>
      <c r="D90" s="77" t="s">
        <v>49</v>
      </c>
      <c r="E90" s="99">
        <v>2.73</v>
      </c>
      <c r="F90" s="99">
        <f>F89*E90</f>
        <v>10.92</v>
      </c>
      <c r="G90" s="99"/>
      <c r="H90" s="210">
        <f>F90*G90</f>
        <v>0</v>
      </c>
      <c r="I90" s="157"/>
      <c r="J90" s="210"/>
      <c r="K90" s="157"/>
      <c r="L90" s="99"/>
      <c r="M90" s="99">
        <f>H90</f>
        <v>0</v>
      </c>
      <c r="S90" s="155"/>
      <c r="T90" s="156"/>
      <c r="U90" s="156"/>
      <c r="V90" s="156"/>
      <c r="W90" s="156"/>
    </row>
    <row r="91" spans="1:23" s="154" customFormat="1" ht="13.5">
      <c r="A91" s="77"/>
      <c r="B91" s="77"/>
      <c r="C91" s="194" t="s">
        <v>50</v>
      </c>
      <c r="D91" s="77" t="s">
        <v>51</v>
      </c>
      <c r="E91" s="99">
        <v>0.082</v>
      </c>
      <c r="F91" s="99">
        <f>F89*E91</f>
        <v>0.328</v>
      </c>
      <c r="G91" s="158"/>
      <c r="H91" s="210"/>
      <c r="I91" s="157"/>
      <c r="J91" s="210"/>
      <c r="K91" s="99"/>
      <c r="L91" s="99">
        <f>F91*K91</f>
        <v>0</v>
      </c>
      <c r="M91" s="99">
        <f>L91</f>
        <v>0</v>
      </c>
      <c r="S91" s="155"/>
      <c r="T91" s="156"/>
      <c r="U91" s="156"/>
      <c r="V91" s="156"/>
      <c r="W91" s="156"/>
    </row>
    <row r="92" spans="1:13" ht="13.5">
      <c r="A92" s="77"/>
      <c r="B92" s="259"/>
      <c r="C92" s="33" t="s">
        <v>65</v>
      </c>
      <c r="D92" s="77" t="s">
        <v>47</v>
      </c>
      <c r="E92" s="401">
        <v>2.06</v>
      </c>
      <c r="F92" s="277">
        <f>E92*F89</f>
        <v>8.24</v>
      </c>
      <c r="G92" s="59"/>
      <c r="H92" s="210"/>
      <c r="I92" s="60"/>
      <c r="J92" s="210">
        <f>F92*I92</f>
        <v>0</v>
      </c>
      <c r="K92" s="7"/>
      <c r="L92" s="99"/>
      <c r="M92" s="99">
        <f>J92</f>
        <v>0</v>
      </c>
    </row>
    <row r="93" spans="1:13" ht="13.5">
      <c r="A93" s="77"/>
      <c r="B93" s="259"/>
      <c r="C93" s="33" t="s">
        <v>369</v>
      </c>
      <c r="D93" s="82" t="s">
        <v>71</v>
      </c>
      <c r="E93" s="401">
        <v>0.15</v>
      </c>
      <c r="F93" s="277">
        <f>F89*E93</f>
        <v>0.6</v>
      </c>
      <c r="G93" s="59"/>
      <c r="H93" s="210"/>
      <c r="I93" s="60"/>
      <c r="J93" s="210">
        <f aca="true" t="shared" si="0" ref="J93:J99">F93*I93</f>
        <v>0</v>
      </c>
      <c r="K93" s="7"/>
      <c r="L93" s="99"/>
      <c r="M93" s="99">
        <f aca="true" t="shared" si="1" ref="M93:M99">J93</f>
        <v>0</v>
      </c>
    </row>
    <row r="94" spans="1:13" ht="13.5">
      <c r="A94" s="77"/>
      <c r="B94" s="259"/>
      <c r="C94" s="33" t="s">
        <v>370</v>
      </c>
      <c r="D94" s="82" t="s">
        <v>71</v>
      </c>
      <c r="E94" s="401">
        <v>0.23</v>
      </c>
      <c r="F94" s="277">
        <f>F89*E94</f>
        <v>0.92</v>
      </c>
      <c r="G94" s="59"/>
      <c r="H94" s="210"/>
      <c r="I94" s="60"/>
      <c r="J94" s="210">
        <f t="shared" si="0"/>
        <v>0</v>
      </c>
      <c r="K94" s="7"/>
      <c r="L94" s="99"/>
      <c r="M94" s="99">
        <f t="shared" si="1"/>
        <v>0</v>
      </c>
    </row>
    <row r="95" spans="1:13" ht="13.5">
      <c r="A95" s="77"/>
      <c r="B95" s="259"/>
      <c r="C95" s="33" t="s">
        <v>66</v>
      </c>
      <c r="D95" s="82" t="s">
        <v>71</v>
      </c>
      <c r="E95" s="401">
        <v>3</v>
      </c>
      <c r="F95" s="277">
        <f>F89*E95</f>
        <v>12</v>
      </c>
      <c r="G95" s="59"/>
      <c r="H95" s="210"/>
      <c r="I95" s="60"/>
      <c r="J95" s="210">
        <f t="shared" si="0"/>
        <v>0</v>
      </c>
      <c r="K95" s="7"/>
      <c r="L95" s="99"/>
      <c r="M95" s="99">
        <f t="shared" si="1"/>
        <v>0</v>
      </c>
    </row>
    <row r="96" spans="1:13" ht="13.5">
      <c r="A96" s="77"/>
      <c r="B96" s="259"/>
      <c r="C96" s="33" t="s">
        <v>67</v>
      </c>
      <c r="D96" s="82" t="s">
        <v>71</v>
      </c>
      <c r="E96" s="401">
        <v>8</v>
      </c>
      <c r="F96" s="277">
        <f>F89*E96</f>
        <v>32</v>
      </c>
      <c r="G96" s="59"/>
      <c r="H96" s="210"/>
      <c r="I96" s="60"/>
      <c r="J96" s="210">
        <f t="shared" si="0"/>
        <v>0</v>
      </c>
      <c r="K96" s="7"/>
      <c r="L96" s="99"/>
      <c r="M96" s="99">
        <f t="shared" si="1"/>
        <v>0</v>
      </c>
    </row>
    <row r="97" spans="1:13" ht="13.5">
      <c r="A97" s="77"/>
      <c r="B97" s="259"/>
      <c r="C97" s="33" t="s">
        <v>68</v>
      </c>
      <c r="D97" s="82" t="s">
        <v>71</v>
      </c>
      <c r="E97" s="401">
        <v>33</v>
      </c>
      <c r="F97" s="277">
        <f>F89*E97</f>
        <v>132</v>
      </c>
      <c r="G97" s="59"/>
      <c r="H97" s="210"/>
      <c r="I97" s="60"/>
      <c r="J97" s="210">
        <f t="shared" si="0"/>
        <v>0</v>
      </c>
      <c r="K97" s="7"/>
      <c r="L97" s="99"/>
      <c r="M97" s="99">
        <f t="shared" si="1"/>
        <v>0</v>
      </c>
    </row>
    <row r="98" spans="1:13" ht="13.5">
      <c r="A98" s="77"/>
      <c r="B98" s="259"/>
      <c r="C98" s="33" t="s">
        <v>69</v>
      </c>
      <c r="D98" s="77" t="s">
        <v>47</v>
      </c>
      <c r="E98" s="401">
        <v>1.03</v>
      </c>
      <c r="F98" s="277">
        <f>E98*F89</f>
        <v>4.12</v>
      </c>
      <c r="G98" s="59"/>
      <c r="H98" s="210"/>
      <c r="I98" s="60"/>
      <c r="J98" s="210">
        <f t="shared" si="0"/>
        <v>0</v>
      </c>
      <c r="K98" s="7"/>
      <c r="L98" s="99"/>
      <c r="M98" s="99">
        <f t="shared" si="1"/>
        <v>0</v>
      </c>
    </row>
    <row r="99" spans="1:13" ht="13.5">
      <c r="A99" s="77"/>
      <c r="B99" s="259"/>
      <c r="C99" s="33" t="s">
        <v>70</v>
      </c>
      <c r="D99" s="82" t="s">
        <v>51</v>
      </c>
      <c r="E99" s="401">
        <v>0.216</v>
      </c>
      <c r="F99" s="277">
        <f>E99*F89</f>
        <v>0.864</v>
      </c>
      <c r="G99" s="59"/>
      <c r="H99" s="210"/>
      <c r="I99" s="36"/>
      <c r="J99" s="210">
        <f t="shared" si="0"/>
        <v>0</v>
      </c>
      <c r="K99" s="7"/>
      <c r="L99" s="99"/>
      <c r="M99" s="99">
        <f t="shared" si="1"/>
        <v>0</v>
      </c>
    </row>
    <row r="100" spans="1:23" s="46" customFormat="1" ht="27">
      <c r="A100" s="77">
        <v>2</v>
      </c>
      <c r="B100" s="77" t="s">
        <v>30</v>
      </c>
      <c r="C100" s="100" t="s">
        <v>72</v>
      </c>
      <c r="D100" s="76" t="s">
        <v>47</v>
      </c>
      <c r="E100" s="36"/>
      <c r="F100" s="200">
        <v>70</v>
      </c>
      <c r="G100" s="158"/>
      <c r="H100" s="210"/>
      <c r="I100" s="99"/>
      <c r="J100" s="210"/>
      <c r="K100" s="158"/>
      <c r="L100" s="99"/>
      <c r="M100" s="99"/>
      <c r="S100" s="43"/>
      <c r="T100" s="40"/>
      <c r="U100" s="40"/>
      <c r="V100" s="40"/>
      <c r="W100" s="40"/>
    </row>
    <row r="101" spans="1:23" s="46" customFormat="1" ht="13.5">
      <c r="A101" s="77"/>
      <c r="B101" s="77"/>
      <c r="C101" s="159" t="s">
        <v>48</v>
      </c>
      <c r="D101" s="77" t="s">
        <v>49</v>
      </c>
      <c r="E101" s="36">
        <v>0.714</v>
      </c>
      <c r="F101" s="36">
        <f>F100*E101</f>
        <v>49.98</v>
      </c>
      <c r="G101" s="99"/>
      <c r="H101" s="210">
        <f>F101*G101</f>
        <v>0</v>
      </c>
      <c r="I101" s="157"/>
      <c r="J101" s="210"/>
      <c r="K101" s="157"/>
      <c r="L101" s="99"/>
      <c r="M101" s="99">
        <f>H101</f>
        <v>0</v>
      </c>
      <c r="S101" s="43"/>
      <c r="T101" s="40"/>
      <c r="U101" s="40"/>
      <c r="V101" s="40"/>
      <c r="W101" s="40"/>
    </row>
    <row r="102" spans="1:23" s="46" customFormat="1" ht="13.5">
      <c r="A102" s="77"/>
      <c r="B102" s="77"/>
      <c r="C102" s="194" t="s">
        <v>50</v>
      </c>
      <c r="D102" s="77" t="s">
        <v>51</v>
      </c>
      <c r="E102" s="36">
        <v>0.0183</v>
      </c>
      <c r="F102" s="36">
        <f>F100*E102</f>
        <v>1.281</v>
      </c>
      <c r="G102" s="158"/>
      <c r="H102" s="210"/>
      <c r="I102" s="157"/>
      <c r="J102" s="210"/>
      <c r="K102" s="99"/>
      <c r="L102" s="99">
        <f>F102*K102</f>
        <v>0</v>
      </c>
      <c r="M102" s="99">
        <f>L102</f>
        <v>0</v>
      </c>
      <c r="S102" s="43"/>
      <c r="T102" s="40"/>
      <c r="U102" s="40"/>
      <c r="V102" s="40"/>
      <c r="W102" s="40"/>
    </row>
    <row r="103" spans="1:13" ht="13.5">
      <c r="A103" s="77"/>
      <c r="B103" s="259"/>
      <c r="C103" s="33" t="s">
        <v>65</v>
      </c>
      <c r="D103" s="77" t="s">
        <v>47</v>
      </c>
      <c r="E103" s="401">
        <v>1.03</v>
      </c>
      <c r="F103" s="281">
        <f>F100*E103</f>
        <v>72.10000000000001</v>
      </c>
      <c r="G103" s="59"/>
      <c r="H103" s="210"/>
      <c r="I103" s="60"/>
      <c r="J103" s="210">
        <f aca="true" t="shared" si="2" ref="J103:J141">F103*I103</f>
        <v>0</v>
      </c>
      <c r="K103" s="7"/>
      <c r="L103" s="99"/>
      <c r="M103" s="99">
        <f>J103</f>
        <v>0</v>
      </c>
    </row>
    <row r="104" spans="1:13" ht="13.5">
      <c r="A104" s="77"/>
      <c r="B104" s="259"/>
      <c r="C104" s="33" t="s">
        <v>371</v>
      </c>
      <c r="D104" s="82" t="s">
        <v>71</v>
      </c>
      <c r="E104" s="401">
        <v>0.15</v>
      </c>
      <c r="F104" s="281">
        <f>F100*E104</f>
        <v>10.5</v>
      </c>
      <c r="G104" s="59"/>
      <c r="H104" s="210"/>
      <c r="I104" s="60"/>
      <c r="J104" s="210">
        <f t="shared" si="2"/>
        <v>0</v>
      </c>
      <c r="K104" s="7"/>
      <c r="L104" s="99"/>
      <c r="M104" s="99">
        <f aca="true" t="shared" si="3" ref="M104:M110">J104</f>
        <v>0</v>
      </c>
    </row>
    <row r="105" spans="1:13" ht="13.5">
      <c r="A105" s="77"/>
      <c r="B105" s="259"/>
      <c r="C105" s="33" t="s">
        <v>372</v>
      </c>
      <c r="D105" s="82" t="s">
        <v>71</v>
      </c>
      <c r="E105" s="401">
        <v>0.23</v>
      </c>
      <c r="F105" s="281">
        <f>F100*E105</f>
        <v>16.1</v>
      </c>
      <c r="G105" s="59"/>
      <c r="H105" s="210"/>
      <c r="I105" s="60"/>
      <c r="J105" s="210">
        <f t="shared" si="2"/>
        <v>0</v>
      </c>
      <c r="K105" s="7"/>
      <c r="L105" s="99"/>
      <c r="M105" s="99">
        <f t="shared" si="3"/>
        <v>0</v>
      </c>
    </row>
    <row r="106" spans="1:13" ht="13.5">
      <c r="A106" s="77"/>
      <c r="B106" s="259"/>
      <c r="C106" s="33" t="s">
        <v>66</v>
      </c>
      <c r="D106" s="82" t="s">
        <v>71</v>
      </c>
      <c r="E106" s="401">
        <v>3</v>
      </c>
      <c r="F106" s="281">
        <f>F100*E106</f>
        <v>210</v>
      </c>
      <c r="G106" s="59"/>
      <c r="H106" s="210"/>
      <c r="I106" s="60"/>
      <c r="J106" s="210">
        <f t="shared" si="2"/>
        <v>0</v>
      </c>
      <c r="K106" s="7"/>
      <c r="L106" s="99"/>
      <c r="M106" s="99">
        <f t="shared" si="3"/>
        <v>0</v>
      </c>
    </row>
    <row r="107" spans="1:13" ht="13.5">
      <c r="A107" s="77"/>
      <c r="B107" s="259"/>
      <c r="C107" s="33" t="s">
        <v>67</v>
      </c>
      <c r="D107" s="82" t="s">
        <v>71</v>
      </c>
      <c r="E107" s="401">
        <v>8</v>
      </c>
      <c r="F107" s="281">
        <f>F100*E107</f>
        <v>560</v>
      </c>
      <c r="G107" s="59"/>
      <c r="H107" s="210"/>
      <c r="I107" s="60"/>
      <c r="J107" s="210">
        <f t="shared" si="2"/>
        <v>0</v>
      </c>
      <c r="K107" s="7"/>
      <c r="L107" s="99"/>
      <c r="M107" s="99">
        <f t="shared" si="3"/>
        <v>0</v>
      </c>
    </row>
    <row r="108" spans="1:13" ht="13.5">
      <c r="A108" s="77"/>
      <c r="B108" s="259"/>
      <c r="C108" s="33" t="s">
        <v>68</v>
      </c>
      <c r="D108" s="82" t="s">
        <v>71</v>
      </c>
      <c r="E108" s="401">
        <v>23</v>
      </c>
      <c r="F108" s="281">
        <f>F100*E108</f>
        <v>1610</v>
      </c>
      <c r="G108" s="59"/>
      <c r="H108" s="210"/>
      <c r="I108" s="60"/>
      <c r="J108" s="210">
        <f t="shared" si="2"/>
        <v>0</v>
      </c>
      <c r="K108" s="7"/>
      <c r="L108" s="99"/>
      <c r="M108" s="99">
        <f t="shared" si="3"/>
        <v>0</v>
      </c>
    </row>
    <row r="109" spans="1:13" ht="13.5">
      <c r="A109" s="77"/>
      <c r="B109" s="259"/>
      <c r="C109" s="33" t="s">
        <v>69</v>
      </c>
      <c r="D109" s="77" t="s">
        <v>47</v>
      </c>
      <c r="E109" s="401">
        <v>1.03</v>
      </c>
      <c r="F109" s="277">
        <f>E109*F100</f>
        <v>72.10000000000001</v>
      </c>
      <c r="G109" s="59"/>
      <c r="H109" s="210"/>
      <c r="I109" s="60"/>
      <c r="J109" s="210">
        <f t="shared" si="2"/>
        <v>0</v>
      </c>
      <c r="K109" s="7"/>
      <c r="L109" s="99"/>
      <c r="M109" s="99">
        <f t="shared" si="3"/>
        <v>0</v>
      </c>
    </row>
    <row r="110" spans="1:13" ht="13.5">
      <c r="A110" s="77"/>
      <c r="B110" s="259"/>
      <c r="C110" s="33" t="s">
        <v>70</v>
      </c>
      <c r="D110" s="82" t="s">
        <v>51</v>
      </c>
      <c r="E110" s="401">
        <v>0.216</v>
      </c>
      <c r="F110" s="281">
        <f>F100*E110</f>
        <v>15.12</v>
      </c>
      <c r="G110" s="59"/>
      <c r="H110" s="210"/>
      <c r="I110" s="7"/>
      <c r="J110" s="210">
        <f t="shared" si="2"/>
        <v>0</v>
      </c>
      <c r="K110" s="7"/>
      <c r="L110" s="99"/>
      <c r="M110" s="99">
        <f t="shared" si="3"/>
        <v>0</v>
      </c>
    </row>
    <row r="111" spans="1:13" s="212" customFormat="1" ht="15.75">
      <c r="A111" s="77">
        <v>4</v>
      </c>
      <c r="B111" s="77" t="s">
        <v>45</v>
      </c>
      <c r="C111" s="100" t="s">
        <v>313</v>
      </c>
      <c r="D111" s="76" t="s">
        <v>19</v>
      </c>
      <c r="E111" s="99"/>
      <c r="F111" s="67">
        <v>20</v>
      </c>
      <c r="G111" s="158"/>
      <c r="H111" s="210"/>
      <c r="I111" s="99"/>
      <c r="J111" s="210"/>
      <c r="K111" s="158"/>
      <c r="L111" s="99"/>
      <c r="M111" s="99"/>
    </row>
    <row r="112" spans="1:13" s="214" customFormat="1" ht="15.75">
      <c r="A112" s="77"/>
      <c r="B112" s="171"/>
      <c r="C112" s="159" t="s">
        <v>123</v>
      </c>
      <c r="D112" s="77" t="s">
        <v>16</v>
      </c>
      <c r="E112" s="99">
        <v>7.65</v>
      </c>
      <c r="F112" s="99">
        <f>F111*E112</f>
        <v>153</v>
      </c>
      <c r="G112" s="99"/>
      <c r="H112" s="210">
        <f>F112*G112</f>
        <v>0</v>
      </c>
      <c r="I112" s="157"/>
      <c r="J112" s="210"/>
      <c r="K112" s="157"/>
      <c r="L112" s="99"/>
      <c r="M112" s="99">
        <f>H112</f>
        <v>0</v>
      </c>
    </row>
    <row r="113" spans="1:13" s="214" customFormat="1" ht="15.75">
      <c r="A113" s="77"/>
      <c r="B113" s="77"/>
      <c r="C113" s="159" t="s">
        <v>124</v>
      </c>
      <c r="D113" s="77" t="s">
        <v>125</v>
      </c>
      <c r="E113" s="99">
        <v>0.348</v>
      </c>
      <c r="F113" s="99">
        <f>F111*E113</f>
        <v>6.959999999999999</v>
      </c>
      <c r="G113" s="158"/>
      <c r="H113" s="210"/>
      <c r="I113" s="157"/>
      <c r="J113" s="210"/>
      <c r="K113" s="99"/>
      <c r="L113" s="99">
        <f>F113*K113</f>
        <v>0</v>
      </c>
      <c r="M113" s="99">
        <f>L113</f>
        <v>0</v>
      </c>
    </row>
    <row r="114" spans="1:13" s="214" customFormat="1" ht="15.75">
      <c r="A114" s="77"/>
      <c r="B114" s="77" t="s">
        <v>311</v>
      </c>
      <c r="C114" s="159" t="s">
        <v>312</v>
      </c>
      <c r="D114" s="77" t="s">
        <v>277</v>
      </c>
      <c r="E114" s="99">
        <f>(3.64+15.6)/100</f>
        <v>0.1924</v>
      </c>
      <c r="F114" s="99">
        <f>F111*E114</f>
        <v>3.848</v>
      </c>
      <c r="G114" s="158"/>
      <c r="H114" s="210"/>
      <c r="I114" s="157"/>
      <c r="J114" s="210"/>
      <c r="K114" s="99"/>
      <c r="L114" s="99">
        <f>F114*K114</f>
        <v>0</v>
      </c>
      <c r="M114" s="99">
        <f>L114</f>
        <v>0</v>
      </c>
    </row>
    <row r="115" spans="1:13" s="176" customFormat="1" ht="27">
      <c r="A115" s="35"/>
      <c r="B115" s="35"/>
      <c r="C115" s="41" t="s">
        <v>358</v>
      </c>
      <c r="D115" s="35" t="s">
        <v>19</v>
      </c>
      <c r="E115" s="36">
        <v>1</v>
      </c>
      <c r="F115" s="36">
        <f>F111*E115</f>
        <v>20</v>
      </c>
      <c r="G115" s="83"/>
      <c r="H115" s="210"/>
      <c r="I115" s="36"/>
      <c r="J115" s="210">
        <f t="shared" si="2"/>
        <v>0</v>
      </c>
      <c r="K115" s="84"/>
      <c r="L115" s="99"/>
      <c r="M115" s="99">
        <f>J115</f>
        <v>0</v>
      </c>
    </row>
    <row r="116" spans="1:13" s="212" customFormat="1" ht="15.75">
      <c r="A116" s="77"/>
      <c r="B116" s="77"/>
      <c r="C116" s="159" t="s">
        <v>127</v>
      </c>
      <c r="D116" s="77" t="s">
        <v>125</v>
      </c>
      <c r="E116" s="99">
        <v>0.656</v>
      </c>
      <c r="F116" s="99">
        <f>F111*E116</f>
        <v>13.120000000000001</v>
      </c>
      <c r="G116" s="158"/>
      <c r="H116" s="210"/>
      <c r="I116" s="99"/>
      <c r="J116" s="210">
        <f t="shared" si="2"/>
        <v>0</v>
      </c>
      <c r="K116" s="157"/>
      <c r="L116" s="99"/>
      <c r="M116" s="99">
        <f>J116</f>
        <v>0</v>
      </c>
    </row>
    <row r="117" spans="1:14" s="165" customFormat="1" ht="40.5">
      <c r="A117" s="166">
        <v>2</v>
      </c>
      <c r="B117" s="169" t="s">
        <v>18</v>
      </c>
      <c r="C117" s="195" t="s">
        <v>301</v>
      </c>
      <c r="D117" s="195" t="s">
        <v>47</v>
      </c>
      <c r="E117" s="168"/>
      <c r="F117" s="282">
        <v>1200</v>
      </c>
      <c r="G117" s="167"/>
      <c r="H117" s="210"/>
      <c r="I117" s="166"/>
      <c r="J117" s="210"/>
      <c r="K117" s="167"/>
      <c r="L117" s="99"/>
      <c r="M117" s="99"/>
      <c r="N117" s="42"/>
    </row>
    <row r="118" spans="1:14" s="45" customFormat="1" ht="13.5">
      <c r="A118" s="166"/>
      <c r="B118" s="169"/>
      <c r="C118" s="196" t="s">
        <v>76</v>
      </c>
      <c r="D118" s="35" t="s">
        <v>49</v>
      </c>
      <c r="E118" s="401">
        <v>0.658</v>
      </c>
      <c r="F118" s="281">
        <f>F117*E118</f>
        <v>789.6</v>
      </c>
      <c r="G118" s="167"/>
      <c r="H118" s="210">
        <f>F118*G118</f>
        <v>0</v>
      </c>
      <c r="I118" s="166"/>
      <c r="J118" s="210"/>
      <c r="K118" s="167"/>
      <c r="L118" s="99"/>
      <c r="M118" s="99">
        <f>H118</f>
        <v>0</v>
      </c>
      <c r="N118" s="79"/>
    </row>
    <row r="119" spans="1:14" s="165" customFormat="1" ht="13.5">
      <c r="A119" s="166"/>
      <c r="B119" s="196"/>
      <c r="C119" s="196" t="s">
        <v>77</v>
      </c>
      <c r="D119" s="166" t="s">
        <v>51</v>
      </c>
      <c r="E119" s="168">
        <v>0.01</v>
      </c>
      <c r="F119" s="168">
        <f>E119*F117</f>
        <v>12</v>
      </c>
      <c r="G119" s="166"/>
      <c r="H119" s="210"/>
      <c r="I119" s="167"/>
      <c r="J119" s="210"/>
      <c r="K119" s="167"/>
      <c r="L119" s="99">
        <f>F119*K119</f>
        <v>0</v>
      </c>
      <c r="M119" s="99">
        <f>L119</f>
        <v>0</v>
      </c>
      <c r="N119" s="197"/>
    </row>
    <row r="120" spans="1:14" s="45" customFormat="1" ht="13.5">
      <c r="A120" s="166"/>
      <c r="B120" s="169"/>
      <c r="C120" s="196" t="s">
        <v>78</v>
      </c>
      <c r="D120" s="166"/>
      <c r="E120" s="168"/>
      <c r="F120" s="168"/>
      <c r="G120" s="167"/>
      <c r="H120" s="210"/>
      <c r="I120" s="166"/>
      <c r="J120" s="210"/>
      <c r="K120" s="167"/>
      <c r="L120" s="99"/>
      <c r="M120" s="99"/>
      <c r="N120" s="79"/>
    </row>
    <row r="121" spans="1:14" s="45" customFormat="1" ht="13.5">
      <c r="A121" s="166"/>
      <c r="B121" s="169"/>
      <c r="C121" s="196" t="s">
        <v>79</v>
      </c>
      <c r="D121" s="166" t="s">
        <v>75</v>
      </c>
      <c r="E121" s="168">
        <v>0.35</v>
      </c>
      <c r="F121" s="168">
        <f>F117*E121</f>
        <v>420</v>
      </c>
      <c r="G121" s="167"/>
      <c r="H121" s="210"/>
      <c r="I121" s="166"/>
      <c r="J121" s="210">
        <f t="shared" si="2"/>
        <v>0</v>
      </c>
      <c r="K121" s="167"/>
      <c r="L121" s="99"/>
      <c r="M121" s="99">
        <f>J121</f>
        <v>0</v>
      </c>
      <c r="N121" s="79"/>
    </row>
    <row r="122" spans="1:14" s="45" customFormat="1" ht="13.5">
      <c r="A122" s="166"/>
      <c r="B122" s="169"/>
      <c r="C122" s="196" t="s">
        <v>80</v>
      </c>
      <c r="D122" s="166" t="s">
        <v>75</v>
      </c>
      <c r="E122" s="168">
        <v>0.63</v>
      </c>
      <c r="F122" s="168">
        <f>E122*F117</f>
        <v>756</v>
      </c>
      <c r="G122" s="167"/>
      <c r="H122" s="210"/>
      <c r="I122" s="166"/>
      <c r="J122" s="210">
        <f t="shared" si="2"/>
        <v>0</v>
      </c>
      <c r="K122" s="167"/>
      <c r="L122" s="99"/>
      <c r="M122" s="99">
        <f>J122</f>
        <v>0</v>
      </c>
      <c r="N122" s="79"/>
    </row>
    <row r="123" spans="1:14" s="45" customFormat="1" ht="13.5">
      <c r="A123" s="166"/>
      <c r="B123" s="169"/>
      <c r="C123" s="196" t="s">
        <v>81</v>
      </c>
      <c r="D123" s="166" t="s">
        <v>75</v>
      </c>
      <c r="E123" s="168">
        <v>0.79</v>
      </c>
      <c r="F123" s="168">
        <f>E123*F117</f>
        <v>948</v>
      </c>
      <c r="G123" s="167"/>
      <c r="H123" s="210"/>
      <c r="I123" s="166"/>
      <c r="J123" s="210">
        <f t="shared" si="2"/>
        <v>0</v>
      </c>
      <c r="K123" s="167"/>
      <c r="L123" s="99"/>
      <c r="M123" s="99">
        <f>J123</f>
        <v>0</v>
      </c>
      <c r="N123" s="79"/>
    </row>
    <row r="124" spans="1:14" s="45" customFormat="1" ht="13.5">
      <c r="A124" s="166"/>
      <c r="B124" s="169"/>
      <c r="C124" s="196" t="s">
        <v>82</v>
      </c>
      <c r="D124" s="166" t="s">
        <v>47</v>
      </c>
      <c r="E124" s="168">
        <v>0.009</v>
      </c>
      <c r="F124" s="168">
        <f>E124*F117</f>
        <v>10.799999999999999</v>
      </c>
      <c r="G124" s="167"/>
      <c r="H124" s="210"/>
      <c r="I124" s="166"/>
      <c r="J124" s="210">
        <f t="shared" si="2"/>
        <v>0</v>
      </c>
      <c r="K124" s="167"/>
      <c r="L124" s="99"/>
      <c r="M124" s="99">
        <f>J124</f>
        <v>0</v>
      </c>
      <c r="N124" s="79"/>
    </row>
    <row r="125" spans="1:13" s="78" customFormat="1" ht="13.5">
      <c r="A125" s="35"/>
      <c r="B125" s="35"/>
      <c r="C125" s="41" t="s">
        <v>127</v>
      </c>
      <c r="D125" s="35" t="s">
        <v>125</v>
      </c>
      <c r="E125" s="36">
        <f>1.6/100</f>
        <v>0.016</v>
      </c>
      <c r="F125" s="36">
        <f>F117*E125</f>
        <v>19.2</v>
      </c>
      <c r="G125" s="83"/>
      <c r="H125" s="210"/>
      <c r="I125" s="36"/>
      <c r="J125" s="210">
        <f t="shared" si="2"/>
        <v>0</v>
      </c>
      <c r="K125" s="84"/>
      <c r="L125" s="99"/>
      <c r="M125" s="99">
        <f>J125</f>
        <v>0</v>
      </c>
    </row>
    <row r="126" spans="1:13" s="212" customFormat="1" ht="15.75">
      <c r="A126" s="77">
        <v>3</v>
      </c>
      <c r="B126" s="77" t="s">
        <v>213</v>
      </c>
      <c r="C126" s="195" t="s">
        <v>214</v>
      </c>
      <c r="D126" s="76" t="s">
        <v>19</v>
      </c>
      <c r="E126" s="99"/>
      <c r="F126" s="67">
        <v>200</v>
      </c>
      <c r="G126" s="158"/>
      <c r="H126" s="210"/>
      <c r="I126" s="99"/>
      <c r="J126" s="210"/>
      <c r="K126" s="158"/>
      <c r="L126" s="99"/>
      <c r="M126" s="99"/>
    </row>
    <row r="127" spans="1:13" s="212" customFormat="1" ht="15.75">
      <c r="A127" s="77"/>
      <c r="B127" s="77"/>
      <c r="C127" s="159" t="s">
        <v>123</v>
      </c>
      <c r="D127" s="77" t="s">
        <v>16</v>
      </c>
      <c r="E127" s="99">
        <v>0.139</v>
      </c>
      <c r="F127" s="99">
        <f>F126*E127</f>
        <v>27.800000000000004</v>
      </c>
      <c r="G127" s="99"/>
      <c r="H127" s="210">
        <f>F127*G127</f>
        <v>0</v>
      </c>
      <c r="I127" s="158"/>
      <c r="J127" s="210"/>
      <c r="K127" s="158"/>
      <c r="L127" s="99"/>
      <c r="M127" s="99">
        <f>H127</f>
        <v>0</v>
      </c>
    </row>
    <row r="128" spans="1:13" s="212" customFormat="1" ht="15.75">
      <c r="A128" s="77"/>
      <c r="B128" s="77"/>
      <c r="C128" s="159" t="s">
        <v>124</v>
      </c>
      <c r="D128" s="77" t="s">
        <v>125</v>
      </c>
      <c r="E128" s="99">
        <v>0.007</v>
      </c>
      <c r="F128" s="99">
        <f>F126*E128</f>
        <v>1.4000000000000001</v>
      </c>
      <c r="G128" s="158"/>
      <c r="H128" s="210"/>
      <c r="I128" s="158"/>
      <c r="J128" s="210"/>
      <c r="K128" s="99"/>
      <c r="L128" s="99">
        <f>F128*K128</f>
        <v>0</v>
      </c>
      <c r="M128" s="99">
        <f>L128</f>
        <v>0</v>
      </c>
    </row>
    <row r="129" spans="1:13" s="212" customFormat="1" ht="15.75">
      <c r="A129" s="77"/>
      <c r="B129" s="77"/>
      <c r="C129" s="159" t="s">
        <v>215</v>
      </c>
      <c r="D129" s="77" t="s">
        <v>158</v>
      </c>
      <c r="E129" s="99">
        <v>0.59</v>
      </c>
      <c r="F129" s="99">
        <f>F126*E129</f>
        <v>118</v>
      </c>
      <c r="G129" s="99"/>
      <c r="H129" s="210"/>
      <c r="I129" s="99"/>
      <c r="J129" s="210">
        <f t="shared" si="2"/>
        <v>0</v>
      </c>
      <c r="K129" s="158"/>
      <c r="L129" s="99"/>
      <c r="M129" s="99">
        <f>J129</f>
        <v>0</v>
      </c>
    </row>
    <row r="130" spans="1:13" s="212" customFormat="1" ht="15.75">
      <c r="A130" s="77"/>
      <c r="B130" s="77"/>
      <c r="C130" s="159" t="s">
        <v>216</v>
      </c>
      <c r="D130" s="77" t="s">
        <v>158</v>
      </c>
      <c r="E130" s="99">
        <v>0.12</v>
      </c>
      <c r="F130" s="99">
        <f>F126*E130</f>
        <v>24</v>
      </c>
      <c r="G130" s="158"/>
      <c r="H130" s="210"/>
      <c r="I130" s="99"/>
      <c r="J130" s="210">
        <f t="shared" si="2"/>
        <v>0</v>
      </c>
      <c r="K130" s="158"/>
      <c r="L130" s="99"/>
      <c r="M130" s="99">
        <f>J130</f>
        <v>0</v>
      </c>
    </row>
    <row r="131" spans="1:13" s="212" customFormat="1" ht="15.75">
      <c r="A131" s="77"/>
      <c r="B131" s="77"/>
      <c r="C131" s="159" t="s">
        <v>217</v>
      </c>
      <c r="D131" s="77" t="s">
        <v>158</v>
      </c>
      <c r="E131" s="99">
        <v>0.15</v>
      </c>
      <c r="F131" s="99">
        <f>F126*E131</f>
        <v>30</v>
      </c>
      <c r="G131" s="158"/>
      <c r="H131" s="210"/>
      <c r="I131" s="99"/>
      <c r="J131" s="210">
        <f t="shared" si="2"/>
        <v>0</v>
      </c>
      <c r="K131" s="158"/>
      <c r="L131" s="99"/>
      <c r="M131" s="99">
        <f>J131</f>
        <v>0</v>
      </c>
    </row>
    <row r="132" spans="1:13" s="212" customFormat="1" ht="15.75">
      <c r="A132" s="77"/>
      <c r="B132" s="77"/>
      <c r="C132" s="159" t="s">
        <v>127</v>
      </c>
      <c r="D132" s="77" t="s">
        <v>125</v>
      </c>
      <c r="E132" s="99">
        <v>0.0034</v>
      </c>
      <c r="F132" s="99">
        <f>F126*E132</f>
        <v>0.6799999999999999</v>
      </c>
      <c r="G132" s="158"/>
      <c r="H132" s="210"/>
      <c r="I132" s="99"/>
      <c r="J132" s="210">
        <f t="shared" si="2"/>
        <v>0</v>
      </c>
      <c r="K132" s="158"/>
      <c r="L132" s="99"/>
      <c r="M132" s="99">
        <f>J132</f>
        <v>0</v>
      </c>
    </row>
    <row r="133" spans="1:13" s="213" customFormat="1" ht="16.5" customHeight="1">
      <c r="A133" s="77">
        <v>4</v>
      </c>
      <c r="B133" s="77" t="s">
        <v>218</v>
      </c>
      <c r="C133" s="30" t="s">
        <v>219</v>
      </c>
      <c r="D133" s="76" t="s">
        <v>19</v>
      </c>
      <c r="E133" s="99"/>
      <c r="F133" s="67">
        <v>6</v>
      </c>
      <c r="G133" s="99"/>
      <c r="H133" s="210"/>
      <c r="I133" s="99"/>
      <c r="J133" s="210"/>
      <c r="K133" s="158"/>
      <c r="L133" s="99"/>
      <c r="M133" s="99"/>
    </row>
    <row r="134" spans="1:13" s="213" customFormat="1" ht="16.5" customHeight="1">
      <c r="A134" s="77"/>
      <c r="B134" s="77"/>
      <c r="C134" s="159" t="s">
        <v>123</v>
      </c>
      <c r="D134" s="77" t="s">
        <v>16</v>
      </c>
      <c r="E134" s="99">
        <v>1.16</v>
      </c>
      <c r="F134" s="38">
        <f>F133*E134</f>
        <v>6.959999999999999</v>
      </c>
      <c r="G134" s="99"/>
      <c r="H134" s="210">
        <f>F134*G134</f>
        <v>0</v>
      </c>
      <c r="I134" s="158"/>
      <c r="J134" s="210"/>
      <c r="K134" s="158"/>
      <c r="L134" s="99"/>
      <c r="M134" s="99">
        <f>H134</f>
        <v>0</v>
      </c>
    </row>
    <row r="135" spans="1:13" s="213" customFormat="1" ht="16.5" customHeight="1">
      <c r="A135" s="77"/>
      <c r="B135" s="77"/>
      <c r="C135" s="159" t="s">
        <v>124</v>
      </c>
      <c r="D135" s="77" t="s">
        <v>125</v>
      </c>
      <c r="E135" s="99">
        <v>0.13</v>
      </c>
      <c r="F135" s="38">
        <f>F133*E135</f>
        <v>0.78</v>
      </c>
      <c r="G135" s="158"/>
      <c r="H135" s="210"/>
      <c r="I135" s="158"/>
      <c r="J135" s="210"/>
      <c r="K135" s="99"/>
      <c r="L135" s="99">
        <f>F135*K135</f>
        <v>0</v>
      </c>
      <c r="M135" s="99">
        <f>L135</f>
        <v>0</v>
      </c>
    </row>
    <row r="136" spans="1:13" s="213" customFormat="1" ht="16.5" customHeight="1">
      <c r="A136" s="77"/>
      <c r="B136" s="77"/>
      <c r="C136" s="159" t="s">
        <v>220</v>
      </c>
      <c r="D136" s="77" t="s">
        <v>19</v>
      </c>
      <c r="E136" s="99">
        <v>1</v>
      </c>
      <c r="F136" s="38">
        <f>F133*E136</f>
        <v>6</v>
      </c>
      <c r="G136" s="158"/>
      <c r="H136" s="210"/>
      <c r="I136" s="99"/>
      <c r="J136" s="210">
        <f t="shared" si="2"/>
        <v>0</v>
      </c>
      <c r="K136" s="158"/>
      <c r="L136" s="99"/>
      <c r="M136" s="99">
        <f>J136</f>
        <v>0</v>
      </c>
    </row>
    <row r="137" spans="1:13" s="213" customFormat="1" ht="16.5" customHeight="1">
      <c r="A137" s="77"/>
      <c r="B137" s="77"/>
      <c r="C137" s="159" t="s">
        <v>221</v>
      </c>
      <c r="D137" s="77" t="s">
        <v>222</v>
      </c>
      <c r="E137" s="99"/>
      <c r="F137" s="99">
        <v>10</v>
      </c>
      <c r="G137" s="158"/>
      <c r="H137" s="210"/>
      <c r="I137" s="99"/>
      <c r="J137" s="210">
        <f t="shared" si="2"/>
        <v>0</v>
      </c>
      <c r="K137" s="158"/>
      <c r="L137" s="99"/>
      <c r="M137" s="99">
        <f>J137</f>
        <v>0</v>
      </c>
    </row>
    <row r="138" spans="1:13" s="213" customFormat="1" ht="16.5" customHeight="1">
      <c r="A138" s="77"/>
      <c r="B138" s="77"/>
      <c r="C138" s="159" t="s">
        <v>127</v>
      </c>
      <c r="D138" s="77" t="s">
        <v>125</v>
      </c>
      <c r="E138" s="99">
        <v>0.0206</v>
      </c>
      <c r="F138" s="38">
        <f>F133*E138</f>
        <v>0.1236</v>
      </c>
      <c r="G138" s="99"/>
      <c r="H138" s="210"/>
      <c r="I138" s="99"/>
      <c r="J138" s="210">
        <f t="shared" si="2"/>
        <v>0</v>
      </c>
      <c r="K138" s="158"/>
      <c r="L138" s="99"/>
      <c r="M138" s="99">
        <f>J138</f>
        <v>0</v>
      </c>
    </row>
    <row r="139" spans="1:13" s="215" customFormat="1" ht="16.5">
      <c r="A139" s="77">
        <v>5</v>
      </c>
      <c r="B139" s="77" t="s">
        <v>285</v>
      </c>
      <c r="C139" s="100" t="s">
        <v>286</v>
      </c>
      <c r="D139" s="76" t="s">
        <v>19</v>
      </c>
      <c r="E139" s="99"/>
      <c r="F139" s="67">
        <v>2</v>
      </c>
      <c r="G139" s="158"/>
      <c r="H139" s="210"/>
      <c r="I139" s="158"/>
      <c r="J139" s="210"/>
      <c r="K139" s="158"/>
      <c r="L139" s="99"/>
      <c r="M139" s="99"/>
    </row>
    <row r="140" spans="1:13" s="215" customFormat="1" ht="16.5">
      <c r="A140" s="77"/>
      <c r="B140" s="77"/>
      <c r="C140" s="159" t="s">
        <v>123</v>
      </c>
      <c r="D140" s="77" t="s">
        <v>16</v>
      </c>
      <c r="E140" s="99">
        <v>2.72</v>
      </c>
      <c r="F140" s="99">
        <f>F139*E140</f>
        <v>5.44</v>
      </c>
      <c r="G140" s="99"/>
      <c r="H140" s="210">
        <f>F140*G140</f>
        <v>0</v>
      </c>
      <c r="I140" s="158"/>
      <c r="J140" s="210"/>
      <c r="K140" s="158"/>
      <c r="L140" s="99"/>
      <c r="M140" s="99">
        <f>H140</f>
        <v>0</v>
      </c>
    </row>
    <row r="141" spans="1:13" s="215" customFormat="1" ht="16.5">
      <c r="A141" s="77"/>
      <c r="B141" s="77"/>
      <c r="C141" s="159" t="s">
        <v>287</v>
      </c>
      <c r="D141" s="77" t="s">
        <v>19</v>
      </c>
      <c r="E141" s="99">
        <v>1</v>
      </c>
      <c r="F141" s="99">
        <f>F139*E141</f>
        <v>2</v>
      </c>
      <c r="G141" s="158"/>
      <c r="H141" s="210"/>
      <c r="I141" s="99"/>
      <c r="J141" s="210">
        <f t="shared" si="2"/>
        <v>0</v>
      </c>
      <c r="K141" s="158"/>
      <c r="L141" s="99"/>
      <c r="M141" s="99">
        <f>J141</f>
        <v>0</v>
      </c>
    </row>
    <row r="142" spans="1:13" s="215" customFormat="1" ht="16.5">
      <c r="A142" s="77"/>
      <c r="B142" s="77" t="s">
        <v>278</v>
      </c>
      <c r="C142" s="159" t="s">
        <v>288</v>
      </c>
      <c r="D142" s="77" t="s">
        <v>277</v>
      </c>
      <c r="E142" s="99">
        <v>0.024</v>
      </c>
      <c r="F142" s="99">
        <f>F139*E142</f>
        <v>0.048</v>
      </c>
      <c r="G142" s="158"/>
      <c r="H142" s="210"/>
      <c r="I142" s="158"/>
      <c r="J142" s="210"/>
      <c r="K142" s="99"/>
      <c r="L142" s="99">
        <f>F142*K142</f>
        <v>0</v>
      </c>
      <c r="M142" s="99">
        <f>L142</f>
        <v>0</v>
      </c>
    </row>
    <row r="143" spans="1:13" s="215" customFormat="1" ht="16.5">
      <c r="A143" s="77"/>
      <c r="B143" s="77" t="s">
        <v>289</v>
      </c>
      <c r="C143" s="159" t="s">
        <v>290</v>
      </c>
      <c r="D143" s="77" t="s">
        <v>277</v>
      </c>
      <c r="E143" s="99">
        <v>0.628</v>
      </c>
      <c r="F143" s="99">
        <f>F139*E143</f>
        <v>1.256</v>
      </c>
      <c r="G143" s="158"/>
      <c r="H143" s="210"/>
      <c r="I143" s="158"/>
      <c r="J143" s="210"/>
      <c r="K143" s="99"/>
      <c r="L143" s="99">
        <f>F143*K143</f>
        <v>0</v>
      </c>
      <c r="M143" s="99">
        <f>L143</f>
        <v>0</v>
      </c>
    </row>
    <row r="144" spans="1:13" s="214" customFormat="1" ht="15.75">
      <c r="A144" s="77">
        <v>6</v>
      </c>
      <c r="B144" s="77" t="s">
        <v>251</v>
      </c>
      <c r="C144" s="100" t="s">
        <v>292</v>
      </c>
      <c r="D144" s="76" t="s">
        <v>19</v>
      </c>
      <c r="E144" s="99"/>
      <c r="F144" s="67">
        <v>4.4</v>
      </c>
      <c r="G144" s="158"/>
      <c r="H144" s="210"/>
      <c r="I144" s="99"/>
      <c r="J144" s="210"/>
      <c r="K144" s="158"/>
      <c r="L144" s="99"/>
      <c r="M144" s="99"/>
    </row>
    <row r="145" spans="1:13" s="214" customFormat="1" ht="15.75">
      <c r="A145" s="77"/>
      <c r="B145" s="171"/>
      <c r="C145" s="159" t="s">
        <v>123</v>
      </c>
      <c r="D145" s="77" t="s">
        <v>16</v>
      </c>
      <c r="E145" s="99">
        <v>1.11</v>
      </c>
      <c r="F145" s="99">
        <f>F144*E145</f>
        <v>4.884000000000001</v>
      </c>
      <c r="G145" s="99"/>
      <c r="H145" s="210">
        <f>F145*G145</f>
        <v>0</v>
      </c>
      <c r="I145" s="157"/>
      <c r="J145" s="210"/>
      <c r="K145" s="157"/>
      <c r="L145" s="99"/>
      <c r="M145" s="99">
        <f>H145</f>
        <v>0</v>
      </c>
    </row>
    <row r="146" spans="1:13" s="214" customFormat="1" ht="15.75">
      <c r="A146" s="77"/>
      <c r="B146" s="77"/>
      <c r="C146" s="159" t="s">
        <v>124</v>
      </c>
      <c r="D146" s="77" t="s">
        <v>125</v>
      </c>
      <c r="E146" s="99">
        <v>0.516</v>
      </c>
      <c r="F146" s="99">
        <f>F144*E146</f>
        <v>2.2704000000000004</v>
      </c>
      <c r="G146" s="158"/>
      <c r="H146" s="210"/>
      <c r="I146" s="157"/>
      <c r="J146" s="210"/>
      <c r="K146" s="99"/>
      <c r="L146" s="99">
        <f>F146*K146</f>
        <v>0</v>
      </c>
      <c r="M146" s="99">
        <f>L146</f>
        <v>0</v>
      </c>
    </row>
    <row r="147" spans="1:13" s="214" customFormat="1" ht="15.75">
      <c r="A147" s="77"/>
      <c r="B147" s="77"/>
      <c r="C147" s="159" t="s">
        <v>291</v>
      </c>
      <c r="D147" s="77" t="s">
        <v>19</v>
      </c>
      <c r="E147" s="99">
        <v>1</v>
      </c>
      <c r="F147" s="99">
        <f>F144*E147</f>
        <v>4.4</v>
      </c>
      <c r="G147" s="158"/>
      <c r="H147" s="210"/>
      <c r="I147" s="99"/>
      <c r="J147" s="210">
        <f>F147*I147</f>
        <v>0</v>
      </c>
      <c r="K147" s="157"/>
      <c r="L147" s="99"/>
      <c r="M147" s="99">
        <f>J147</f>
        <v>0</v>
      </c>
    </row>
    <row r="148" spans="1:13" s="214" customFormat="1" ht="16.5" thickBot="1">
      <c r="A148" s="77"/>
      <c r="B148" s="77"/>
      <c r="C148" s="159" t="s">
        <v>127</v>
      </c>
      <c r="D148" s="77" t="s">
        <v>125</v>
      </c>
      <c r="E148" s="99">
        <v>0.054</v>
      </c>
      <c r="F148" s="99">
        <f>F144*E148</f>
        <v>0.2376</v>
      </c>
      <c r="G148" s="158"/>
      <c r="H148" s="210"/>
      <c r="I148" s="99"/>
      <c r="J148" s="210">
        <f>F148*I148</f>
        <v>0</v>
      </c>
      <c r="K148" s="157"/>
      <c r="L148" s="99"/>
      <c r="M148" s="99">
        <f>J148</f>
        <v>0</v>
      </c>
    </row>
    <row r="149" spans="1:13" s="386" customFormat="1" ht="27">
      <c r="A149" s="381">
        <v>30</v>
      </c>
      <c r="B149" s="382" t="s">
        <v>45</v>
      </c>
      <c r="C149" s="97" t="s">
        <v>380</v>
      </c>
      <c r="D149" s="505" t="s">
        <v>19</v>
      </c>
      <c r="E149" s="506"/>
      <c r="F149" s="507">
        <v>4.4</v>
      </c>
      <c r="G149" s="383"/>
      <c r="H149" s="384"/>
      <c r="I149" s="385"/>
      <c r="J149" s="210"/>
      <c r="K149" s="383"/>
      <c r="L149" s="384"/>
      <c r="M149" s="384"/>
    </row>
    <row r="150" spans="1:13" s="392" customFormat="1" ht="13.5">
      <c r="A150" s="387"/>
      <c r="B150" s="388"/>
      <c r="C150" s="389" t="s">
        <v>123</v>
      </c>
      <c r="D150" s="390" t="s">
        <v>16</v>
      </c>
      <c r="E150" s="403">
        <v>7.65</v>
      </c>
      <c r="F150" s="384">
        <f>F149*E150</f>
        <v>33.660000000000004</v>
      </c>
      <c r="G150" s="384"/>
      <c r="H150" s="384">
        <f>F150*G150</f>
        <v>0</v>
      </c>
      <c r="I150" s="391"/>
      <c r="J150" s="210"/>
      <c r="K150" s="391"/>
      <c r="L150" s="384"/>
      <c r="M150" s="384">
        <f>H150</f>
        <v>0</v>
      </c>
    </row>
    <row r="151" spans="1:13" s="392" customFormat="1" ht="13.5">
      <c r="A151" s="387"/>
      <c r="B151" s="393"/>
      <c r="C151" s="389" t="s">
        <v>124</v>
      </c>
      <c r="D151" s="27" t="s">
        <v>125</v>
      </c>
      <c r="E151" s="403">
        <v>0.348</v>
      </c>
      <c r="F151" s="384">
        <f>F149*E151</f>
        <v>1.5312000000000001</v>
      </c>
      <c r="G151" s="391"/>
      <c r="H151" s="384"/>
      <c r="I151" s="391"/>
      <c r="J151" s="210"/>
      <c r="K151" s="384"/>
      <c r="L151" s="384">
        <f>F151*K151</f>
        <v>0</v>
      </c>
      <c r="M151" s="384">
        <f>L151</f>
        <v>0</v>
      </c>
    </row>
    <row r="152" spans="1:13" s="396" customFormat="1" ht="13.5">
      <c r="A152" s="394"/>
      <c r="B152" s="395"/>
      <c r="C152" s="389" t="s">
        <v>381</v>
      </c>
      <c r="D152" s="386" t="s">
        <v>19</v>
      </c>
      <c r="E152" s="404">
        <v>1</v>
      </c>
      <c r="F152" s="385">
        <f>F149*E152</f>
        <v>4.4</v>
      </c>
      <c r="G152" s="383"/>
      <c r="H152" s="384"/>
      <c r="I152" s="385"/>
      <c r="J152" s="210">
        <f>F152*I152</f>
        <v>0</v>
      </c>
      <c r="K152" s="383"/>
      <c r="L152" s="384"/>
      <c r="M152" s="384">
        <f>J152</f>
        <v>0</v>
      </c>
    </row>
    <row r="153" spans="1:13" s="27" customFormat="1" ht="14.25" thickBot="1">
      <c r="A153" s="397"/>
      <c r="B153" s="398"/>
      <c r="C153" s="399" t="s">
        <v>127</v>
      </c>
      <c r="D153" s="400" t="s">
        <v>125</v>
      </c>
      <c r="E153" s="405">
        <v>0.656</v>
      </c>
      <c r="F153" s="384">
        <f>F149*E153</f>
        <v>2.8864000000000005</v>
      </c>
      <c r="G153" s="391"/>
      <c r="H153" s="384"/>
      <c r="I153" s="384"/>
      <c r="J153" s="210">
        <f>F153*I153</f>
        <v>0</v>
      </c>
      <c r="K153" s="391"/>
      <c r="L153" s="384"/>
      <c r="M153" s="384">
        <f>J153</f>
        <v>0</v>
      </c>
    </row>
    <row r="154" spans="1:13" s="40" customFormat="1" ht="27">
      <c r="A154" s="35">
        <v>7</v>
      </c>
      <c r="B154" s="262" t="s">
        <v>223</v>
      </c>
      <c r="C154" s="100" t="s">
        <v>224</v>
      </c>
      <c r="D154" s="100" t="s">
        <v>19</v>
      </c>
      <c r="E154" s="36"/>
      <c r="F154" s="200">
        <v>60</v>
      </c>
      <c r="G154" s="83"/>
      <c r="H154" s="210"/>
      <c r="I154" s="36"/>
      <c r="J154" s="210"/>
      <c r="K154" s="83"/>
      <c r="L154" s="99"/>
      <c r="M154" s="99"/>
    </row>
    <row r="155" spans="1:13" s="42" customFormat="1" ht="13.5">
      <c r="A155" s="35"/>
      <c r="B155" s="35"/>
      <c r="C155" s="41" t="s">
        <v>123</v>
      </c>
      <c r="D155" s="35" t="s">
        <v>16</v>
      </c>
      <c r="E155" s="36">
        <v>0.539</v>
      </c>
      <c r="F155" s="36">
        <f>F154*E155</f>
        <v>32.34</v>
      </c>
      <c r="G155" s="36"/>
      <c r="H155" s="210">
        <f>F155*G155</f>
        <v>0</v>
      </c>
      <c r="I155" s="84"/>
      <c r="J155" s="210"/>
      <c r="K155" s="84"/>
      <c r="L155" s="99"/>
      <c r="M155" s="99">
        <f>H155</f>
        <v>0</v>
      </c>
    </row>
    <row r="156" spans="1:13" s="42" customFormat="1" ht="13.5">
      <c r="A156" s="35"/>
      <c r="B156" s="35"/>
      <c r="C156" s="41" t="s">
        <v>124</v>
      </c>
      <c r="D156" s="35" t="s">
        <v>125</v>
      </c>
      <c r="E156" s="36">
        <v>0.0182</v>
      </c>
      <c r="F156" s="36">
        <f>F154*E156</f>
        <v>1.092</v>
      </c>
      <c r="G156" s="83"/>
      <c r="H156" s="210"/>
      <c r="I156" s="84"/>
      <c r="J156" s="210"/>
      <c r="K156" s="36"/>
      <c r="L156" s="99">
        <f>F156*K156</f>
        <v>0</v>
      </c>
      <c r="M156" s="99">
        <f>L156</f>
        <v>0</v>
      </c>
    </row>
    <row r="157" spans="1:13" s="42" customFormat="1" ht="13.5">
      <c r="A157" s="35"/>
      <c r="B157" s="35"/>
      <c r="C157" s="41" t="s">
        <v>225</v>
      </c>
      <c r="D157" s="35" t="s">
        <v>158</v>
      </c>
      <c r="E157" s="36">
        <v>0.042</v>
      </c>
      <c r="F157" s="36">
        <f>F154*E157</f>
        <v>2.52</v>
      </c>
      <c r="G157" s="83"/>
      <c r="H157" s="210"/>
      <c r="I157" s="36"/>
      <c r="J157" s="210">
        <f>F157*I157</f>
        <v>0</v>
      </c>
      <c r="K157" s="84"/>
      <c r="L157" s="99"/>
      <c r="M157" s="99">
        <f>J157</f>
        <v>0</v>
      </c>
    </row>
    <row r="158" spans="1:13" s="42" customFormat="1" ht="13.5">
      <c r="A158" s="35"/>
      <c r="B158" s="35"/>
      <c r="C158" s="41" t="s">
        <v>226</v>
      </c>
      <c r="D158" s="35" t="s">
        <v>19</v>
      </c>
      <c r="E158" s="36">
        <v>1.05</v>
      </c>
      <c r="F158" s="36">
        <f>F154*E158</f>
        <v>63</v>
      </c>
      <c r="G158" s="83"/>
      <c r="H158" s="210"/>
      <c r="I158" s="36"/>
      <c r="J158" s="210">
        <f>F158*I158</f>
        <v>0</v>
      </c>
      <c r="K158" s="84"/>
      <c r="L158" s="99"/>
      <c r="M158" s="99">
        <f>J158</f>
        <v>0</v>
      </c>
    </row>
    <row r="159" spans="1:14" s="237" customFormat="1" ht="27">
      <c r="A159" s="248">
        <v>24</v>
      </c>
      <c r="B159" s="265" t="s">
        <v>362</v>
      </c>
      <c r="C159" s="100" t="s">
        <v>363</v>
      </c>
      <c r="D159" s="380" t="s">
        <v>19</v>
      </c>
      <c r="E159" s="239"/>
      <c r="F159" s="266">
        <v>420</v>
      </c>
      <c r="G159" s="241"/>
      <c r="H159" s="240"/>
      <c r="I159" s="239"/>
      <c r="J159" s="242"/>
      <c r="K159" s="241"/>
      <c r="L159" s="240"/>
      <c r="M159" s="267"/>
      <c r="N159" s="545"/>
    </row>
    <row r="160" spans="1:14" s="237" customFormat="1" ht="15.75">
      <c r="A160" s="248"/>
      <c r="B160" s="248"/>
      <c r="C160" s="41" t="s">
        <v>196</v>
      </c>
      <c r="D160" s="248" t="s">
        <v>16</v>
      </c>
      <c r="E160" s="239">
        <v>0.391</v>
      </c>
      <c r="F160" s="238">
        <f>F159*E160</f>
        <v>164.22</v>
      </c>
      <c r="G160" s="239"/>
      <c r="H160" s="240">
        <f>F160*G160</f>
        <v>0</v>
      </c>
      <c r="I160" s="241"/>
      <c r="J160" s="242"/>
      <c r="K160" s="241"/>
      <c r="L160" s="240"/>
      <c r="M160" s="267">
        <f>H160</f>
        <v>0</v>
      </c>
      <c r="N160" s="545"/>
    </row>
    <row r="161" spans="1:14" s="237" customFormat="1" ht="15.75">
      <c r="A161" s="248"/>
      <c r="B161" s="248"/>
      <c r="C161" s="41" t="s">
        <v>124</v>
      </c>
      <c r="D161" s="248" t="s">
        <v>125</v>
      </c>
      <c r="E161" s="239">
        <v>0.0284</v>
      </c>
      <c r="F161" s="238">
        <f>F159*E161</f>
        <v>11.928</v>
      </c>
      <c r="G161" s="241"/>
      <c r="H161" s="240"/>
      <c r="I161" s="241"/>
      <c r="J161" s="242"/>
      <c r="K161" s="239"/>
      <c r="L161" s="240">
        <f>K161*F161</f>
        <v>0</v>
      </c>
      <c r="M161" s="239">
        <f>L161</f>
        <v>0</v>
      </c>
      <c r="N161" s="545"/>
    </row>
    <row r="162" spans="1:14" s="237" customFormat="1" ht="27">
      <c r="A162" s="248"/>
      <c r="B162" s="265"/>
      <c r="C162" s="268" t="s">
        <v>364</v>
      </c>
      <c r="D162" s="248" t="s">
        <v>19</v>
      </c>
      <c r="E162" s="239">
        <v>1.05</v>
      </c>
      <c r="F162" s="238">
        <f>F159*E162</f>
        <v>441</v>
      </c>
      <c r="G162" s="241"/>
      <c r="H162" s="240"/>
      <c r="I162" s="239"/>
      <c r="J162" s="242">
        <f>I162*F162</f>
        <v>0</v>
      </c>
      <c r="K162" s="241"/>
      <c r="L162" s="240"/>
      <c r="M162" s="269">
        <f>J162</f>
        <v>0</v>
      </c>
      <c r="N162" s="545"/>
    </row>
    <row r="163" spans="1:14" s="237" customFormat="1" ht="15.75">
      <c r="A163" s="248"/>
      <c r="B163" s="248"/>
      <c r="C163" s="41" t="s">
        <v>365</v>
      </c>
      <c r="D163" s="248" t="s">
        <v>158</v>
      </c>
      <c r="E163" s="239">
        <v>0.072</v>
      </c>
      <c r="F163" s="238">
        <f>F159*E163</f>
        <v>30.24</v>
      </c>
      <c r="G163" s="248"/>
      <c r="H163" s="240"/>
      <c r="I163" s="239"/>
      <c r="J163" s="242">
        <f>I163*F163</f>
        <v>0</v>
      </c>
      <c r="K163" s="241"/>
      <c r="L163" s="240"/>
      <c r="M163" s="239">
        <f>J163</f>
        <v>0</v>
      </c>
      <c r="N163" s="545"/>
    </row>
    <row r="164" spans="1:14" s="237" customFormat="1" ht="15.75">
      <c r="A164" s="248"/>
      <c r="B164" s="248"/>
      <c r="C164" s="41" t="s">
        <v>366</v>
      </c>
      <c r="D164" s="248" t="s">
        <v>19</v>
      </c>
      <c r="E164" s="239">
        <v>1.05</v>
      </c>
      <c r="F164" s="238">
        <f>F159*E164</f>
        <v>441</v>
      </c>
      <c r="G164" s="239"/>
      <c r="H164" s="240"/>
      <c r="I164" s="239"/>
      <c r="J164" s="242">
        <f>I164*F164</f>
        <v>0</v>
      </c>
      <c r="K164" s="241"/>
      <c r="L164" s="240"/>
      <c r="M164" s="239">
        <f>J164</f>
        <v>0</v>
      </c>
      <c r="N164" s="545"/>
    </row>
    <row r="165" spans="1:14" s="237" customFormat="1" ht="15.75">
      <c r="A165" s="248"/>
      <c r="B165" s="248"/>
      <c r="C165" s="41" t="s">
        <v>127</v>
      </c>
      <c r="D165" s="248" t="s">
        <v>125</v>
      </c>
      <c r="E165" s="239">
        <v>0.0317</v>
      </c>
      <c r="F165" s="238">
        <f>F159*E165</f>
        <v>13.314</v>
      </c>
      <c r="G165" s="241"/>
      <c r="H165" s="240"/>
      <c r="I165" s="239"/>
      <c r="J165" s="242">
        <f>I165*F165</f>
        <v>0</v>
      </c>
      <c r="K165" s="241"/>
      <c r="L165" s="240"/>
      <c r="M165" s="239">
        <f>J165</f>
        <v>0</v>
      </c>
      <c r="N165" s="545"/>
    </row>
    <row r="166" spans="1:19" s="198" customFormat="1" ht="80.25" customHeight="1">
      <c r="A166" s="270">
        <v>9</v>
      </c>
      <c r="B166" s="209" t="s">
        <v>44</v>
      </c>
      <c r="C166" s="100" t="s">
        <v>367</v>
      </c>
      <c r="D166" s="100" t="s">
        <v>86</v>
      </c>
      <c r="E166" s="249"/>
      <c r="F166" s="275">
        <v>2</v>
      </c>
      <c r="G166" s="249"/>
      <c r="H166" s="210"/>
      <c r="I166" s="249"/>
      <c r="J166" s="210"/>
      <c r="K166" s="249"/>
      <c r="L166" s="99"/>
      <c r="M166" s="99"/>
      <c r="S166" s="42"/>
    </row>
    <row r="167" spans="1:19" s="198" customFormat="1" ht="13.5">
      <c r="A167" s="47"/>
      <c r="B167" s="209"/>
      <c r="C167" s="41" t="s">
        <v>48</v>
      </c>
      <c r="D167" s="35" t="s">
        <v>49</v>
      </c>
      <c r="E167" s="249">
        <v>38.8</v>
      </c>
      <c r="F167" s="249">
        <f>E167*F166</f>
        <v>77.6</v>
      </c>
      <c r="G167" s="249"/>
      <c r="H167" s="210">
        <f>F167*G167</f>
        <v>0</v>
      </c>
      <c r="I167" s="249"/>
      <c r="J167" s="210"/>
      <c r="K167" s="249"/>
      <c r="L167" s="99"/>
      <c r="M167" s="99">
        <f>H167</f>
        <v>0</v>
      </c>
      <c r="S167" s="42"/>
    </row>
    <row r="168" spans="1:19" s="198" customFormat="1" ht="13.5">
      <c r="A168" s="47"/>
      <c r="B168" s="209"/>
      <c r="C168" s="41" t="s">
        <v>50</v>
      </c>
      <c r="D168" s="35" t="s">
        <v>51</v>
      </c>
      <c r="E168" s="249">
        <v>0.03</v>
      </c>
      <c r="F168" s="249">
        <f>E168*F166</f>
        <v>0.06</v>
      </c>
      <c r="G168" s="249"/>
      <c r="H168" s="210"/>
      <c r="I168" s="249"/>
      <c r="J168" s="210"/>
      <c r="K168" s="249"/>
      <c r="L168" s="99">
        <f>F168*K168</f>
        <v>0</v>
      </c>
      <c r="M168" s="99">
        <f>L168</f>
        <v>0</v>
      </c>
      <c r="S168" s="42"/>
    </row>
    <row r="169" spans="1:19" s="198" customFormat="1" ht="13.5">
      <c r="A169" s="47"/>
      <c r="B169" s="209"/>
      <c r="C169" s="209" t="s">
        <v>98</v>
      </c>
      <c r="D169" s="35" t="s">
        <v>75</v>
      </c>
      <c r="E169" s="249">
        <v>24.6</v>
      </c>
      <c r="F169" s="249">
        <f>E169*F166</f>
        <v>49.2</v>
      </c>
      <c r="G169" s="249"/>
      <c r="H169" s="210"/>
      <c r="I169" s="249"/>
      <c r="J169" s="210">
        <f>F169*I169</f>
        <v>0</v>
      </c>
      <c r="K169" s="249"/>
      <c r="L169" s="99"/>
      <c r="M169" s="99">
        <f>J169</f>
        <v>0</v>
      </c>
      <c r="S169" s="42"/>
    </row>
    <row r="170" spans="1:19" s="199" customFormat="1" ht="13.5">
      <c r="A170" s="47"/>
      <c r="B170" s="209"/>
      <c r="C170" s="209" t="s">
        <v>97</v>
      </c>
      <c r="D170" s="35" t="s">
        <v>75</v>
      </c>
      <c r="E170" s="249">
        <v>2.7</v>
      </c>
      <c r="F170" s="249">
        <f>E170*F166</f>
        <v>5.4</v>
      </c>
      <c r="G170" s="249"/>
      <c r="H170" s="210"/>
      <c r="I170" s="249"/>
      <c r="J170" s="210">
        <f>F170*I170</f>
        <v>0</v>
      </c>
      <c r="K170" s="249"/>
      <c r="L170" s="99"/>
      <c r="M170" s="99">
        <f>J170</f>
        <v>0</v>
      </c>
      <c r="S170" s="78"/>
    </row>
    <row r="171" spans="1:19" s="199" customFormat="1" ht="13.5">
      <c r="A171" s="47"/>
      <c r="B171" s="209"/>
      <c r="C171" s="209" t="s">
        <v>74</v>
      </c>
      <c r="D171" s="47" t="s">
        <v>51</v>
      </c>
      <c r="E171" s="249">
        <v>0.19</v>
      </c>
      <c r="F171" s="249">
        <f>E171*F166</f>
        <v>0.38</v>
      </c>
      <c r="G171" s="249"/>
      <c r="H171" s="210"/>
      <c r="I171" s="249"/>
      <c r="J171" s="210">
        <f>F171*I171</f>
        <v>0</v>
      </c>
      <c r="K171" s="249"/>
      <c r="L171" s="99"/>
      <c r="M171" s="99">
        <f>J171</f>
        <v>0</v>
      </c>
      <c r="S171" s="78"/>
    </row>
    <row r="172" spans="1:23" s="155" customFormat="1" ht="13.5">
      <c r="A172" s="77">
        <v>10</v>
      </c>
      <c r="B172" s="77" t="s">
        <v>28</v>
      </c>
      <c r="C172" s="100" t="s">
        <v>132</v>
      </c>
      <c r="D172" s="195" t="s">
        <v>47</v>
      </c>
      <c r="E172" s="99"/>
      <c r="F172" s="67">
        <v>400</v>
      </c>
      <c r="G172" s="77"/>
      <c r="H172" s="210"/>
      <c r="I172" s="99"/>
      <c r="J172" s="210"/>
      <c r="K172" s="158"/>
      <c r="L172" s="99"/>
      <c r="M172" s="99"/>
      <c r="T172" s="78"/>
      <c r="U172" s="78"/>
      <c r="V172" s="78"/>
      <c r="W172" s="78"/>
    </row>
    <row r="173" spans="1:23" s="155" customFormat="1" ht="13.5">
      <c r="A173" s="77"/>
      <c r="B173" s="77"/>
      <c r="C173" s="159" t="s">
        <v>48</v>
      </c>
      <c r="D173" s="77" t="s">
        <v>49</v>
      </c>
      <c r="E173" s="99">
        <v>0.994</v>
      </c>
      <c r="F173" s="99">
        <f>F172*E173</f>
        <v>397.6</v>
      </c>
      <c r="G173" s="99"/>
      <c r="H173" s="210">
        <f>F173*G173</f>
        <v>0</v>
      </c>
      <c r="I173" s="157"/>
      <c r="J173" s="210"/>
      <c r="K173" s="157"/>
      <c r="L173" s="99"/>
      <c r="M173" s="99">
        <f>H173</f>
        <v>0</v>
      </c>
      <c r="T173" s="78"/>
      <c r="U173" s="78"/>
      <c r="V173" s="78"/>
      <c r="W173" s="78"/>
    </row>
    <row r="174" spans="1:23" s="155" customFormat="1" ht="13.5">
      <c r="A174" s="77"/>
      <c r="B174" s="77"/>
      <c r="C174" s="159" t="s">
        <v>50</v>
      </c>
      <c r="D174" s="166" t="s">
        <v>51</v>
      </c>
      <c r="E174" s="99">
        <v>0.0251</v>
      </c>
      <c r="F174" s="99">
        <f>F172*E174</f>
        <v>10.040000000000001</v>
      </c>
      <c r="G174" s="158"/>
      <c r="H174" s="210"/>
      <c r="I174" s="157"/>
      <c r="J174" s="210"/>
      <c r="K174" s="99"/>
      <c r="L174" s="99">
        <f>F174*K174</f>
        <v>0</v>
      </c>
      <c r="M174" s="99">
        <f>L174</f>
        <v>0</v>
      </c>
      <c r="T174" s="78"/>
      <c r="U174" s="78"/>
      <c r="V174" s="78"/>
      <c r="W174" s="78"/>
    </row>
    <row r="175" spans="1:23" s="155" customFormat="1" ht="13.5">
      <c r="A175" s="77"/>
      <c r="B175" s="77"/>
      <c r="C175" s="159" t="s">
        <v>83</v>
      </c>
      <c r="D175" s="77" t="s">
        <v>75</v>
      </c>
      <c r="E175" s="99">
        <v>0.5</v>
      </c>
      <c r="F175" s="99">
        <f>F172*E175</f>
        <v>200</v>
      </c>
      <c r="G175" s="158"/>
      <c r="H175" s="210"/>
      <c r="I175" s="99"/>
      <c r="J175" s="210">
        <f>F175*I175</f>
        <v>0</v>
      </c>
      <c r="K175" s="157"/>
      <c r="L175" s="99"/>
      <c r="M175" s="99">
        <f>J175</f>
        <v>0</v>
      </c>
      <c r="T175" s="78"/>
      <c r="U175" s="78"/>
      <c r="V175" s="78"/>
      <c r="W175" s="78"/>
    </row>
    <row r="176" spans="1:23" s="155" customFormat="1" ht="13.5">
      <c r="A176" s="77"/>
      <c r="B176" s="77"/>
      <c r="C176" s="159" t="s">
        <v>133</v>
      </c>
      <c r="D176" s="77" t="s">
        <v>47</v>
      </c>
      <c r="E176" s="99">
        <v>1.02</v>
      </c>
      <c r="F176" s="99">
        <f>F172*E176</f>
        <v>408</v>
      </c>
      <c r="G176" s="99"/>
      <c r="H176" s="210"/>
      <c r="I176" s="99"/>
      <c r="J176" s="210">
        <f>F176*I176</f>
        <v>0</v>
      </c>
      <c r="K176" s="157"/>
      <c r="L176" s="99"/>
      <c r="M176" s="99">
        <f>J176</f>
        <v>0</v>
      </c>
      <c r="T176" s="78"/>
      <c r="U176" s="78"/>
      <c r="V176" s="78"/>
      <c r="W176" s="78"/>
    </row>
    <row r="177" spans="1:23" s="155" customFormat="1" ht="13.5">
      <c r="A177" s="77"/>
      <c r="B177" s="77"/>
      <c r="C177" s="159" t="s">
        <v>84</v>
      </c>
      <c r="D177" s="77" t="s">
        <v>47</v>
      </c>
      <c r="E177" s="99">
        <v>1.02</v>
      </c>
      <c r="F177" s="99">
        <f>F172*E177</f>
        <v>408</v>
      </c>
      <c r="G177" s="99"/>
      <c r="H177" s="210"/>
      <c r="I177" s="99"/>
      <c r="J177" s="210">
        <f>F177*I177</f>
        <v>0</v>
      </c>
      <c r="K177" s="157"/>
      <c r="L177" s="99"/>
      <c r="M177" s="99">
        <f>J177</f>
        <v>0</v>
      </c>
      <c r="T177" s="78"/>
      <c r="U177" s="78"/>
      <c r="V177" s="78"/>
      <c r="W177" s="78"/>
    </row>
    <row r="178" spans="1:23" s="43" customFormat="1" ht="13.5">
      <c r="A178" s="77"/>
      <c r="B178" s="77"/>
      <c r="C178" s="159" t="s">
        <v>85</v>
      </c>
      <c r="D178" s="77" t="s">
        <v>59</v>
      </c>
      <c r="E178" s="99" t="s">
        <v>194</v>
      </c>
      <c r="F178" s="99">
        <v>700</v>
      </c>
      <c r="G178" s="158"/>
      <c r="H178" s="210"/>
      <c r="I178" s="99"/>
      <c r="J178" s="210">
        <f>F178*I178</f>
        <v>0</v>
      </c>
      <c r="K178" s="157"/>
      <c r="L178" s="99"/>
      <c r="M178" s="99">
        <f>J178</f>
        <v>0</v>
      </c>
      <c r="T178" s="42"/>
      <c r="U178" s="42"/>
      <c r="V178" s="42"/>
      <c r="W178" s="42"/>
    </row>
    <row r="179" spans="1:23" s="43" customFormat="1" ht="13.5">
      <c r="A179" s="77"/>
      <c r="B179" s="77"/>
      <c r="C179" s="159" t="s">
        <v>74</v>
      </c>
      <c r="D179" s="77" t="s">
        <v>51</v>
      </c>
      <c r="E179" s="99">
        <v>0.182</v>
      </c>
      <c r="F179" s="99">
        <f>F172*E179</f>
        <v>72.8</v>
      </c>
      <c r="G179" s="158"/>
      <c r="H179" s="210"/>
      <c r="I179" s="99"/>
      <c r="J179" s="210">
        <f>F179*I179</f>
        <v>0</v>
      </c>
      <c r="K179" s="157"/>
      <c r="L179" s="99"/>
      <c r="M179" s="99">
        <f>J179</f>
        <v>0</v>
      </c>
      <c r="T179" s="42"/>
      <c r="U179" s="42"/>
      <c r="V179" s="42"/>
      <c r="W179" s="42"/>
    </row>
    <row r="180" spans="1:13" s="212" customFormat="1" ht="15.75">
      <c r="A180" s="77">
        <v>11</v>
      </c>
      <c r="B180" s="77" t="s">
        <v>274</v>
      </c>
      <c r="C180" s="100" t="s">
        <v>280</v>
      </c>
      <c r="D180" s="76" t="s">
        <v>19</v>
      </c>
      <c r="E180" s="99"/>
      <c r="F180" s="306">
        <v>5</v>
      </c>
      <c r="G180" s="158"/>
      <c r="H180" s="210"/>
      <c r="I180" s="99"/>
      <c r="J180" s="210"/>
      <c r="K180" s="158"/>
      <c r="L180" s="99"/>
      <c r="M180" s="99"/>
    </row>
    <row r="181" spans="1:13" s="214" customFormat="1" ht="15.75">
      <c r="A181" s="77"/>
      <c r="B181" s="171"/>
      <c r="C181" s="159" t="s">
        <v>123</v>
      </c>
      <c r="D181" s="77" t="s">
        <v>16</v>
      </c>
      <c r="E181" s="99">
        <v>2.72</v>
      </c>
      <c r="F181" s="99">
        <f>F180*E181</f>
        <v>13.600000000000001</v>
      </c>
      <c r="G181" s="99"/>
      <c r="H181" s="210">
        <f>F181*G181</f>
        <v>0</v>
      </c>
      <c r="I181" s="157"/>
      <c r="J181" s="210"/>
      <c r="K181" s="157"/>
      <c r="L181" s="99"/>
      <c r="M181" s="99">
        <f>H181</f>
        <v>0</v>
      </c>
    </row>
    <row r="182" spans="1:13" s="214" customFormat="1" ht="15.75">
      <c r="A182" s="77"/>
      <c r="B182" s="77" t="s">
        <v>275</v>
      </c>
      <c r="C182" s="159" t="s">
        <v>276</v>
      </c>
      <c r="D182" s="77" t="s">
        <v>277</v>
      </c>
      <c r="E182" s="99">
        <v>0.024</v>
      </c>
      <c r="F182" s="99">
        <f>F180*E182</f>
        <v>0.12</v>
      </c>
      <c r="G182" s="158"/>
      <c r="H182" s="210"/>
      <c r="I182" s="157"/>
      <c r="J182" s="210"/>
      <c r="K182" s="99"/>
      <c r="L182" s="99">
        <f>F182*K182</f>
        <v>0</v>
      </c>
      <c r="M182" s="99">
        <f>L182</f>
        <v>0</v>
      </c>
    </row>
    <row r="183" spans="1:13" s="214" customFormat="1" ht="15.75">
      <c r="A183" s="77"/>
      <c r="B183" s="77" t="s">
        <v>278</v>
      </c>
      <c r="C183" s="159" t="s">
        <v>279</v>
      </c>
      <c r="D183" s="77" t="s">
        <v>277</v>
      </c>
      <c r="E183" s="99">
        <v>0.628</v>
      </c>
      <c r="F183" s="99">
        <f>F180*E183</f>
        <v>3.14</v>
      </c>
      <c r="G183" s="158"/>
      <c r="H183" s="210"/>
      <c r="I183" s="157"/>
      <c r="J183" s="210"/>
      <c r="K183" s="99"/>
      <c r="L183" s="99">
        <f>F183*K183</f>
        <v>0</v>
      </c>
      <c r="M183" s="99">
        <f>L183</f>
        <v>0</v>
      </c>
    </row>
    <row r="184" spans="1:13" s="176" customFormat="1" ht="15.75">
      <c r="A184" s="35"/>
      <c r="B184" s="35"/>
      <c r="C184" s="159" t="s">
        <v>281</v>
      </c>
      <c r="D184" s="35" t="s">
        <v>19</v>
      </c>
      <c r="E184" s="36">
        <v>1</v>
      </c>
      <c r="F184" s="36">
        <f>F180*E184</f>
        <v>5</v>
      </c>
      <c r="G184" s="83"/>
      <c r="H184" s="210"/>
      <c r="I184" s="36"/>
      <c r="J184" s="210">
        <f>F184*I184</f>
        <v>0</v>
      </c>
      <c r="K184" s="84"/>
      <c r="L184" s="99"/>
      <c r="M184" s="99">
        <f>J184</f>
        <v>0</v>
      </c>
    </row>
    <row r="185" spans="1:13" s="213" customFormat="1" ht="15.75">
      <c r="A185" s="77">
        <v>15</v>
      </c>
      <c r="B185" s="77" t="s">
        <v>297</v>
      </c>
      <c r="C185" s="100" t="s">
        <v>298</v>
      </c>
      <c r="D185" s="76" t="s">
        <v>19</v>
      </c>
      <c r="E185" s="99"/>
      <c r="F185" s="76">
        <v>22</v>
      </c>
      <c r="G185" s="158"/>
      <c r="H185" s="210"/>
      <c r="I185" s="99"/>
      <c r="J185" s="210"/>
      <c r="K185" s="158"/>
      <c r="L185" s="99"/>
      <c r="M185" s="99"/>
    </row>
    <row r="186" spans="1:13" s="213" customFormat="1" ht="15.75">
      <c r="A186" s="77"/>
      <c r="B186" s="77"/>
      <c r="C186" s="41" t="s">
        <v>196</v>
      </c>
      <c r="D186" s="77" t="s">
        <v>16</v>
      </c>
      <c r="E186" s="99">
        <v>1.53</v>
      </c>
      <c r="F186" s="99">
        <f>F185*E186</f>
        <v>33.660000000000004</v>
      </c>
      <c r="G186" s="99"/>
      <c r="H186" s="210">
        <f>F186*G186</f>
        <v>0</v>
      </c>
      <c r="I186" s="157"/>
      <c r="J186" s="210"/>
      <c r="K186" s="157"/>
      <c r="L186" s="99"/>
      <c r="M186" s="99">
        <f>H186</f>
        <v>0</v>
      </c>
    </row>
    <row r="187" spans="1:13" s="213" customFormat="1" ht="15.75">
      <c r="A187" s="77"/>
      <c r="B187" s="77"/>
      <c r="C187" s="159" t="s">
        <v>124</v>
      </c>
      <c r="D187" s="77" t="s">
        <v>125</v>
      </c>
      <c r="E187" s="99">
        <v>0.043</v>
      </c>
      <c r="F187" s="99">
        <f>F185*E187</f>
        <v>0.946</v>
      </c>
      <c r="G187" s="158"/>
      <c r="H187" s="210"/>
      <c r="I187" s="157"/>
      <c r="J187" s="210"/>
      <c r="K187" s="99"/>
      <c r="L187" s="99">
        <f>F187*K187</f>
        <v>0</v>
      </c>
      <c r="M187" s="99">
        <f>L187</f>
        <v>0</v>
      </c>
    </row>
    <row r="188" spans="1:13" s="123" customFormat="1" ht="15.75">
      <c r="A188" s="35"/>
      <c r="B188" s="35"/>
      <c r="C188" s="159" t="s">
        <v>299</v>
      </c>
      <c r="D188" s="35" t="s">
        <v>19</v>
      </c>
      <c r="E188" s="36">
        <v>1.01</v>
      </c>
      <c r="F188" s="36">
        <f>F185*E188</f>
        <v>22.22</v>
      </c>
      <c r="G188" s="83"/>
      <c r="H188" s="210"/>
      <c r="I188" s="36"/>
      <c r="J188" s="210">
        <f>F188*I188</f>
        <v>0</v>
      </c>
      <c r="K188" s="84"/>
      <c r="L188" s="99"/>
      <c r="M188" s="99">
        <f>J188</f>
        <v>0</v>
      </c>
    </row>
    <row r="189" spans="1:13" s="213" customFormat="1" ht="15.75">
      <c r="A189" s="77"/>
      <c r="B189" s="77"/>
      <c r="C189" s="159" t="s">
        <v>127</v>
      </c>
      <c r="D189" s="77" t="s">
        <v>125</v>
      </c>
      <c r="E189" s="99">
        <v>0.064</v>
      </c>
      <c r="F189" s="99">
        <f>F185*E189</f>
        <v>1.408</v>
      </c>
      <c r="G189" s="77"/>
      <c r="H189" s="210"/>
      <c r="I189" s="99"/>
      <c r="J189" s="210">
        <f>F189*I189</f>
        <v>0</v>
      </c>
      <c r="K189" s="157"/>
      <c r="L189" s="99"/>
      <c r="M189" s="99">
        <f>J189</f>
        <v>0</v>
      </c>
    </row>
    <row r="190" spans="1:13" s="216" customFormat="1" ht="40.5">
      <c r="A190" s="35">
        <v>16</v>
      </c>
      <c r="B190" s="35" t="s">
        <v>304</v>
      </c>
      <c r="C190" s="100" t="s">
        <v>307</v>
      </c>
      <c r="D190" s="100" t="s">
        <v>305</v>
      </c>
      <c r="E190" s="200"/>
      <c r="F190" s="200">
        <v>0.1</v>
      </c>
      <c r="G190" s="36"/>
      <c r="H190" s="210"/>
      <c r="I190" s="201"/>
      <c r="J190" s="210"/>
      <c r="K190" s="201"/>
      <c r="L190" s="99"/>
      <c r="M190" s="99"/>
    </row>
    <row r="191" spans="1:13" s="216" customFormat="1" ht="16.5">
      <c r="A191" s="77"/>
      <c r="B191" s="77" t="s">
        <v>23</v>
      </c>
      <c r="C191" s="159" t="s">
        <v>123</v>
      </c>
      <c r="D191" s="77" t="s">
        <v>173</v>
      </c>
      <c r="E191" s="99">
        <v>100</v>
      </c>
      <c r="F191" s="99">
        <f>F190*E191</f>
        <v>10</v>
      </c>
      <c r="G191" s="99"/>
      <c r="H191" s="210">
        <f>F191*G191</f>
        <v>0</v>
      </c>
      <c r="I191" s="58"/>
      <c r="J191" s="210"/>
      <c r="K191" s="58"/>
      <c r="L191" s="99"/>
      <c r="M191" s="99">
        <f>H191</f>
        <v>0</v>
      </c>
    </row>
    <row r="192" spans="1:13" s="216" customFormat="1" ht="16.5">
      <c r="A192" s="77"/>
      <c r="B192" s="77"/>
      <c r="C192" s="159" t="s">
        <v>124</v>
      </c>
      <c r="D192" s="77" t="s">
        <v>125</v>
      </c>
      <c r="E192" s="99">
        <v>3.6</v>
      </c>
      <c r="F192" s="99">
        <f>F190*E192</f>
        <v>0.36000000000000004</v>
      </c>
      <c r="G192" s="58"/>
      <c r="H192" s="210"/>
      <c r="I192" s="58"/>
      <c r="J192" s="210"/>
      <c r="K192" s="99"/>
      <c r="L192" s="99">
        <f>F192*K192</f>
        <v>0</v>
      </c>
      <c r="M192" s="99">
        <f>L192</f>
        <v>0</v>
      </c>
    </row>
    <row r="193" spans="1:13" s="216" customFormat="1" ht="16.5">
      <c r="A193" s="35"/>
      <c r="B193" s="35"/>
      <c r="C193" s="159" t="s">
        <v>350</v>
      </c>
      <c r="D193" s="35" t="s">
        <v>173</v>
      </c>
      <c r="E193" s="36">
        <v>100</v>
      </c>
      <c r="F193" s="36">
        <f>F190*E193</f>
        <v>10</v>
      </c>
      <c r="G193" s="201"/>
      <c r="H193" s="210"/>
      <c r="I193" s="36"/>
      <c r="J193" s="210">
        <f>F193*I193</f>
        <v>0</v>
      </c>
      <c r="K193" s="201"/>
      <c r="L193" s="99"/>
      <c r="M193" s="99">
        <f>J193</f>
        <v>0</v>
      </c>
    </row>
    <row r="194" spans="1:13" s="216" customFormat="1" ht="16.5">
      <c r="A194" s="77"/>
      <c r="B194" s="77"/>
      <c r="C194" s="159" t="s">
        <v>308</v>
      </c>
      <c r="D194" s="77" t="s">
        <v>306</v>
      </c>
      <c r="E194" s="99">
        <v>0.15</v>
      </c>
      <c r="F194" s="99">
        <f>F190*E194</f>
        <v>0.015</v>
      </c>
      <c r="G194" s="58"/>
      <c r="H194" s="210"/>
      <c r="I194" s="99"/>
      <c r="J194" s="210">
        <f>F194*I194</f>
        <v>0</v>
      </c>
      <c r="K194" s="58"/>
      <c r="L194" s="99"/>
      <c r="M194" s="99">
        <f>J194</f>
        <v>0</v>
      </c>
    </row>
    <row r="195" spans="1:13" s="216" customFormat="1" ht="16.5">
      <c r="A195" s="77"/>
      <c r="B195" s="77"/>
      <c r="C195" s="159" t="s">
        <v>127</v>
      </c>
      <c r="D195" s="77" t="s">
        <v>125</v>
      </c>
      <c r="E195" s="99">
        <v>43.2</v>
      </c>
      <c r="F195" s="99">
        <f>F190*E195</f>
        <v>4.32</v>
      </c>
      <c r="G195" s="58"/>
      <c r="H195" s="210"/>
      <c r="I195" s="99"/>
      <c r="J195" s="210">
        <f>F195*I195</f>
        <v>0</v>
      </c>
      <c r="K195" s="58"/>
      <c r="L195" s="99"/>
      <c r="M195" s="99">
        <f>J195</f>
        <v>0</v>
      </c>
    </row>
    <row r="196" spans="1:23" s="225" customFormat="1" ht="13.5">
      <c r="A196" s="221">
        <v>17</v>
      </c>
      <c r="B196" s="221" t="s">
        <v>30</v>
      </c>
      <c r="C196" s="220" t="s">
        <v>244</v>
      </c>
      <c r="D196" s="254" t="s">
        <v>47</v>
      </c>
      <c r="E196" s="284"/>
      <c r="F196" s="283">
        <v>70</v>
      </c>
      <c r="G196" s="222"/>
      <c r="H196" s="223"/>
      <c r="I196" s="224"/>
      <c r="J196" s="223"/>
      <c r="K196" s="222"/>
      <c r="L196" s="224"/>
      <c r="M196" s="224"/>
      <c r="S196" s="86"/>
      <c r="T196" s="226"/>
      <c r="U196" s="226"/>
      <c r="V196" s="226"/>
      <c r="W196" s="226"/>
    </row>
    <row r="197" spans="1:23" s="225" customFormat="1" ht="13.5">
      <c r="A197" s="221"/>
      <c r="B197" s="221"/>
      <c r="C197" s="227" t="s">
        <v>48</v>
      </c>
      <c r="D197" s="221" t="s">
        <v>49</v>
      </c>
      <c r="E197" s="284">
        <v>0.714</v>
      </c>
      <c r="F197" s="284">
        <f>F196*E197</f>
        <v>49.98</v>
      </c>
      <c r="G197" s="224"/>
      <c r="H197" s="223">
        <f>F197*G197</f>
        <v>0</v>
      </c>
      <c r="I197" s="228"/>
      <c r="J197" s="223"/>
      <c r="K197" s="228"/>
      <c r="L197" s="224"/>
      <c r="M197" s="224">
        <f>H197</f>
        <v>0</v>
      </c>
      <c r="S197" s="86"/>
      <c r="T197" s="226"/>
      <c r="U197" s="226"/>
      <c r="V197" s="226"/>
      <c r="W197" s="226"/>
    </row>
    <row r="198" spans="1:23" s="225" customFormat="1" ht="13.5">
      <c r="A198" s="221"/>
      <c r="B198" s="221"/>
      <c r="C198" s="227" t="s">
        <v>50</v>
      </c>
      <c r="D198" s="221" t="s">
        <v>51</v>
      </c>
      <c r="E198" s="284">
        <v>0.0183</v>
      </c>
      <c r="F198" s="284">
        <f>F196*E198</f>
        <v>1.281</v>
      </c>
      <c r="G198" s="222"/>
      <c r="H198" s="223"/>
      <c r="I198" s="228"/>
      <c r="J198" s="223"/>
      <c r="K198" s="224"/>
      <c r="L198" s="224">
        <f>F198*K198</f>
        <v>0</v>
      </c>
      <c r="M198" s="224">
        <f>L198</f>
        <v>0</v>
      </c>
      <c r="S198" s="86"/>
      <c r="T198" s="226"/>
      <c r="U198" s="226"/>
      <c r="V198" s="226"/>
      <c r="W198" s="226"/>
    </row>
    <row r="199" spans="1:23" s="234" customFormat="1" ht="40.5">
      <c r="A199" s="221"/>
      <c r="B199" s="271"/>
      <c r="C199" s="229" t="s">
        <v>245</v>
      </c>
      <c r="D199" s="230" t="s">
        <v>47</v>
      </c>
      <c r="E199" s="406">
        <v>1.03</v>
      </c>
      <c r="F199" s="285">
        <f>F196*E199</f>
        <v>72.10000000000001</v>
      </c>
      <c r="G199" s="231"/>
      <c r="H199" s="223"/>
      <c r="I199" s="232"/>
      <c r="J199" s="223">
        <f>F199*I199</f>
        <v>0</v>
      </c>
      <c r="K199" s="233"/>
      <c r="L199" s="224"/>
      <c r="M199" s="224">
        <f>J199</f>
        <v>0</v>
      </c>
      <c r="R199" s="235"/>
      <c r="S199" s="236"/>
      <c r="T199" s="235"/>
      <c r="U199" s="235"/>
      <c r="V199" s="235"/>
      <c r="W199" s="235"/>
    </row>
    <row r="200" spans="1:23" s="234" customFormat="1" ht="13.5">
      <c r="A200" s="221"/>
      <c r="B200" s="271"/>
      <c r="C200" s="229" t="s">
        <v>70</v>
      </c>
      <c r="D200" s="230" t="s">
        <v>51</v>
      </c>
      <c r="E200" s="406">
        <v>0.216</v>
      </c>
      <c r="F200" s="285">
        <f>F196*E200</f>
        <v>15.12</v>
      </c>
      <c r="G200" s="231"/>
      <c r="H200" s="223"/>
      <c r="I200" s="233"/>
      <c r="J200" s="223">
        <f>F200*I200</f>
        <v>0</v>
      </c>
      <c r="K200" s="233"/>
      <c r="L200" s="224"/>
      <c r="M200" s="224">
        <f>J200</f>
        <v>0</v>
      </c>
      <c r="S200" s="236"/>
      <c r="T200" s="235"/>
      <c r="U200" s="235"/>
      <c r="V200" s="235"/>
      <c r="W200" s="235"/>
    </row>
    <row r="201" spans="1:23" s="46" customFormat="1" ht="27">
      <c r="A201" s="77">
        <v>18</v>
      </c>
      <c r="B201" s="77" t="s">
        <v>30</v>
      </c>
      <c r="C201" s="100" t="s">
        <v>293</v>
      </c>
      <c r="D201" s="76" t="s">
        <v>47</v>
      </c>
      <c r="E201" s="36"/>
      <c r="F201" s="200">
        <v>17</v>
      </c>
      <c r="G201" s="158"/>
      <c r="H201" s="210"/>
      <c r="I201" s="99"/>
      <c r="J201" s="210"/>
      <c r="K201" s="158"/>
      <c r="L201" s="99"/>
      <c r="M201" s="99"/>
      <c r="S201" s="43"/>
      <c r="T201" s="40"/>
      <c r="U201" s="40"/>
      <c r="V201" s="40"/>
      <c r="W201" s="40"/>
    </row>
    <row r="202" spans="1:23" s="46" customFormat="1" ht="13.5">
      <c r="A202" s="77"/>
      <c r="B202" s="77"/>
      <c r="C202" s="159" t="s">
        <v>48</v>
      </c>
      <c r="D202" s="77" t="s">
        <v>49</v>
      </c>
      <c r="E202" s="36">
        <v>0.714</v>
      </c>
      <c r="F202" s="36">
        <f>F201*E202</f>
        <v>12.138</v>
      </c>
      <c r="G202" s="99"/>
      <c r="H202" s="210">
        <f>F202*G202</f>
        <v>0</v>
      </c>
      <c r="I202" s="157"/>
      <c r="J202" s="210"/>
      <c r="K202" s="157"/>
      <c r="L202" s="99"/>
      <c r="M202" s="99">
        <f>H202</f>
        <v>0</v>
      </c>
      <c r="S202" s="43"/>
      <c r="T202" s="40"/>
      <c r="U202" s="40"/>
      <c r="V202" s="40"/>
      <c r="W202" s="40"/>
    </row>
    <row r="203" spans="1:23" s="46" customFormat="1" ht="13.5">
      <c r="A203" s="77"/>
      <c r="B203" s="77"/>
      <c r="C203" s="159" t="s">
        <v>50</v>
      </c>
      <c r="D203" s="77" t="s">
        <v>51</v>
      </c>
      <c r="E203" s="36">
        <v>0.0183</v>
      </c>
      <c r="F203" s="36">
        <f>F201*E203</f>
        <v>0.3111</v>
      </c>
      <c r="G203" s="158"/>
      <c r="H203" s="210"/>
      <c r="I203" s="157"/>
      <c r="J203" s="210"/>
      <c r="K203" s="99"/>
      <c r="L203" s="99">
        <f>F203*K203</f>
        <v>0</v>
      </c>
      <c r="M203" s="99">
        <f>L203</f>
        <v>0</v>
      </c>
      <c r="S203" s="43"/>
      <c r="T203" s="40"/>
      <c r="U203" s="40"/>
      <c r="V203" s="40"/>
      <c r="W203" s="40"/>
    </row>
    <row r="204" spans="1:18" ht="13.5">
      <c r="A204" s="77"/>
      <c r="B204" s="259"/>
      <c r="C204" s="229" t="s">
        <v>382</v>
      </c>
      <c r="D204" s="82" t="s">
        <v>47</v>
      </c>
      <c r="E204" s="401">
        <v>1.03</v>
      </c>
      <c r="F204" s="281">
        <f>F201*E204</f>
        <v>17.51</v>
      </c>
      <c r="G204" s="59"/>
      <c r="H204" s="210"/>
      <c r="I204" s="60"/>
      <c r="J204" s="210">
        <f aca="true" t="shared" si="4" ref="J204:J260">F204*I204</f>
        <v>0</v>
      </c>
      <c r="K204" s="7"/>
      <c r="L204" s="99"/>
      <c r="M204" s="99">
        <f>J204</f>
        <v>0</v>
      </c>
      <c r="R204" s="147"/>
    </row>
    <row r="205" spans="1:13" ht="13.5">
      <c r="A205" s="77"/>
      <c r="B205" s="259"/>
      <c r="C205" s="33" t="s">
        <v>70</v>
      </c>
      <c r="D205" s="82" t="s">
        <v>51</v>
      </c>
      <c r="E205" s="401">
        <v>0.216</v>
      </c>
      <c r="F205" s="281">
        <f>F201*E205</f>
        <v>3.672</v>
      </c>
      <c r="G205" s="59"/>
      <c r="H205" s="210"/>
      <c r="I205" s="7"/>
      <c r="J205" s="210">
        <f t="shared" si="4"/>
        <v>0</v>
      </c>
      <c r="K205" s="7"/>
      <c r="L205" s="99"/>
      <c r="M205" s="99">
        <f>J205</f>
        <v>0</v>
      </c>
    </row>
    <row r="206" spans="1:13" s="213" customFormat="1" ht="27">
      <c r="A206" s="77">
        <v>19</v>
      </c>
      <c r="B206" s="77"/>
      <c r="C206" s="100" t="s">
        <v>246</v>
      </c>
      <c r="D206" s="76" t="s">
        <v>19</v>
      </c>
      <c r="E206" s="67"/>
      <c r="F206" s="306">
        <v>20</v>
      </c>
      <c r="G206" s="99"/>
      <c r="H206" s="210"/>
      <c r="I206" s="99"/>
      <c r="J206" s="210"/>
      <c r="K206" s="158"/>
      <c r="L206" s="99"/>
      <c r="M206" s="99"/>
    </row>
    <row r="207" spans="1:13" s="213" customFormat="1" ht="16.5" customHeight="1">
      <c r="A207" s="77"/>
      <c r="B207" s="77" t="s">
        <v>23</v>
      </c>
      <c r="C207" s="33" t="s">
        <v>123</v>
      </c>
      <c r="D207" s="77" t="s">
        <v>19</v>
      </c>
      <c r="E207" s="99">
        <v>1</v>
      </c>
      <c r="F207" s="99">
        <f>F206*E207</f>
        <v>20</v>
      </c>
      <c r="G207" s="99"/>
      <c r="H207" s="210">
        <f>F207*G207</f>
        <v>0</v>
      </c>
      <c r="I207" s="158"/>
      <c r="J207" s="210"/>
      <c r="K207" s="158"/>
      <c r="L207" s="99"/>
      <c r="M207" s="99">
        <f>H207</f>
        <v>0</v>
      </c>
    </row>
    <row r="208" spans="1:13" s="213" customFormat="1" ht="15.75">
      <c r="A208" s="77"/>
      <c r="B208" s="77"/>
      <c r="C208" s="33" t="s">
        <v>383</v>
      </c>
      <c r="D208" s="77" t="s">
        <v>19</v>
      </c>
      <c r="E208" s="99"/>
      <c r="F208" s="99">
        <f>F206</f>
        <v>20</v>
      </c>
      <c r="G208" s="99"/>
      <c r="H208" s="210"/>
      <c r="I208" s="99"/>
      <c r="J208" s="210">
        <f t="shared" si="4"/>
        <v>0</v>
      </c>
      <c r="K208" s="158"/>
      <c r="L208" s="99"/>
      <c r="M208" s="99">
        <f>J208</f>
        <v>0</v>
      </c>
    </row>
    <row r="209" spans="1:13" s="213" customFormat="1" ht="16.5" customHeight="1">
      <c r="A209" s="77"/>
      <c r="B209" s="77"/>
      <c r="C209" s="33" t="s">
        <v>127</v>
      </c>
      <c r="D209" s="77" t="s">
        <v>125</v>
      </c>
      <c r="E209" s="99">
        <v>0.0206</v>
      </c>
      <c r="F209" s="99">
        <f>F206*E209</f>
        <v>0.41200000000000003</v>
      </c>
      <c r="G209" s="99"/>
      <c r="H209" s="210"/>
      <c r="I209" s="99"/>
      <c r="J209" s="210">
        <f t="shared" si="4"/>
        <v>0</v>
      </c>
      <c r="K209" s="158"/>
      <c r="L209" s="99"/>
      <c r="M209" s="99">
        <f>J209</f>
        <v>0</v>
      </c>
    </row>
    <row r="210" spans="1:23" s="154" customFormat="1" ht="13.5">
      <c r="A210" s="77">
        <v>20</v>
      </c>
      <c r="B210" s="77" t="s">
        <v>27</v>
      </c>
      <c r="C210" s="100" t="s">
        <v>145</v>
      </c>
      <c r="D210" s="76" t="s">
        <v>86</v>
      </c>
      <c r="E210" s="99"/>
      <c r="F210" s="67">
        <v>1.35</v>
      </c>
      <c r="G210" s="157"/>
      <c r="H210" s="210"/>
      <c r="I210" s="99"/>
      <c r="J210" s="210"/>
      <c r="K210" s="157"/>
      <c r="L210" s="99"/>
      <c r="M210" s="99"/>
      <c r="S210" s="155"/>
      <c r="T210" s="156"/>
      <c r="U210" s="156"/>
      <c r="V210" s="156"/>
      <c r="W210" s="156"/>
    </row>
    <row r="211" spans="1:23" s="154" customFormat="1" ht="13.5">
      <c r="A211" s="77"/>
      <c r="B211" s="171"/>
      <c r="C211" s="159" t="s">
        <v>87</v>
      </c>
      <c r="D211" s="77" t="s">
        <v>49</v>
      </c>
      <c r="E211" s="99">
        <f>18.8+0.34*10</f>
        <v>22.200000000000003</v>
      </c>
      <c r="F211" s="99">
        <f>F210*E211</f>
        <v>29.970000000000006</v>
      </c>
      <c r="G211" s="99"/>
      <c r="H211" s="210">
        <f>F211*G211</f>
        <v>0</v>
      </c>
      <c r="I211" s="157"/>
      <c r="J211" s="210"/>
      <c r="K211" s="157"/>
      <c r="L211" s="99"/>
      <c r="M211" s="99">
        <f>H211</f>
        <v>0</v>
      </c>
      <c r="S211" s="155"/>
      <c r="T211" s="156"/>
      <c r="U211" s="156"/>
      <c r="V211" s="156"/>
      <c r="W211" s="156"/>
    </row>
    <row r="212" spans="1:23" s="154" customFormat="1" ht="13.5">
      <c r="A212" s="77"/>
      <c r="B212" s="77"/>
      <c r="C212" s="159" t="s">
        <v>88</v>
      </c>
      <c r="D212" s="77" t="s">
        <v>51</v>
      </c>
      <c r="E212" s="99">
        <f>0.95+0.23*10</f>
        <v>3.25</v>
      </c>
      <c r="F212" s="99">
        <f>F210*E212</f>
        <v>4.3875</v>
      </c>
      <c r="G212" s="157"/>
      <c r="H212" s="210"/>
      <c r="I212" s="157"/>
      <c r="J212" s="210"/>
      <c r="K212" s="99"/>
      <c r="L212" s="99">
        <f>F212*K212</f>
        <v>0</v>
      </c>
      <c r="M212" s="99">
        <f>L212</f>
        <v>0</v>
      </c>
      <c r="S212" s="155"/>
      <c r="T212" s="156"/>
      <c r="U212" s="156"/>
      <c r="V212" s="156"/>
      <c r="W212" s="156"/>
    </row>
    <row r="213" spans="1:23" s="154" customFormat="1" ht="13.5">
      <c r="A213" s="77"/>
      <c r="B213" s="77"/>
      <c r="C213" s="159" t="s">
        <v>89</v>
      </c>
      <c r="D213" s="77" t="s">
        <v>53</v>
      </c>
      <c r="E213" s="99">
        <f>2.04+0.51*10</f>
        <v>7.14</v>
      </c>
      <c r="F213" s="99">
        <f>F210*E213</f>
        <v>9.639</v>
      </c>
      <c r="G213" s="157"/>
      <c r="H213" s="210"/>
      <c r="I213" s="99"/>
      <c r="J213" s="210">
        <f t="shared" si="4"/>
        <v>0</v>
      </c>
      <c r="K213" s="157"/>
      <c r="L213" s="99"/>
      <c r="M213" s="99">
        <f>J213</f>
        <v>0</v>
      </c>
      <c r="S213" s="155"/>
      <c r="T213" s="156"/>
      <c r="U213" s="156"/>
      <c r="V213" s="156"/>
      <c r="W213" s="156"/>
    </row>
    <row r="214" spans="1:23" s="43" customFormat="1" ht="13.5">
      <c r="A214" s="77"/>
      <c r="B214" s="77"/>
      <c r="C214" s="159" t="s">
        <v>74</v>
      </c>
      <c r="D214" s="77" t="s">
        <v>51</v>
      </c>
      <c r="E214" s="99">
        <v>6.36</v>
      </c>
      <c r="F214" s="99">
        <f>F210*E214</f>
        <v>8.586</v>
      </c>
      <c r="G214" s="157"/>
      <c r="H214" s="210"/>
      <c r="I214" s="99"/>
      <c r="J214" s="210">
        <f t="shared" si="4"/>
        <v>0</v>
      </c>
      <c r="K214" s="157"/>
      <c r="L214" s="99"/>
      <c r="M214" s="99">
        <f>J214</f>
        <v>0</v>
      </c>
      <c r="T214" s="42"/>
      <c r="U214" s="42"/>
      <c r="V214" s="42"/>
      <c r="W214" s="42"/>
    </row>
    <row r="215" spans="1:23" s="43" customFormat="1" ht="13.5">
      <c r="A215" s="77">
        <v>21</v>
      </c>
      <c r="B215" s="77" t="s">
        <v>31</v>
      </c>
      <c r="C215" s="100" t="s">
        <v>94</v>
      </c>
      <c r="D215" s="76" t="s">
        <v>47</v>
      </c>
      <c r="E215" s="99"/>
      <c r="F215" s="67">
        <v>25</v>
      </c>
      <c r="G215" s="158"/>
      <c r="H215" s="210"/>
      <c r="I215" s="158"/>
      <c r="J215" s="210"/>
      <c r="K215" s="99"/>
      <c r="L215" s="99"/>
      <c r="M215" s="99"/>
      <c r="T215" s="42"/>
      <c r="U215" s="42"/>
      <c r="V215" s="42"/>
      <c r="W215" s="42"/>
    </row>
    <row r="216" spans="1:23" s="43" customFormat="1" ht="13.5">
      <c r="A216" s="77"/>
      <c r="B216" s="77"/>
      <c r="C216" s="159" t="s">
        <v>48</v>
      </c>
      <c r="D216" s="77" t="s">
        <v>49</v>
      </c>
      <c r="E216" s="99">
        <v>1.08</v>
      </c>
      <c r="F216" s="99">
        <f>F215*E216</f>
        <v>27</v>
      </c>
      <c r="G216" s="99"/>
      <c r="H216" s="210">
        <f>F216*G216</f>
        <v>0</v>
      </c>
      <c r="I216" s="157"/>
      <c r="J216" s="210"/>
      <c r="K216" s="157"/>
      <c r="L216" s="99"/>
      <c r="M216" s="99">
        <f>H216</f>
        <v>0</v>
      </c>
      <c r="T216" s="42"/>
      <c r="U216" s="42"/>
      <c r="V216" s="42"/>
      <c r="W216" s="42"/>
    </row>
    <row r="217" spans="1:23" s="43" customFormat="1" ht="13.5">
      <c r="A217" s="77"/>
      <c r="B217" s="77"/>
      <c r="C217" s="159" t="s">
        <v>50</v>
      </c>
      <c r="D217" s="77" t="s">
        <v>51</v>
      </c>
      <c r="E217" s="99">
        <v>0.0452</v>
      </c>
      <c r="F217" s="99">
        <f>F215*E217</f>
        <v>1.13</v>
      </c>
      <c r="G217" s="158"/>
      <c r="H217" s="210"/>
      <c r="I217" s="157"/>
      <c r="J217" s="210"/>
      <c r="K217" s="99"/>
      <c r="L217" s="99">
        <f>F217*K217</f>
        <v>0</v>
      </c>
      <c r="M217" s="99">
        <f>L217</f>
        <v>0</v>
      </c>
      <c r="T217" s="42"/>
      <c r="U217" s="42"/>
      <c r="V217" s="42"/>
      <c r="W217" s="42"/>
    </row>
    <row r="218" spans="1:23" s="43" customFormat="1" ht="13.5">
      <c r="A218" s="77"/>
      <c r="B218" s="77"/>
      <c r="C218" s="159" t="s">
        <v>92</v>
      </c>
      <c r="D218" s="77" t="s">
        <v>75</v>
      </c>
      <c r="E218" s="99">
        <v>5</v>
      </c>
      <c r="F218" s="99">
        <f>F215*E218</f>
        <v>125</v>
      </c>
      <c r="G218" s="158"/>
      <c r="H218" s="210"/>
      <c r="I218" s="99"/>
      <c r="J218" s="210">
        <f t="shared" si="4"/>
        <v>0</v>
      </c>
      <c r="K218" s="157"/>
      <c r="L218" s="99"/>
      <c r="M218" s="99">
        <f>J218</f>
        <v>0</v>
      </c>
      <c r="T218" s="42"/>
      <c r="U218" s="42"/>
      <c r="V218" s="42"/>
      <c r="W218" s="42"/>
    </row>
    <row r="219" spans="1:23" s="43" customFormat="1" ht="13.5">
      <c r="A219" s="77"/>
      <c r="B219" s="77"/>
      <c r="C219" s="159" t="s">
        <v>95</v>
      </c>
      <c r="D219" s="77" t="s">
        <v>47</v>
      </c>
      <c r="E219" s="99">
        <v>1.02</v>
      </c>
      <c r="F219" s="99">
        <f>F215*E219</f>
        <v>25.5</v>
      </c>
      <c r="G219" s="99"/>
      <c r="H219" s="210"/>
      <c r="I219" s="99"/>
      <c r="J219" s="210">
        <f t="shared" si="4"/>
        <v>0</v>
      </c>
      <c r="K219" s="157"/>
      <c r="L219" s="99"/>
      <c r="M219" s="99">
        <f>J219</f>
        <v>0</v>
      </c>
      <c r="T219" s="42"/>
      <c r="U219" s="42"/>
      <c r="V219" s="42"/>
      <c r="W219" s="42"/>
    </row>
    <row r="220" spans="1:23" s="43" customFormat="1" ht="13.5">
      <c r="A220" s="77"/>
      <c r="B220" s="77"/>
      <c r="C220" s="159" t="s">
        <v>73</v>
      </c>
      <c r="D220" s="77" t="s">
        <v>53</v>
      </c>
      <c r="E220" s="99">
        <v>0.0223</v>
      </c>
      <c r="F220" s="99">
        <f>F215*E220</f>
        <v>0.5575</v>
      </c>
      <c r="G220" s="158"/>
      <c r="H220" s="210"/>
      <c r="I220" s="99"/>
      <c r="J220" s="210">
        <f t="shared" si="4"/>
        <v>0</v>
      </c>
      <c r="K220" s="157"/>
      <c r="L220" s="99"/>
      <c r="M220" s="99">
        <f>J220</f>
        <v>0</v>
      </c>
      <c r="T220" s="42"/>
      <c r="U220" s="42"/>
      <c r="V220" s="42"/>
      <c r="W220" s="42"/>
    </row>
    <row r="221" spans="1:23" s="43" customFormat="1" ht="13.5">
      <c r="A221" s="77"/>
      <c r="B221" s="77"/>
      <c r="C221" s="159" t="s">
        <v>74</v>
      </c>
      <c r="D221" s="77" t="s">
        <v>51</v>
      </c>
      <c r="E221" s="99">
        <v>0.0466</v>
      </c>
      <c r="F221" s="99">
        <f>F215*E221</f>
        <v>1.165</v>
      </c>
      <c r="G221" s="158"/>
      <c r="H221" s="210"/>
      <c r="I221" s="99"/>
      <c r="J221" s="210">
        <f t="shared" si="4"/>
        <v>0</v>
      </c>
      <c r="K221" s="157"/>
      <c r="L221" s="99"/>
      <c r="M221" s="99">
        <f>J221</f>
        <v>0</v>
      </c>
      <c r="T221" s="42"/>
      <c r="U221" s="42"/>
      <c r="V221" s="42"/>
      <c r="W221" s="42"/>
    </row>
    <row r="222" spans="1:23" s="43" customFormat="1" ht="27">
      <c r="A222" s="77">
        <v>22</v>
      </c>
      <c r="B222" s="77" t="s">
        <v>29</v>
      </c>
      <c r="C222" s="100" t="s">
        <v>96</v>
      </c>
      <c r="D222" s="100" t="s">
        <v>47</v>
      </c>
      <c r="E222" s="99"/>
      <c r="F222" s="67">
        <v>30</v>
      </c>
      <c r="G222" s="157"/>
      <c r="H222" s="210"/>
      <c r="I222" s="99"/>
      <c r="J222" s="210"/>
      <c r="K222" s="157"/>
      <c r="L222" s="99"/>
      <c r="M222" s="99"/>
      <c r="T222" s="42"/>
      <c r="U222" s="42"/>
      <c r="V222" s="42"/>
      <c r="W222" s="42"/>
    </row>
    <row r="223" spans="1:23" s="155" customFormat="1" ht="13.5">
      <c r="A223" s="77"/>
      <c r="B223" s="77"/>
      <c r="C223" s="159" t="s">
        <v>48</v>
      </c>
      <c r="D223" s="77" t="s">
        <v>49</v>
      </c>
      <c r="E223" s="99">
        <v>3.86</v>
      </c>
      <c r="F223" s="99">
        <f>F222*E223</f>
        <v>115.8</v>
      </c>
      <c r="G223" s="99"/>
      <c r="H223" s="210">
        <f>F223*G223</f>
        <v>0</v>
      </c>
      <c r="I223" s="157"/>
      <c r="J223" s="210"/>
      <c r="K223" s="157"/>
      <c r="L223" s="99"/>
      <c r="M223" s="99">
        <f>H223</f>
        <v>0</v>
      </c>
      <c r="T223" s="78"/>
      <c r="U223" s="78"/>
      <c r="V223" s="78"/>
      <c r="W223" s="78"/>
    </row>
    <row r="224" spans="1:23" s="155" customFormat="1" ht="13.5">
      <c r="A224" s="77"/>
      <c r="B224" s="77"/>
      <c r="C224" s="159" t="s">
        <v>50</v>
      </c>
      <c r="D224" s="77" t="s">
        <v>51</v>
      </c>
      <c r="E224" s="99">
        <v>0.036</v>
      </c>
      <c r="F224" s="99">
        <f>F222*E224</f>
        <v>1.0799999999999998</v>
      </c>
      <c r="G224" s="157"/>
      <c r="H224" s="210"/>
      <c r="I224" s="157"/>
      <c r="J224" s="210"/>
      <c r="K224" s="99"/>
      <c r="L224" s="99">
        <f>F224*K224</f>
        <v>0</v>
      </c>
      <c r="M224" s="99">
        <f>L224</f>
        <v>0</v>
      </c>
      <c r="T224" s="78"/>
      <c r="U224" s="78"/>
      <c r="V224" s="78"/>
      <c r="W224" s="78"/>
    </row>
    <row r="225" spans="1:23" s="43" customFormat="1" ht="13.5">
      <c r="A225" s="77"/>
      <c r="B225" s="77"/>
      <c r="C225" s="159" t="s">
        <v>92</v>
      </c>
      <c r="D225" s="77" t="s">
        <v>75</v>
      </c>
      <c r="E225" s="99">
        <v>5</v>
      </c>
      <c r="F225" s="99">
        <f>F222*E225</f>
        <v>150</v>
      </c>
      <c r="G225" s="157"/>
      <c r="H225" s="210"/>
      <c r="I225" s="99"/>
      <c r="J225" s="210">
        <f t="shared" si="4"/>
        <v>0</v>
      </c>
      <c r="K225" s="157"/>
      <c r="L225" s="99"/>
      <c r="M225" s="99">
        <f>J225</f>
        <v>0</v>
      </c>
      <c r="T225" s="42"/>
      <c r="U225" s="42"/>
      <c r="V225" s="42"/>
      <c r="W225" s="42"/>
    </row>
    <row r="226" spans="1:23" s="155" customFormat="1" ht="13.5">
      <c r="A226" s="77"/>
      <c r="B226" s="77"/>
      <c r="C226" s="159" t="s">
        <v>146</v>
      </c>
      <c r="D226" s="77" t="s">
        <v>47</v>
      </c>
      <c r="E226" s="99">
        <v>1</v>
      </c>
      <c r="F226" s="99">
        <f>F222*E226</f>
        <v>30</v>
      </c>
      <c r="G226" s="157"/>
      <c r="H226" s="210"/>
      <c r="I226" s="99"/>
      <c r="J226" s="210">
        <f t="shared" si="4"/>
        <v>0</v>
      </c>
      <c r="K226" s="157"/>
      <c r="L226" s="99"/>
      <c r="M226" s="99">
        <f>J226</f>
        <v>0</v>
      </c>
      <c r="R226" s="78"/>
      <c r="T226" s="78"/>
      <c r="U226" s="78"/>
      <c r="V226" s="78"/>
      <c r="W226" s="78"/>
    </row>
    <row r="227" spans="1:23" s="155" customFormat="1" ht="13.5">
      <c r="A227" s="77"/>
      <c r="B227" s="77"/>
      <c r="C227" s="159" t="s">
        <v>73</v>
      </c>
      <c r="D227" s="77" t="s">
        <v>53</v>
      </c>
      <c r="E227" s="99">
        <v>0.03</v>
      </c>
      <c r="F227" s="99">
        <f>F222*E227</f>
        <v>0.8999999999999999</v>
      </c>
      <c r="G227" s="99"/>
      <c r="H227" s="210"/>
      <c r="I227" s="99"/>
      <c r="J227" s="210">
        <f t="shared" si="4"/>
        <v>0</v>
      </c>
      <c r="K227" s="157"/>
      <c r="L227" s="99"/>
      <c r="M227" s="99">
        <f>J227</f>
        <v>0</v>
      </c>
      <c r="T227" s="78"/>
      <c r="U227" s="78"/>
      <c r="V227" s="78"/>
      <c r="W227" s="78"/>
    </row>
    <row r="228" spans="1:23" s="155" customFormat="1" ht="13.5">
      <c r="A228" s="77"/>
      <c r="B228" s="77"/>
      <c r="C228" s="159" t="s">
        <v>74</v>
      </c>
      <c r="D228" s="77" t="s">
        <v>51</v>
      </c>
      <c r="E228" s="99">
        <v>0.043</v>
      </c>
      <c r="F228" s="99">
        <f>F222*E228</f>
        <v>1.2899999999999998</v>
      </c>
      <c r="G228" s="157"/>
      <c r="H228" s="210"/>
      <c r="I228" s="99"/>
      <c r="J228" s="210">
        <f t="shared" si="4"/>
        <v>0</v>
      </c>
      <c r="K228" s="157"/>
      <c r="L228" s="99"/>
      <c r="M228" s="99">
        <f>J228</f>
        <v>0</v>
      </c>
      <c r="T228" s="78"/>
      <c r="U228" s="78"/>
      <c r="V228" s="78"/>
      <c r="W228" s="78"/>
    </row>
    <row r="229" spans="1:13" s="121" customFormat="1" ht="15.75">
      <c r="A229" s="35">
        <v>23</v>
      </c>
      <c r="B229" s="35" t="s">
        <v>249</v>
      </c>
      <c r="C229" s="100" t="s">
        <v>250</v>
      </c>
      <c r="D229" s="100" t="s">
        <v>19</v>
      </c>
      <c r="E229" s="200"/>
      <c r="F229" s="100">
        <v>100</v>
      </c>
      <c r="G229" s="83"/>
      <c r="H229" s="210"/>
      <c r="I229" s="83"/>
      <c r="J229" s="210"/>
      <c r="K229" s="83"/>
      <c r="L229" s="99"/>
      <c r="M229" s="99"/>
    </row>
    <row r="230" spans="1:13" s="212" customFormat="1" ht="15.75">
      <c r="A230" s="77"/>
      <c r="B230" s="77"/>
      <c r="C230" s="159" t="s">
        <v>196</v>
      </c>
      <c r="D230" s="77" t="s">
        <v>16</v>
      </c>
      <c r="E230" s="99">
        <v>1.42</v>
      </c>
      <c r="F230" s="99">
        <f>F229*E230</f>
        <v>142</v>
      </c>
      <c r="G230" s="99"/>
      <c r="H230" s="210">
        <f>F230*G230</f>
        <v>0</v>
      </c>
      <c r="I230" s="157"/>
      <c r="J230" s="210"/>
      <c r="K230" s="157"/>
      <c r="L230" s="99"/>
      <c r="M230" s="99">
        <f>H230</f>
        <v>0</v>
      </c>
    </row>
    <row r="231" spans="1:13" s="212" customFormat="1" ht="15.75">
      <c r="A231" s="77"/>
      <c r="B231" s="77"/>
      <c r="C231" s="159" t="s">
        <v>124</v>
      </c>
      <c r="D231" s="77" t="s">
        <v>125</v>
      </c>
      <c r="E231" s="99">
        <v>0.069</v>
      </c>
      <c r="F231" s="99">
        <f>F229*E231</f>
        <v>6.9</v>
      </c>
      <c r="G231" s="158"/>
      <c r="H231" s="210"/>
      <c r="I231" s="157"/>
      <c r="J231" s="210"/>
      <c r="K231" s="99"/>
      <c r="L231" s="99">
        <f>F231*K231</f>
        <v>0</v>
      </c>
      <c r="M231" s="99">
        <f>L231</f>
        <v>0</v>
      </c>
    </row>
    <row r="232" spans="1:13" s="212" customFormat="1" ht="15.75">
      <c r="A232" s="77"/>
      <c r="B232" s="77"/>
      <c r="C232" s="159" t="s">
        <v>197</v>
      </c>
      <c r="D232" s="77" t="s">
        <v>126</v>
      </c>
      <c r="E232" s="99">
        <v>0.0365</v>
      </c>
      <c r="F232" s="99">
        <f>F229*E232</f>
        <v>3.65</v>
      </c>
      <c r="G232" s="158"/>
      <c r="H232" s="210"/>
      <c r="I232" s="99"/>
      <c r="J232" s="210">
        <f t="shared" si="4"/>
        <v>0</v>
      </c>
      <c r="K232" s="157"/>
      <c r="L232" s="99"/>
      <c r="M232" s="99">
        <f>J232</f>
        <v>0</v>
      </c>
    </row>
    <row r="233" spans="1:13" s="212" customFormat="1" ht="15.75">
      <c r="A233" s="77"/>
      <c r="B233" s="77"/>
      <c r="C233" s="159" t="s">
        <v>127</v>
      </c>
      <c r="D233" s="77" t="s">
        <v>125</v>
      </c>
      <c r="E233" s="99">
        <v>0.003</v>
      </c>
      <c r="F233" s="99">
        <f>F229*E233</f>
        <v>0.3</v>
      </c>
      <c r="G233" s="158"/>
      <c r="H233" s="210"/>
      <c r="I233" s="99"/>
      <c r="J233" s="210">
        <f t="shared" si="4"/>
        <v>0</v>
      </c>
      <c r="K233" s="157"/>
      <c r="L233" s="99"/>
      <c r="M233" s="99">
        <f>J233</f>
        <v>0</v>
      </c>
    </row>
    <row r="234" spans="1:23" s="155" customFormat="1" ht="27">
      <c r="A234" s="77">
        <v>24</v>
      </c>
      <c r="B234" s="77" t="s">
        <v>32</v>
      </c>
      <c r="C234" s="100" t="s">
        <v>90</v>
      </c>
      <c r="D234" s="76" t="s">
        <v>47</v>
      </c>
      <c r="E234" s="99"/>
      <c r="F234" s="67">
        <v>100</v>
      </c>
      <c r="G234" s="99"/>
      <c r="H234" s="210"/>
      <c r="I234" s="158"/>
      <c r="J234" s="210"/>
      <c r="K234" s="158"/>
      <c r="L234" s="99"/>
      <c r="M234" s="99"/>
      <c r="T234" s="78"/>
      <c r="U234" s="78"/>
      <c r="V234" s="78"/>
      <c r="W234" s="78"/>
    </row>
    <row r="235" spans="1:23" s="155" customFormat="1" ht="13.5">
      <c r="A235" s="77"/>
      <c r="B235" s="77"/>
      <c r="C235" s="159" t="s">
        <v>48</v>
      </c>
      <c r="D235" s="77" t="s">
        <v>49</v>
      </c>
      <c r="E235" s="99">
        <v>1.7</v>
      </c>
      <c r="F235" s="99">
        <f>F234*E235</f>
        <v>170</v>
      </c>
      <c r="G235" s="99"/>
      <c r="H235" s="210">
        <f>F235*G235</f>
        <v>0</v>
      </c>
      <c r="I235" s="158"/>
      <c r="J235" s="210"/>
      <c r="K235" s="158"/>
      <c r="L235" s="99"/>
      <c r="M235" s="99">
        <f>H235</f>
        <v>0</v>
      </c>
      <c r="T235" s="78"/>
      <c r="U235" s="78"/>
      <c r="V235" s="78"/>
      <c r="W235" s="78"/>
    </row>
    <row r="236" spans="1:23" s="155" customFormat="1" ht="13.5">
      <c r="A236" s="77"/>
      <c r="B236" s="77"/>
      <c r="C236" s="159" t="s">
        <v>50</v>
      </c>
      <c r="D236" s="77" t="s">
        <v>51</v>
      </c>
      <c r="E236" s="99">
        <v>0.02</v>
      </c>
      <c r="F236" s="99">
        <f>F234*E236</f>
        <v>2</v>
      </c>
      <c r="G236" s="158"/>
      <c r="H236" s="210"/>
      <c r="I236" s="158"/>
      <c r="J236" s="210"/>
      <c r="K236" s="99"/>
      <c r="L236" s="99">
        <f>F236*K236</f>
        <v>0</v>
      </c>
      <c r="M236" s="99">
        <f>L236</f>
        <v>0</v>
      </c>
      <c r="T236" s="78"/>
      <c r="U236" s="78"/>
      <c r="V236" s="78"/>
      <c r="W236" s="78"/>
    </row>
    <row r="237" spans="1:23" s="155" customFormat="1" ht="13.5">
      <c r="A237" s="77"/>
      <c r="B237" s="77"/>
      <c r="C237" s="159" t="s">
        <v>73</v>
      </c>
      <c r="D237" s="77" t="s">
        <v>53</v>
      </c>
      <c r="E237" s="99">
        <v>0.015</v>
      </c>
      <c r="F237" s="99">
        <f>F234*E237</f>
        <v>1.5</v>
      </c>
      <c r="G237" s="158"/>
      <c r="H237" s="210"/>
      <c r="I237" s="99"/>
      <c r="J237" s="210">
        <f t="shared" si="4"/>
        <v>0</v>
      </c>
      <c r="K237" s="158"/>
      <c r="L237" s="99"/>
      <c r="M237" s="99">
        <f>J237</f>
        <v>0</v>
      </c>
      <c r="T237" s="78"/>
      <c r="U237" s="78"/>
      <c r="V237" s="78"/>
      <c r="W237" s="78"/>
    </row>
    <row r="238" spans="1:23" s="155" customFormat="1" ht="13.5">
      <c r="A238" s="77"/>
      <c r="B238" s="77"/>
      <c r="C238" s="159" t="s">
        <v>91</v>
      </c>
      <c r="D238" s="77" t="s">
        <v>47</v>
      </c>
      <c r="E238" s="99">
        <v>1</v>
      </c>
      <c r="F238" s="99">
        <f>F234*E238</f>
        <v>100</v>
      </c>
      <c r="G238" s="158"/>
      <c r="H238" s="210"/>
      <c r="I238" s="99"/>
      <c r="J238" s="210">
        <f t="shared" si="4"/>
        <v>0</v>
      </c>
      <c r="K238" s="158"/>
      <c r="L238" s="99"/>
      <c r="M238" s="99">
        <f>J238</f>
        <v>0</v>
      </c>
      <c r="T238" s="78"/>
      <c r="U238" s="78"/>
      <c r="V238" s="78"/>
      <c r="W238" s="78"/>
    </row>
    <row r="239" spans="1:23" s="155" customFormat="1" ht="13.5">
      <c r="A239" s="77"/>
      <c r="B239" s="77"/>
      <c r="C239" s="159" t="s">
        <v>92</v>
      </c>
      <c r="D239" s="77" t="s">
        <v>75</v>
      </c>
      <c r="E239" s="99">
        <v>6</v>
      </c>
      <c r="F239" s="99">
        <f>F234*E239</f>
        <v>600</v>
      </c>
      <c r="G239" s="158"/>
      <c r="H239" s="210"/>
      <c r="I239" s="99"/>
      <c r="J239" s="210">
        <f t="shared" si="4"/>
        <v>0</v>
      </c>
      <c r="K239" s="158"/>
      <c r="L239" s="99"/>
      <c r="M239" s="99">
        <f>J239</f>
        <v>0</v>
      </c>
      <c r="T239" s="78"/>
      <c r="U239" s="78"/>
      <c r="V239" s="78"/>
      <c r="W239" s="78"/>
    </row>
    <row r="240" spans="1:23" s="155" customFormat="1" ht="13.5">
      <c r="A240" s="77"/>
      <c r="B240" s="77"/>
      <c r="C240" s="159" t="s">
        <v>93</v>
      </c>
      <c r="D240" s="77" t="s">
        <v>51</v>
      </c>
      <c r="E240" s="99">
        <v>0.007</v>
      </c>
      <c r="F240" s="99">
        <f>F234*E240</f>
        <v>0.7000000000000001</v>
      </c>
      <c r="G240" s="158"/>
      <c r="H240" s="210"/>
      <c r="I240" s="99"/>
      <c r="J240" s="210">
        <f t="shared" si="4"/>
        <v>0</v>
      </c>
      <c r="K240" s="158"/>
      <c r="L240" s="99"/>
      <c r="M240" s="99">
        <f>J240</f>
        <v>0</v>
      </c>
      <c r="T240" s="78"/>
      <c r="U240" s="78"/>
      <c r="V240" s="78"/>
      <c r="W240" s="78"/>
    </row>
    <row r="241" spans="1:13" s="175" customFormat="1" ht="15.75">
      <c r="A241" s="77"/>
      <c r="B241" s="77"/>
      <c r="C241" s="77"/>
      <c r="D241" s="77"/>
      <c r="E241" s="99"/>
      <c r="F241" s="38"/>
      <c r="G241" s="158"/>
      <c r="H241" s="210"/>
      <c r="I241" s="99"/>
      <c r="J241" s="210"/>
      <c r="K241" s="158"/>
      <c r="L241" s="99"/>
      <c r="M241" s="99"/>
    </row>
    <row r="242" spans="1:13" s="175" customFormat="1" ht="15.75">
      <c r="A242" s="77">
        <v>25</v>
      </c>
      <c r="B242" s="77" t="s">
        <v>24</v>
      </c>
      <c r="C242" s="100" t="s">
        <v>374</v>
      </c>
      <c r="D242" s="76" t="s">
        <v>333</v>
      </c>
      <c r="E242" s="67"/>
      <c r="F242" s="76">
        <v>0.7</v>
      </c>
      <c r="G242" s="158"/>
      <c r="H242" s="210"/>
      <c r="I242" s="99"/>
      <c r="J242" s="210"/>
      <c r="K242" s="158"/>
      <c r="L242" s="99"/>
      <c r="M242" s="99"/>
    </row>
    <row r="243" spans="1:13" s="175" customFormat="1" ht="15.75">
      <c r="A243" s="77"/>
      <c r="B243" s="77"/>
      <c r="C243" s="159" t="s">
        <v>196</v>
      </c>
      <c r="D243" s="77" t="s">
        <v>16</v>
      </c>
      <c r="E243" s="99">
        <v>153</v>
      </c>
      <c r="F243" s="99">
        <f>F242*E243</f>
        <v>107.1</v>
      </c>
      <c r="G243" s="99"/>
      <c r="H243" s="210">
        <f>F243*G243</f>
        <v>0</v>
      </c>
      <c r="I243" s="157"/>
      <c r="J243" s="210"/>
      <c r="K243" s="157"/>
      <c r="L243" s="99"/>
      <c r="M243" s="99">
        <f>H243</f>
        <v>0</v>
      </c>
    </row>
    <row r="244" spans="1:13" s="175" customFormat="1" ht="15.75">
      <c r="A244" s="77"/>
      <c r="B244" s="77"/>
      <c r="C244" s="159" t="s">
        <v>124</v>
      </c>
      <c r="D244" s="77" t="s">
        <v>125</v>
      </c>
      <c r="E244" s="99">
        <v>4.3</v>
      </c>
      <c r="F244" s="99">
        <f>F242*E244</f>
        <v>3.01</v>
      </c>
      <c r="G244" s="158"/>
      <c r="H244" s="210"/>
      <c r="I244" s="157"/>
      <c r="J244" s="210"/>
      <c r="K244" s="99"/>
      <c r="L244" s="99">
        <f>F244*K244</f>
        <v>0</v>
      </c>
      <c r="M244" s="99">
        <f>L244</f>
        <v>0</v>
      </c>
    </row>
    <row r="245" spans="1:13" s="175" customFormat="1" ht="15.75">
      <c r="A245" s="77"/>
      <c r="B245" s="77"/>
      <c r="C245" s="159" t="s">
        <v>336</v>
      </c>
      <c r="D245" s="77" t="s">
        <v>19</v>
      </c>
      <c r="E245" s="99">
        <v>101</v>
      </c>
      <c r="F245" s="99">
        <f>F242*E245</f>
        <v>70.69999999999999</v>
      </c>
      <c r="G245" s="158"/>
      <c r="H245" s="210"/>
      <c r="I245" s="99"/>
      <c r="J245" s="210">
        <f t="shared" si="4"/>
        <v>0</v>
      </c>
      <c r="K245" s="157"/>
      <c r="L245" s="99"/>
      <c r="M245" s="99">
        <f>J245</f>
        <v>0</v>
      </c>
    </row>
    <row r="246" spans="1:13" s="175" customFormat="1" ht="15.75">
      <c r="A246" s="77"/>
      <c r="B246" s="77"/>
      <c r="C246" s="159" t="s">
        <v>127</v>
      </c>
      <c r="D246" s="77" t="s">
        <v>125</v>
      </c>
      <c r="E246" s="99">
        <v>6.4</v>
      </c>
      <c r="F246" s="99">
        <f>F242*E246</f>
        <v>4.4799999999999995</v>
      </c>
      <c r="G246" s="158"/>
      <c r="H246" s="210"/>
      <c r="I246" s="99"/>
      <c r="J246" s="210">
        <f t="shared" si="4"/>
        <v>0</v>
      </c>
      <c r="K246" s="157"/>
      <c r="L246" s="99"/>
      <c r="M246" s="99">
        <f>J246</f>
        <v>0</v>
      </c>
    </row>
    <row r="247" spans="1:13" s="212" customFormat="1" ht="15.75">
      <c r="A247" s="77">
        <v>26</v>
      </c>
      <c r="B247" s="261" t="s">
        <v>337</v>
      </c>
      <c r="C247" s="100" t="s">
        <v>340</v>
      </c>
      <c r="D247" s="76" t="s">
        <v>306</v>
      </c>
      <c r="E247" s="67"/>
      <c r="F247" s="67">
        <f>15*0.015</f>
        <v>0.22499999999999998</v>
      </c>
      <c r="G247" s="99"/>
      <c r="H247" s="210"/>
      <c r="I247" s="158"/>
      <c r="J247" s="210"/>
      <c r="K247" s="158"/>
      <c r="L247" s="99"/>
      <c r="M247" s="99"/>
    </row>
    <row r="248" spans="1:13" s="212" customFormat="1" ht="15.75">
      <c r="A248" s="77"/>
      <c r="B248" s="260"/>
      <c r="C248" s="159" t="s">
        <v>123</v>
      </c>
      <c r="D248" s="77" t="s">
        <v>16</v>
      </c>
      <c r="E248" s="99">
        <v>22.6</v>
      </c>
      <c r="F248" s="99">
        <f>F247*E248</f>
        <v>5.085</v>
      </c>
      <c r="G248" s="99"/>
      <c r="H248" s="210">
        <f>F248*G248</f>
        <v>0</v>
      </c>
      <c r="I248" s="157"/>
      <c r="J248" s="210"/>
      <c r="K248" s="157"/>
      <c r="L248" s="99"/>
      <c r="M248" s="99">
        <f>H248</f>
        <v>0</v>
      </c>
    </row>
    <row r="249" spans="1:13" s="212" customFormat="1" ht="15.75">
      <c r="A249" s="77"/>
      <c r="B249" s="77"/>
      <c r="C249" s="159" t="s">
        <v>124</v>
      </c>
      <c r="D249" s="77" t="s">
        <v>125</v>
      </c>
      <c r="E249" s="99">
        <v>1.33</v>
      </c>
      <c r="F249" s="99">
        <f>F247*E249</f>
        <v>0.29924999999999996</v>
      </c>
      <c r="G249" s="158"/>
      <c r="H249" s="210"/>
      <c r="I249" s="99"/>
      <c r="J249" s="210"/>
      <c r="K249" s="99"/>
      <c r="L249" s="99">
        <f>F249*K249</f>
        <v>0</v>
      </c>
      <c r="M249" s="99">
        <f>L249</f>
        <v>0</v>
      </c>
    </row>
    <row r="250" spans="1:13" s="212" customFormat="1" ht="15.75">
      <c r="A250" s="77"/>
      <c r="B250" s="77" t="s">
        <v>311</v>
      </c>
      <c r="C250" s="159" t="s">
        <v>378</v>
      </c>
      <c r="D250" s="77" t="s">
        <v>277</v>
      </c>
      <c r="E250" s="99">
        <v>5.45</v>
      </c>
      <c r="F250" s="99">
        <f>F247*E250</f>
        <v>1.2262499999999998</v>
      </c>
      <c r="G250" s="158"/>
      <c r="H250" s="210"/>
      <c r="I250" s="99"/>
      <c r="J250" s="210"/>
      <c r="K250" s="99"/>
      <c r="L250" s="99">
        <f>F250*K250</f>
        <v>0</v>
      </c>
      <c r="M250" s="99">
        <f>L250</f>
        <v>0</v>
      </c>
    </row>
    <row r="251" spans="1:13" s="212" customFormat="1" ht="15.75">
      <c r="A251" s="77"/>
      <c r="B251" s="77"/>
      <c r="C251" s="159" t="s">
        <v>338</v>
      </c>
      <c r="D251" s="77" t="s">
        <v>306</v>
      </c>
      <c r="E251" s="99">
        <v>1</v>
      </c>
      <c r="F251" s="99">
        <f>F247*E251</f>
        <v>0.22499999999999998</v>
      </c>
      <c r="G251" s="158"/>
      <c r="H251" s="210"/>
      <c r="I251" s="99"/>
      <c r="J251" s="210">
        <f t="shared" si="4"/>
        <v>0</v>
      </c>
      <c r="K251" s="157"/>
      <c r="L251" s="99"/>
      <c r="M251" s="99">
        <f>J251</f>
        <v>0</v>
      </c>
    </row>
    <row r="252" spans="1:13" s="212" customFormat="1" ht="15.75">
      <c r="A252" s="77"/>
      <c r="B252" s="77"/>
      <c r="C252" s="159" t="s">
        <v>341</v>
      </c>
      <c r="D252" s="77" t="s">
        <v>158</v>
      </c>
      <c r="E252" s="99">
        <v>1</v>
      </c>
      <c r="F252" s="99">
        <f>F247*E252</f>
        <v>0.22499999999999998</v>
      </c>
      <c r="G252" s="158"/>
      <c r="H252" s="210"/>
      <c r="I252" s="99"/>
      <c r="J252" s="210">
        <f t="shared" si="4"/>
        <v>0</v>
      </c>
      <c r="K252" s="157"/>
      <c r="L252" s="99"/>
      <c r="M252" s="99">
        <f>J252</f>
        <v>0</v>
      </c>
    </row>
    <row r="253" spans="1:13" s="212" customFormat="1" ht="15.75">
      <c r="A253" s="77"/>
      <c r="B253" s="77"/>
      <c r="C253" s="159" t="s">
        <v>339</v>
      </c>
      <c r="D253" s="77" t="s">
        <v>158</v>
      </c>
      <c r="E253" s="99">
        <v>2.4</v>
      </c>
      <c r="F253" s="99">
        <f>F247*E253</f>
        <v>0.5399999999999999</v>
      </c>
      <c r="G253" s="158"/>
      <c r="H253" s="210"/>
      <c r="I253" s="99"/>
      <c r="J253" s="210">
        <f t="shared" si="4"/>
        <v>0</v>
      </c>
      <c r="K253" s="157"/>
      <c r="L253" s="99"/>
      <c r="M253" s="99">
        <f>J253</f>
        <v>0</v>
      </c>
    </row>
    <row r="254" spans="1:13" s="212" customFormat="1" ht="15.75">
      <c r="A254" s="77"/>
      <c r="B254" s="77"/>
      <c r="C254" s="159" t="s">
        <v>342</v>
      </c>
      <c r="D254" s="77" t="s">
        <v>158</v>
      </c>
      <c r="E254" s="99">
        <v>13.4</v>
      </c>
      <c r="F254" s="99">
        <f>F247*E254</f>
        <v>3.0149999999999997</v>
      </c>
      <c r="G254" s="158"/>
      <c r="H254" s="210"/>
      <c r="I254" s="99"/>
      <c r="J254" s="210">
        <f t="shared" si="4"/>
        <v>0</v>
      </c>
      <c r="K254" s="157"/>
      <c r="L254" s="99"/>
      <c r="M254" s="99">
        <f>J254</f>
        <v>0</v>
      </c>
    </row>
    <row r="255" spans="1:13" s="212" customFormat="1" ht="15.75">
      <c r="A255" s="77"/>
      <c r="B255" s="77"/>
      <c r="C255" s="159" t="s">
        <v>127</v>
      </c>
      <c r="D255" s="77" t="s">
        <v>125</v>
      </c>
      <c r="E255" s="99">
        <v>2.78</v>
      </c>
      <c r="F255" s="99">
        <f>F247*E255</f>
        <v>0.6255</v>
      </c>
      <c r="G255" s="99"/>
      <c r="H255" s="210"/>
      <c r="I255" s="99"/>
      <c r="J255" s="210">
        <f t="shared" si="4"/>
        <v>0</v>
      </c>
      <c r="K255" s="157"/>
      <c r="L255" s="99"/>
      <c r="M255" s="99">
        <f>J255</f>
        <v>0</v>
      </c>
    </row>
    <row r="256" spans="1:13" s="213" customFormat="1" ht="15.75">
      <c r="A256" s="77">
        <v>27</v>
      </c>
      <c r="B256" s="77" t="s">
        <v>331</v>
      </c>
      <c r="C256" s="100" t="s">
        <v>332</v>
      </c>
      <c r="D256" s="76" t="s">
        <v>333</v>
      </c>
      <c r="E256" s="67"/>
      <c r="F256" s="67">
        <v>1.2</v>
      </c>
      <c r="G256" s="158"/>
      <c r="H256" s="210"/>
      <c r="I256" s="99"/>
      <c r="J256" s="210"/>
      <c r="K256" s="158"/>
      <c r="L256" s="99"/>
      <c r="M256" s="99"/>
    </row>
    <row r="257" spans="1:13" s="213" customFormat="1" ht="15.75">
      <c r="A257" s="77"/>
      <c r="B257" s="77"/>
      <c r="C257" s="159" t="s">
        <v>123</v>
      </c>
      <c r="D257" s="77" t="s">
        <v>16</v>
      </c>
      <c r="E257" s="99">
        <v>1.14</v>
      </c>
      <c r="F257" s="99">
        <f>F256*E257</f>
        <v>1.3679999999999999</v>
      </c>
      <c r="G257" s="99"/>
      <c r="H257" s="210">
        <f>F257*G257</f>
        <v>0</v>
      </c>
      <c r="I257" s="158"/>
      <c r="J257" s="210"/>
      <c r="K257" s="158"/>
      <c r="L257" s="99"/>
      <c r="M257" s="99">
        <f>H257</f>
        <v>0</v>
      </c>
    </row>
    <row r="258" spans="1:13" s="213" customFormat="1" ht="15.75">
      <c r="A258" s="77"/>
      <c r="B258" s="77"/>
      <c r="C258" s="159" t="s">
        <v>335</v>
      </c>
      <c r="D258" s="77" t="s">
        <v>126</v>
      </c>
      <c r="E258" s="99">
        <v>1.6</v>
      </c>
      <c r="F258" s="99">
        <f>F256*E258</f>
        <v>1.92</v>
      </c>
      <c r="G258" s="158"/>
      <c r="H258" s="210"/>
      <c r="I258" s="99"/>
      <c r="J258" s="210">
        <f t="shared" si="4"/>
        <v>0</v>
      </c>
      <c r="K258" s="158"/>
      <c r="L258" s="99"/>
      <c r="M258" s="99">
        <f>J258</f>
        <v>0</v>
      </c>
    </row>
    <row r="259" spans="1:13" s="213" customFormat="1" ht="15.75">
      <c r="A259" s="77"/>
      <c r="B259" s="77"/>
      <c r="C259" s="159" t="s">
        <v>334</v>
      </c>
      <c r="D259" s="77" t="s">
        <v>158</v>
      </c>
      <c r="E259" s="99">
        <v>8.8</v>
      </c>
      <c r="F259" s="99">
        <f>F256*E259</f>
        <v>10.56</v>
      </c>
      <c r="G259" s="158"/>
      <c r="H259" s="210"/>
      <c r="I259" s="99"/>
      <c r="J259" s="210">
        <f t="shared" si="4"/>
        <v>0</v>
      </c>
      <c r="K259" s="158"/>
      <c r="L259" s="99"/>
      <c r="M259" s="99">
        <f>J259</f>
        <v>0</v>
      </c>
    </row>
    <row r="260" spans="1:13" s="213" customFormat="1" ht="15.75">
      <c r="A260" s="77"/>
      <c r="B260" s="77"/>
      <c r="C260" s="159" t="s">
        <v>127</v>
      </c>
      <c r="D260" s="77" t="s">
        <v>125</v>
      </c>
      <c r="E260" s="99">
        <v>4.64</v>
      </c>
      <c r="F260" s="99">
        <f>F256*E260</f>
        <v>5.568</v>
      </c>
      <c r="G260" s="99"/>
      <c r="H260" s="210"/>
      <c r="I260" s="99"/>
      <c r="J260" s="210">
        <f t="shared" si="4"/>
        <v>0</v>
      </c>
      <c r="K260" s="158"/>
      <c r="L260" s="99"/>
      <c r="M260" s="99">
        <f>J260</f>
        <v>0</v>
      </c>
    </row>
    <row r="261" spans="1:13" s="215" customFormat="1" ht="16.5">
      <c r="A261" s="77">
        <v>28</v>
      </c>
      <c r="B261" s="77" t="s">
        <v>328</v>
      </c>
      <c r="C261" s="100" t="s">
        <v>330</v>
      </c>
      <c r="D261" s="76" t="s">
        <v>19</v>
      </c>
      <c r="E261" s="67"/>
      <c r="F261" s="67">
        <v>120</v>
      </c>
      <c r="G261" s="158"/>
      <c r="H261" s="210"/>
      <c r="I261" s="158"/>
      <c r="J261" s="210"/>
      <c r="K261" s="99"/>
      <c r="L261" s="99"/>
      <c r="M261" s="99"/>
    </row>
    <row r="262" spans="1:13" s="215" customFormat="1" ht="16.5">
      <c r="A262" s="77"/>
      <c r="B262" s="77"/>
      <c r="C262" s="159" t="s">
        <v>123</v>
      </c>
      <c r="D262" s="77" t="s">
        <v>16</v>
      </c>
      <c r="E262" s="99">
        <v>0.0061</v>
      </c>
      <c r="F262" s="99">
        <f>F261*E262</f>
        <v>0.7320000000000001</v>
      </c>
      <c r="G262" s="99"/>
      <c r="H262" s="210">
        <f>F262*G262</f>
        <v>0</v>
      </c>
      <c r="I262" s="157"/>
      <c r="J262" s="210"/>
      <c r="K262" s="157"/>
      <c r="L262" s="99"/>
      <c r="M262" s="99">
        <f>H262</f>
        <v>0</v>
      </c>
    </row>
    <row r="263" spans="1:13" s="215" customFormat="1" ht="16.5">
      <c r="A263" s="77"/>
      <c r="B263" s="77"/>
      <c r="C263" s="159" t="s">
        <v>124</v>
      </c>
      <c r="D263" s="77" t="s">
        <v>125</v>
      </c>
      <c r="E263" s="99">
        <v>0.0002</v>
      </c>
      <c r="F263" s="99">
        <f>F261*E263</f>
        <v>0.024</v>
      </c>
      <c r="G263" s="77"/>
      <c r="H263" s="210"/>
      <c r="I263" s="99"/>
      <c r="J263" s="210"/>
      <c r="K263" s="99"/>
      <c r="L263" s="99">
        <f>F263*K263</f>
        <v>0</v>
      </c>
      <c r="M263" s="99">
        <f>L263</f>
        <v>0</v>
      </c>
    </row>
    <row r="264" spans="1:13" s="215" customFormat="1" ht="16.5">
      <c r="A264" s="77"/>
      <c r="B264" s="77"/>
      <c r="C264" s="159" t="s">
        <v>329</v>
      </c>
      <c r="D264" s="77" t="s">
        <v>158</v>
      </c>
      <c r="E264" s="99">
        <v>0.04</v>
      </c>
      <c r="F264" s="99">
        <f>F261*E264</f>
        <v>4.8</v>
      </c>
      <c r="G264" s="158"/>
      <c r="H264" s="210"/>
      <c r="I264" s="99"/>
      <c r="J264" s="210">
        <f>F264*I264</f>
        <v>0</v>
      </c>
      <c r="K264" s="157"/>
      <c r="L264" s="99"/>
      <c r="M264" s="99">
        <f>J264</f>
        <v>0</v>
      </c>
    </row>
    <row r="265" spans="1:13" s="176" customFormat="1" ht="27">
      <c r="A265" s="35">
        <v>29</v>
      </c>
      <c r="B265" s="35" t="s">
        <v>159</v>
      </c>
      <c r="C265" s="100" t="s">
        <v>326</v>
      </c>
      <c r="D265" s="100" t="s">
        <v>19</v>
      </c>
      <c r="E265" s="200"/>
      <c r="F265" s="200">
        <v>120</v>
      </c>
      <c r="G265" s="83"/>
      <c r="H265" s="210"/>
      <c r="I265" s="36"/>
      <c r="J265" s="210"/>
      <c r="K265" s="83"/>
      <c r="L265" s="99"/>
      <c r="M265" s="99"/>
    </row>
    <row r="266" spans="1:13" s="214" customFormat="1" ht="15.75">
      <c r="A266" s="77"/>
      <c r="B266" s="171"/>
      <c r="C266" s="159" t="s">
        <v>123</v>
      </c>
      <c r="D266" s="77" t="s">
        <v>16</v>
      </c>
      <c r="E266" s="99">
        <v>0.83</v>
      </c>
      <c r="F266" s="99">
        <f>F265*E266</f>
        <v>99.6</v>
      </c>
      <c r="G266" s="99"/>
      <c r="H266" s="210">
        <f>F266*G266</f>
        <v>0</v>
      </c>
      <c r="I266" s="157"/>
      <c r="J266" s="210"/>
      <c r="K266" s="157"/>
      <c r="L266" s="99"/>
      <c r="M266" s="99">
        <f>H266</f>
        <v>0</v>
      </c>
    </row>
    <row r="267" spans="1:13" s="212" customFormat="1" ht="15.75">
      <c r="A267" s="77"/>
      <c r="B267" s="77"/>
      <c r="C267" s="159" t="s">
        <v>124</v>
      </c>
      <c r="D267" s="77" t="s">
        <v>125</v>
      </c>
      <c r="E267" s="99">
        <v>0.0041</v>
      </c>
      <c r="F267" s="99">
        <f>F265*E267</f>
        <v>0.49200000000000005</v>
      </c>
      <c r="G267" s="158"/>
      <c r="H267" s="210"/>
      <c r="I267" s="99"/>
      <c r="J267" s="210"/>
      <c r="K267" s="99"/>
      <c r="L267" s="99">
        <f>F267*K267</f>
        <v>0</v>
      </c>
      <c r="M267" s="99">
        <f>L267</f>
        <v>0</v>
      </c>
    </row>
    <row r="268" spans="1:13" s="214" customFormat="1" ht="15.75">
      <c r="A268" s="77"/>
      <c r="B268" s="77"/>
      <c r="C268" s="159" t="s">
        <v>327</v>
      </c>
      <c r="D268" s="77" t="s">
        <v>19</v>
      </c>
      <c r="E268" s="99">
        <v>1.02</v>
      </c>
      <c r="F268" s="99">
        <f>F265*E268</f>
        <v>122.4</v>
      </c>
      <c r="G268" s="158"/>
      <c r="H268" s="210"/>
      <c r="I268" s="99"/>
      <c r="J268" s="210">
        <f>F268*I268</f>
        <v>0</v>
      </c>
      <c r="K268" s="157"/>
      <c r="L268" s="99"/>
      <c r="M268" s="99">
        <f>J268</f>
        <v>0</v>
      </c>
    </row>
    <row r="269" spans="1:13" s="214" customFormat="1" ht="15.75">
      <c r="A269" s="77"/>
      <c r="B269" s="77"/>
      <c r="C269" s="159" t="s">
        <v>127</v>
      </c>
      <c r="D269" s="77" t="s">
        <v>125</v>
      </c>
      <c r="E269" s="99">
        <v>0.078</v>
      </c>
      <c r="F269" s="99">
        <f>F265*E269</f>
        <v>9.36</v>
      </c>
      <c r="G269" s="158"/>
      <c r="H269" s="210"/>
      <c r="I269" s="99"/>
      <c r="J269" s="210">
        <f>F269*I269</f>
        <v>0</v>
      </c>
      <c r="K269" s="157"/>
      <c r="L269" s="99"/>
      <c r="M269" s="99">
        <f>J269</f>
        <v>0</v>
      </c>
    </row>
    <row r="270" spans="1:13" s="121" customFormat="1" ht="15.75">
      <c r="A270" s="35">
        <v>30</v>
      </c>
      <c r="B270" s="35" t="s">
        <v>174</v>
      </c>
      <c r="C270" s="100" t="s">
        <v>319</v>
      </c>
      <c r="D270" s="100" t="s">
        <v>173</v>
      </c>
      <c r="E270" s="200"/>
      <c r="F270" s="200">
        <v>60</v>
      </c>
      <c r="G270" s="83"/>
      <c r="H270" s="210"/>
      <c r="I270" s="83"/>
      <c r="J270" s="210"/>
      <c r="K270" s="36"/>
      <c r="L270" s="99"/>
      <c r="M270" s="99"/>
    </row>
    <row r="271" spans="1:13" s="212" customFormat="1" ht="15.75">
      <c r="A271" s="77"/>
      <c r="B271" s="77"/>
      <c r="C271" s="159" t="s">
        <v>317</v>
      </c>
      <c r="D271" s="77" t="s">
        <v>16</v>
      </c>
      <c r="E271" s="99">
        <f>(84+8)/100</f>
        <v>0.92</v>
      </c>
      <c r="F271" s="99">
        <f>F270*E271</f>
        <v>55.2</v>
      </c>
      <c r="G271" s="99"/>
      <c r="H271" s="210">
        <f>F271*G271</f>
        <v>0</v>
      </c>
      <c r="I271" s="157"/>
      <c r="J271" s="210"/>
      <c r="K271" s="157"/>
      <c r="L271" s="99"/>
      <c r="M271" s="99">
        <f>H271</f>
        <v>0</v>
      </c>
    </row>
    <row r="272" spans="1:13" s="212" customFormat="1" ht="15.75">
      <c r="A272" s="77"/>
      <c r="B272" s="77"/>
      <c r="C272" s="159" t="s">
        <v>320</v>
      </c>
      <c r="D272" s="77" t="s">
        <v>173</v>
      </c>
      <c r="E272" s="99">
        <v>1</v>
      </c>
      <c r="F272" s="99">
        <f>F270*E272</f>
        <v>60</v>
      </c>
      <c r="G272" s="158"/>
      <c r="H272" s="210"/>
      <c r="I272" s="217"/>
      <c r="J272" s="210">
        <f>F272*I272</f>
        <v>0</v>
      </c>
      <c r="K272" s="157"/>
      <c r="L272" s="99"/>
      <c r="M272" s="99">
        <f>J272</f>
        <v>0</v>
      </c>
    </row>
    <row r="273" spans="1:13" s="212" customFormat="1" ht="15.75">
      <c r="A273" s="77"/>
      <c r="B273" s="77"/>
      <c r="C273" s="159" t="s">
        <v>321</v>
      </c>
      <c r="D273" s="77" t="s">
        <v>172</v>
      </c>
      <c r="E273" s="99">
        <v>1</v>
      </c>
      <c r="F273" s="99">
        <f>F270*E273</f>
        <v>60</v>
      </c>
      <c r="G273" s="158"/>
      <c r="H273" s="210"/>
      <c r="I273" s="99"/>
      <c r="J273" s="210">
        <f>F273*I273</f>
        <v>0</v>
      </c>
      <c r="K273" s="157"/>
      <c r="L273" s="99"/>
      <c r="M273" s="99">
        <f>J273</f>
        <v>0</v>
      </c>
    </row>
    <row r="274" spans="1:13" s="214" customFormat="1" ht="16.5" thickBot="1">
      <c r="A274" s="77"/>
      <c r="B274" s="77"/>
      <c r="C274" s="159" t="s">
        <v>318</v>
      </c>
      <c r="D274" s="77" t="s">
        <v>158</v>
      </c>
      <c r="E274" s="99">
        <v>11.8</v>
      </c>
      <c r="F274" s="99">
        <f>F270*E274</f>
        <v>708</v>
      </c>
      <c r="G274" s="158"/>
      <c r="H274" s="210"/>
      <c r="I274" s="99"/>
      <c r="J274" s="210">
        <f>F274*I274</f>
        <v>0</v>
      </c>
      <c r="K274" s="157"/>
      <c r="L274" s="99"/>
      <c r="M274" s="99">
        <f>J274</f>
        <v>0</v>
      </c>
    </row>
    <row r="275" spans="1:23" s="46" customFormat="1" ht="27">
      <c r="A275" s="71">
        <v>13</v>
      </c>
      <c r="B275" s="202"/>
      <c r="C275" s="100" t="s">
        <v>349</v>
      </c>
      <c r="D275" s="100" t="s">
        <v>172</v>
      </c>
      <c r="E275" s="35"/>
      <c r="F275" s="283">
        <v>6</v>
      </c>
      <c r="G275" s="36"/>
      <c r="H275" s="210"/>
      <c r="I275" s="38"/>
      <c r="J275" s="210"/>
      <c r="K275" s="37"/>
      <c r="L275" s="99"/>
      <c r="M275" s="99"/>
      <c r="S275" s="43"/>
      <c r="T275" s="40"/>
      <c r="U275" s="40"/>
      <c r="V275" s="40"/>
      <c r="W275" s="40"/>
    </row>
    <row r="276" spans="1:19" s="40" customFormat="1" ht="13.5">
      <c r="A276" s="35"/>
      <c r="B276" s="35" t="s">
        <v>23</v>
      </c>
      <c r="C276" s="41" t="s">
        <v>131</v>
      </c>
      <c r="D276" s="35" t="s">
        <v>172</v>
      </c>
      <c r="E276" s="35"/>
      <c r="F276" s="36">
        <f>F275</f>
        <v>6</v>
      </c>
      <c r="G276" s="39"/>
      <c r="H276" s="210">
        <f>F276*G276</f>
        <v>0</v>
      </c>
      <c r="I276" s="38"/>
      <c r="J276" s="210"/>
      <c r="K276" s="37"/>
      <c r="L276" s="99"/>
      <c r="M276" s="99">
        <f>H276</f>
        <v>0</v>
      </c>
      <c r="S276" s="42"/>
    </row>
    <row r="277" spans="1:13" s="408" customFormat="1" ht="27">
      <c r="A277" s="412">
        <v>8</v>
      </c>
      <c r="B277" s="413" t="s">
        <v>384</v>
      </c>
      <c r="C277" s="220" t="s">
        <v>385</v>
      </c>
      <c r="D277" s="414" t="s">
        <v>386</v>
      </c>
      <c r="E277" s="415"/>
      <c r="F277" s="416">
        <f>F280*0.2</f>
        <v>14</v>
      </c>
      <c r="G277" s="417"/>
      <c r="H277" s="417"/>
      <c r="I277" s="418"/>
      <c r="J277" s="412"/>
      <c r="K277" s="417"/>
      <c r="L277" s="417"/>
      <c r="M277" s="419"/>
    </row>
    <row r="278" spans="1:13" s="409" customFormat="1" ht="15.75">
      <c r="A278" s="379"/>
      <c r="B278" s="420"/>
      <c r="C278" s="421" t="s">
        <v>123</v>
      </c>
      <c r="D278" s="379" t="s">
        <v>16</v>
      </c>
      <c r="E278" s="422">
        <v>0.594</v>
      </c>
      <c r="F278" s="422">
        <f>F277*E278</f>
        <v>8.315999999999999</v>
      </c>
      <c r="G278" s="423"/>
      <c r="H278" s="423">
        <f>F278*G278</f>
        <v>0</v>
      </c>
      <c r="I278" s="424"/>
      <c r="J278" s="424"/>
      <c r="K278" s="424"/>
      <c r="L278" s="424"/>
      <c r="M278" s="425">
        <f>H278</f>
        <v>0</v>
      </c>
    </row>
    <row r="279" spans="1:13" s="409" customFormat="1" ht="15.75">
      <c r="A279" s="379"/>
      <c r="B279" s="379"/>
      <c r="C279" s="421" t="s">
        <v>124</v>
      </c>
      <c r="D279" s="379" t="s">
        <v>125</v>
      </c>
      <c r="E279" s="426">
        <v>0.0266</v>
      </c>
      <c r="F279" s="422">
        <f>F277*E279</f>
        <v>0.37239999999999995</v>
      </c>
      <c r="G279" s="427"/>
      <c r="H279" s="424"/>
      <c r="I279" s="424"/>
      <c r="J279" s="424"/>
      <c r="K279" s="423"/>
      <c r="L279" s="423">
        <f>F279*K279</f>
        <v>0</v>
      </c>
      <c r="M279" s="423">
        <f>L279</f>
        <v>0</v>
      </c>
    </row>
    <row r="280" spans="1:13" s="407" customFormat="1" ht="15.75">
      <c r="A280" s="379"/>
      <c r="B280" s="379"/>
      <c r="C280" s="428" t="s">
        <v>387</v>
      </c>
      <c r="D280" s="379" t="s">
        <v>173</v>
      </c>
      <c r="E280" s="429" t="s">
        <v>388</v>
      </c>
      <c r="F280" s="430">
        <v>70</v>
      </c>
      <c r="G280" s="427"/>
      <c r="H280" s="424"/>
      <c r="I280" s="423"/>
      <c r="J280" s="423">
        <f>F280*I280</f>
        <v>0</v>
      </c>
      <c r="K280" s="424"/>
      <c r="L280" s="424"/>
      <c r="M280" s="423">
        <f>J280</f>
        <v>0</v>
      </c>
    </row>
    <row r="281" spans="1:13" s="407" customFormat="1" ht="15.75">
      <c r="A281" s="379"/>
      <c r="B281" s="379"/>
      <c r="C281" s="421" t="s">
        <v>127</v>
      </c>
      <c r="D281" s="379" t="s">
        <v>125</v>
      </c>
      <c r="E281" s="426">
        <v>0.048</v>
      </c>
      <c r="F281" s="422">
        <f>F277*E281</f>
        <v>0.672</v>
      </c>
      <c r="G281" s="427"/>
      <c r="H281" s="424"/>
      <c r="I281" s="423"/>
      <c r="J281" s="423">
        <f>F281*I281</f>
        <v>0</v>
      </c>
      <c r="K281" s="424"/>
      <c r="L281" s="424"/>
      <c r="M281" s="423">
        <f>J281</f>
        <v>0</v>
      </c>
    </row>
    <row r="282" spans="1:14" s="161" customFormat="1" ht="54">
      <c r="A282" s="166">
        <v>31</v>
      </c>
      <c r="B282" s="169" t="s">
        <v>160</v>
      </c>
      <c r="C282" s="100" t="s">
        <v>161</v>
      </c>
      <c r="D282" s="195" t="s">
        <v>368</v>
      </c>
      <c r="E282" s="168"/>
      <c r="F282" s="292">
        <v>610</v>
      </c>
      <c r="G282" s="167"/>
      <c r="H282" s="210"/>
      <c r="I282" s="166"/>
      <c r="J282" s="210"/>
      <c r="K282" s="167"/>
      <c r="L282" s="99"/>
      <c r="M282" s="99"/>
      <c r="N282" s="160"/>
    </row>
    <row r="283" spans="1:14" s="28" customFormat="1" ht="13.5">
      <c r="A283" s="166"/>
      <c r="B283" s="169"/>
      <c r="C283" s="41" t="s">
        <v>154</v>
      </c>
      <c r="D283" s="166" t="s">
        <v>16</v>
      </c>
      <c r="E283" s="168">
        <f>(45.8)*0.01</f>
        <v>0.45799999999999996</v>
      </c>
      <c r="F283" s="166">
        <f>E283*F282</f>
        <v>279.38</v>
      </c>
      <c r="G283" s="167"/>
      <c r="H283" s="210">
        <f>F283*G283</f>
        <v>0</v>
      </c>
      <c r="I283" s="166"/>
      <c r="J283" s="210"/>
      <c r="K283" s="167"/>
      <c r="L283" s="99"/>
      <c r="M283" s="99">
        <f>H283</f>
        <v>0</v>
      </c>
      <c r="N283" s="44"/>
    </row>
    <row r="284" spans="1:14" s="28" customFormat="1" ht="13.5">
      <c r="A284" s="166"/>
      <c r="B284" s="169"/>
      <c r="C284" s="41" t="s">
        <v>162</v>
      </c>
      <c r="D284" s="166"/>
      <c r="E284" s="168" t="s">
        <v>163</v>
      </c>
      <c r="F284" s="166"/>
      <c r="G284" s="167"/>
      <c r="H284" s="210"/>
      <c r="I284" s="166"/>
      <c r="J284" s="210"/>
      <c r="K284" s="167"/>
      <c r="L284" s="99"/>
      <c r="M284" s="99"/>
      <c r="N284" s="44"/>
    </row>
    <row r="285" spans="1:14" s="161" customFormat="1" ht="13.5">
      <c r="A285" s="166"/>
      <c r="B285" s="196"/>
      <c r="C285" s="41" t="s">
        <v>155</v>
      </c>
      <c r="D285" s="166" t="s">
        <v>125</v>
      </c>
      <c r="E285" s="168">
        <f>(0.23)*0.01</f>
        <v>0.0023</v>
      </c>
      <c r="F285" s="168">
        <f>E285*F282</f>
        <v>1.403</v>
      </c>
      <c r="G285" s="166"/>
      <c r="H285" s="210"/>
      <c r="I285" s="167"/>
      <c r="J285" s="210"/>
      <c r="K285" s="167"/>
      <c r="L285" s="99">
        <f>F285*K285</f>
        <v>0</v>
      </c>
      <c r="M285" s="99">
        <f>L285</f>
        <v>0</v>
      </c>
      <c r="N285" s="160"/>
    </row>
    <row r="286" spans="1:14" s="28" customFormat="1" ht="13.5">
      <c r="A286" s="166"/>
      <c r="B286" s="169" t="s">
        <v>156</v>
      </c>
      <c r="C286" s="41" t="s">
        <v>157</v>
      </c>
      <c r="D286" s="166"/>
      <c r="E286" s="168"/>
      <c r="F286" s="168"/>
      <c r="G286" s="167"/>
      <c r="H286" s="210"/>
      <c r="I286" s="166"/>
      <c r="J286" s="210"/>
      <c r="K286" s="167"/>
      <c r="L286" s="99"/>
      <c r="M286" s="99"/>
      <c r="N286" s="44"/>
    </row>
    <row r="287" spans="1:14" s="28" customFormat="1" ht="14.25" customHeight="1">
      <c r="A287" s="166"/>
      <c r="B287" s="169" t="s">
        <v>164</v>
      </c>
      <c r="C287" s="41" t="s">
        <v>165</v>
      </c>
      <c r="D287" s="166" t="s">
        <v>166</v>
      </c>
      <c r="E287" s="168">
        <f>0.037*0.01</f>
        <v>0.00037</v>
      </c>
      <c r="F287" s="168">
        <f>E287*F282</f>
        <v>0.22569999999999998</v>
      </c>
      <c r="G287" s="167"/>
      <c r="H287" s="210"/>
      <c r="I287" s="166"/>
      <c r="J287" s="210">
        <f>F287*I287</f>
        <v>0</v>
      </c>
      <c r="K287" s="167"/>
      <c r="L287" s="99"/>
      <c r="M287" s="99">
        <f>J287</f>
        <v>0</v>
      </c>
      <c r="N287" s="44"/>
    </row>
    <row r="288" spans="1:14" s="28" customFormat="1" ht="14.25" customHeight="1">
      <c r="A288" s="166"/>
      <c r="B288" s="169" t="s">
        <v>167</v>
      </c>
      <c r="C288" s="41" t="s">
        <v>168</v>
      </c>
      <c r="D288" s="166" t="s">
        <v>169</v>
      </c>
      <c r="E288" s="168">
        <f>0.006*0.01</f>
        <v>6E-05</v>
      </c>
      <c r="F288" s="168">
        <f>E288*F282</f>
        <v>0.0366</v>
      </c>
      <c r="G288" s="167"/>
      <c r="H288" s="210"/>
      <c r="I288" s="166"/>
      <c r="J288" s="210">
        <f>F288*I288</f>
        <v>0</v>
      </c>
      <c r="K288" s="167"/>
      <c r="L288" s="99"/>
      <c r="M288" s="99">
        <f>J288</f>
        <v>0</v>
      </c>
      <c r="N288" s="44"/>
    </row>
    <row r="289" spans="1:14" s="28" customFormat="1" ht="14.25" customHeight="1">
      <c r="A289" s="166"/>
      <c r="B289" s="169" t="s">
        <v>170</v>
      </c>
      <c r="C289" s="41" t="s">
        <v>171</v>
      </c>
      <c r="D289" s="166" t="s">
        <v>153</v>
      </c>
      <c r="E289" s="168">
        <f>1.2*0.01</f>
        <v>0.012</v>
      </c>
      <c r="F289" s="168">
        <f>E289*F282</f>
        <v>7.32</v>
      </c>
      <c r="G289" s="167"/>
      <c r="H289" s="210"/>
      <c r="I289" s="166"/>
      <c r="J289" s="210">
        <f>F289*I289</f>
        <v>0</v>
      </c>
      <c r="K289" s="167"/>
      <c r="L289" s="99"/>
      <c r="M289" s="99">
        <f>J289</f>
        <v>0</v>
      </c>
      <c r="N289" s="44"/>
    </row>
    <row r="290" spans="1:13" s="218" customFormat="1" ht="16.5">
      <c r="A290" s="77"/>
      <c r="B290" s="35"/>
      <c r="C290" s="100" t="s">
        <v>253</v>
      </c>
      <c r="D290" s="77"/>
      <c r="E290" s="99"/>
      <c r="F290" s="99"/>
      <c r="G290" s="99"/>
      <c r="H290" s="210"/>
      <c r="I290" s="99"/>
      <c r="J290" s="210"/>
      <c r="K290" s="99"/>
      <c r="L290" s="99"/>
      <c r="M290" s="99"/>
    </row>
    <row r="291" spans="1:18" s="218" customFormat="1" ht="27">
      <c r="A291" s="77">
        <v>1</v>
      </c>
      <c r="B291" s="272" t="s">
        <v>254</v>
      </c>
      <c r="C291" s="100" t="s">
        <v>255</v>
      </c>
      <c r="D291" s="76" t="s">
        <v>151</v>
      </c>
      <c r="E291" s="99"/>
      <c r="F291" s="200">
        <v>2.5</v>
      </c>
      <c r="G291" s="99"/>
      <c r="H291" s="210"/>
      <c r="I291" s="99"/>
      <c r="J291" s="210"/>
      <c r="K291" s="99"/>
      <c r="L291" s="99"/>
      <c r="M291" s="99"/>
      <c r="N291" s="539"/>
      <c r="O291" s="540"/>
      <c r="P291" s="540"/>
      <c r="Q291" s="540"/>
      <c r="R291" s="540"/>
    </row>
    <row r="292" spans="1:13" s="218" customFormat="1" ht="16.5">
      <c r="A292" s="77"/>
      <c r="B292" s="35"/>
      <c r="C292" s="153" t="s">
        <v>256</v>
      </c>
      <c r="D292" s="77" t="s">
        <v>16</v>
      </c>
      <c r="E292" s="99">
        <v>4.11</v>
      </c>
      <c r="F292" s="99">
        <f>F291*E292</f>
        <v>10.275</v>
      </c>
      <c r="G292" s="99"/>
      <c r="H292" s="210">
        <f>F292*G292</f>
        <v>0</v>
      </c>
      <c r="I292" s="99"/>
      <c r="J292" s="210"/>
      <c r="K292" s="99"/>
      <c r="L292" s="99"/>
      <c r="M292" s="99">
        <f>H292</f>
        <v>0</v>
      </c>
    </row>
    <row r="293" spans="1:18" s="218" customFormat="1" ht="27">
      <c r="A293" s="77">
        <v>2</v>
      </c>
      <c r="B293" s="272" t="s">
        <v>257</v>
      </c>
      <c r="C293" s="100" t="s">
        <v>258</v>
      </c>
      <c r="D293" s="76" t="s">
        <v>151</v>
      </c>
      <c r="E293" s="99"/>
      <c r="F293" s="200">
        <v>2.5</v>
      </c>
      <c r="G293" s="99"/>
      <c r="H293" s="210"/>
      <c r="I293" s="99"/>
      <c r="J293" s="210"/>
      <c r="K293" s="99"/>
      <c r="L293" s="99"/>
      <c r="M293" s="99"/>
      <c r="N293" s="539"/>
      <c r="O293" s="540"/>
      <c r="P293" s="540"/>
      <c r="Q293" s="540"/>
      <c r="R293" s="540"/>
    </row>
    <row r="294" spans="1:13" s="218" customFormat="1" ht="16.5">
      <c r="A294" s="77"/>
      <c r="B294" s="35"/>
      <c r="C294" s="159" t="s">
        <v>256</v>
      </c>
      <c r="D294" s="77" t="s">
        <v>16</v>
      </c>
      <c r="E294" s="99">
        <f>121*0.01</f>
        <v>1.21</v>
      </c>
      <c r="F294" s="99">
        <f>F293*E294</f>
        <v>3.025</v>
      </c>
      <c r="G294" s="99"/>
      <c r="H294" s="210">
        <f>F294*G294</f>
        <v>0</v>
      </c>
      <c r="I294" s="99"/>
      <c r="J294" s="210"/>
      <c r="K294" s="99"/>
      <c r="L294" s="99"/>
      <c r="M294" s="99">
        <f>H294</f>
        <v>0</v>
      </c>
    </row>
    <row r="295" spans="1:13" s="218" customFormat="1" ht="40.5">
      <c r="A295" s="77">
        <v>3</v>
      </c>
      <c r="B295" s="7" t="s">
        <v>259</v>
      </c>
      <c r="C295" s="100" t="s">
        <v>260</v>
      </c>
      <c r="D295" s="255" t="s">
        <v>261</v>
      </c>
      <c r="E295" s="36"/>
      <c r="F295" s="200">
        <v>4.6</v>
      </c>
      <c r="G295" s="36"/>
      <c r="H295" s="210"/>
      <c r="I295" s="36"/>
      <c r="J295" s="210"/>
      <c r="K295" s="36"/>
      <c r="L295" s="99">
        <f>F295*K295</f>
        <v>0</v>
      </c>
      <c r="M295" s="99">
        <f>L295</f>
        <v>0</v>
      </c>
    </row>
    <row r="296" spans="1:13" s="218" customFormat="1" ht="27">
      <c r="A296" s="77">
        <v>4</v>
      </c>
      <c r="B296" s="273" t="s">
        <v>262</v>
      </c>
      <c r="C296" s="100" t="s">
        <v>375</v>
      </c>
      <c r="D296" s="76" t="s">
        <v>151</v>
      </c>
      <c r="E296" s="99"/>
      <c r="F296" s="200">
        <v>2.5</v>
      </c>
      <c r="G296" s="77"/>
      <c r="H296" s="210"/>
      <c r="I296" s="77"/>
      <c r="J296" s="210"/>
      <c r="K296" s="77"/>
      <c r="L296" s="99"/>
      <c r="M296" s="99"/>
    </row>
    <row r="297" spans="1:13" s="218" customFormat="1" ht="16.5">
      <c r="A297" s="77"/>
      <c r="B297" s="35"/>
      <c r="C297" s="159" t="s">
        <v>148</v>
      </c>
      <c r="D297" s="77" t="s">
        <v>16</v>
      </c>
      <c r="E297" s="99">
        <v>4.41</v>
      </c>
      <c r="F297" s="99">
        <f>F296*E297</f>
        <v>11.025</v>
      </c>
      <c r="G297" s="99"/>
      <c r="H297" s="210">
        <f>F297*G297</f>
        <v>0</v>
      </c>
      <c r="I297" s="99"/>
      <c r="J297" s="210"/>
      <c r="K297" s="99"/>
      <c r="L297" s="99"/>
      <c r="M297" s="99">
        <f>H297</f>
        <v>0</v>
      </c>
    </row>
    <row r="298" spans="1:13" s="218" customFormat="1" ht="16.5">
      <c r="A298" s="77"/>
      <c r="B298" s="35"/>
      <c r="C298" s="159" t="s">
        <v>263</v>
      </c>
      <c r="D298" s="77" t="s">
        <v>16</v>
      </c>
      <c r="E298" s="99">
        <v>0.1814</v>
      </c>
      <c r="F298" s="99">
        <f>F296*E298</f>
        <v>0.4535</v>
      </c>
      <c r="G298" s="99"/>
      <c r="H298" s="210">
        <f>F298*G298</f>
        <v>0</v>
      </c>
      <c r="I298" s="99"/>
      <c r="J298" s="210"/>
      <c r="K298" s="99"/>
      <c r="L298" s="99"/>
      <c r="M298" s="99">
        <f>H298</f>
        <v>0</v>
      </c>
    </row>
    <row r="299" spans="1:13" s="218" customFormat="1" ht="16.5">
      <c r="A299" s="77"/>
      <c r="B299" s="35"/>
      <c r="C299" s="159" t="s">
        <v>149</v>
      </c>
      <c r="D299" s="77" t="s">
        <v>125</v>
      </c>
      <c r="E299" s="99">
        <f>0.5502*1.03</f>
        <v>0.566706</v>
      </c>
      <c r="F299" s="99">
        <f>F296*E299</f>
        <v>1.416765</v>
      </c>
      <c r="G299" s="99"/>
      <c r="H299" s="210"/>
      <c r="I299" s="99"/>
      <c r="J299" s="210"/>
      <c r="K299" s="99"/>
      <c r="L299" s="99">
        <f>F299*K299</f>
        <v>0</v>
      </c>
      <c r="M299" s="99">
        <f>L299</f>
        <v>0</v>
      </c>
    </row>
    <row r="300" spans="1:13" s="218" customFormat="1" ht="16.5">
      <c r="A300" s="77"/>
      <c r="B300" s="35"/>
      <c r="C300" s="159" t="s">
        <v>150</v>
      </c>
      <c r="D300" s="77"/>
      <c r="E300" s="99"/>
      <c r="F300" s="99"/>
      <c r="G300" s="99"/>
      <c r="H300" s="210"/>
      <c r="I300" s="99"/>
      <c r="J300" s="210"/>
      <c r="K300" s="99"/>
      <c r="L300" s="99"/>
      <c r="M300" s="99"/>
    </row>
    <row r="301" spans="1:13" s="218" customFormat="1" ht="16.5">
      <c r="A301" s="77"/>
      <c r="B301" s="35"/>
      <c r="C301" s="159" t="s">
        <v>376</v>
      </c>
      <c r="D301" s="77" t="s">
        <v>151</v>
      </c>
      <c r="E301" s="99">
        <f>102*0.01</f>
        <v>1.02</v>
      </c>
      <c r="F301" s="99">
        <f>F296*E301</f>
        <v>2.55</v>
      </c>
      <c r="G301" s="99"/>
      <c r="H301" s="210"/>
      <c r="I301" s="99"/>
      <c r="J301" s="210">
        <f>F301*I301</f>
        <v>0</v>
      </c>
      <c r="K301" s="99"/>
      <c r="L301" s="99"/>
      <c r="M301" s="99">
        <f>J301</f>
        <v>0</v>
      </c>
    </row>
    <row r="302" spans="1:13" s="218" customFormat="1" ht="16.5">
      <c r="A302" s="77"/>
      <c r="B302" s="35"/>
      <c r="C302" s="159" t="s">
        <v>264</v>
      </c>
      <c r="D302" s="77" t="s">
        <v>261</v>
      </c>
      <c r="E302" s="36"/>
      <c r="F302" s="36">
        <v>0.0255</v>
      </c>
      <c r="G302" s="36"/>
      <c r="H302" s="210"/>
      <c r="I302" s="36"/>
      <c r="J302" s="210">
        <f>F302*I302</f>
        <v>0</v>
      </c>
      <c r="K302" s="36"/>
      <c r="L302" s="99"/>
      <c r="M302" s="99">
        <f>J302</f>
        <v>0</v>
      </c>
    </row>
    <row r="303" spans="1:13" s="218" customFormat="1" ht="16.5">
      <c r="A303" s="77"/>
      <c r="B303" s="35"/>
      <c r="C303" s="159" t="s">
        <v>377</v>
      </c>
      <c r="D303" s="77" t="s">
        <v>261</v>
      </c>
      <c r="E303" s="36"/>
      <c r="F303" s="36">
        <v>0.0675</v>
      </c>
      <c r="G303" s="36"/>
      <c r="H303" s="210"/>
      <c r="I303" s="36"/>
      <c r="J303" s="210">
        <f>F303*I303</f>
        <v>0</v>
      </c>
      <c r="K303" s="36"/>
      <c r="L303" s="99"/>
      <c r="M303" s="99">
        <f>J303</f>
        <v>0</v>
      </c>
    </row>
    <row r="304" spans="1:13" s="218" customFormat="1" ht="16.5">
      <c r="A304" s="77"/>
      <c r="B304" s="35"/>
      <c r="C304" s="159" t="s">
        <v>265</v>
      </c>
      <c r="D304" s="77" t="s">
        <v>147</v>
      </c>
      <c r="E304" s="99">
        <v>0.641</v>
      </c>
      <c r="F304" s="99">
        <f>F296*E304</f>
        <v>1.6025</v>
      </c>
      <c r="G304" s="99"/>
      <c r="H304" s="210"/>
      <c r="I304" s="99"/>
      <c r="J304" s="210">
        <f>F304*I304</f>
        <v>0</v>
      </c>
      <c r="K304" s="99"/>
      <c r="L304" s="99"/>
      <c r="M304" s="99">
        <f>J304</f>
        <v>0</v>
      </c>
    </row>
    <row r="305" spans="1:13" s="218" customFormat="1" ht="16.5">
      <c r="A305" s="77"/>
      <c r="B305" s="35"/>
      <c r="C305" s="159" t="s">
        <v>152</v>
      </c>
      <c r="D305" s="77" t="s">
        <v>125</v>
      </c>
      <c r="E305" s="99">
        <v>0.558</v>
      </c>
      <c r="F305" s="99">
        <f>F296*E305</f>
        <v>1.395</v>
      </c>
      <c r="G305" s="99"/>
      <c r="H305" s="210"/>
      <c r="I305" s="99"/>
      <c r="J305" s="210">
        <f>F305*I305</f>
        <v>0</v>
      </c>
      <c r="K305" s="99"/>
      <c r="L305" s="99"/>
      <c r="M305" s="99">
        <f>J305</f>
        <v>0</v>
      </c>
    </row>
    <row r="306" spans="1:13" s="218" customFormat="1" ht="108">
      <c r="A306" s="77">
        <v>5</v>
      </c>
      <c r="B306" s="274" t="s">
        <v>266</v>
      </c>
      <c r="C306" s="100" t="s">
        <v>348</v>
      </c>
      <c r="D306" s="255" t="s">
        <v>172</v>
      </c>
      <c r="E306" s="99"/>
      <c r="F306" s="200">
        <v>3</v>
      </c>
      <c r="G306" s="99"/>
      <c r="H306" s="210"/>
      <c r="I306" s="99"/>
      <c r="J306" s="210"/>
      <c r="K306" s="99"/>
      <c r="L306" s="99"/>
      <c r="M306" s="99"/>
    </row>
    <row r="307" spans="1:13" s="218" customFormat="1" ht="16.5">
      <c r="A307" s="77"/>
      <c r="B307" s="35"/>
      <c r="C307" s="159" t="s">
        <v>148</v>
      </c>
      <c r="D307" s="77" t="s">
        <v>16</v>
      </c>
      <c r="E307" s="99">
        <f>14.8</f>
        <v>14.8</v>
      </c>
      <c r="F307" s="99">
        <f>F306*E307</f>
        <v>44.400000000000006</v>
      </c>
      <c r="G307" s="77"/>
      <c r="H307" s="210">
        <f>F307*G307</f>
        <v>0</v>
      </c>
      <c r="I307" s="99"/>
      <c r="J307" s="210"/>
      <c r="K307" s="77"/>
      <c r="L307" s="99"/>
      <c r="M307" s="99">
        <f>H307</f>
        <v>0</v>
      </c>
    </row>
    <row r="308" spans="1:13" s="218" customFormat="1" ht="16.5">
      <c r="A308" s="77"/>
      <c r="B308" s="35"/>
      <c r="C308" s="159" t="s">
        <v>263</v>
      </c>
      <c r="D308" s="77" t="s">
        <v>16</v>
      </c>
      <c r="E308" s="99">
        <f>2.87</f>
        <v>2.87</v>
      </c>
      <c r="F308" s="99">
        <f>F306*E308</f>
        <v>8.61</v>
      </c>
      <c r="G308" s="77"/>
      <c r="H308" s="210">
        <f>F308*G308</f>
        <v>0</v>
      </c>
      <c r="I308" s="99"/>
      <c r="J308" s="210"/>
      <c r="K308" s="77"/>
      <c r="L308" s="99"/>
      <c r="M308" s="99">
        <f>H308</f>
        <v>0</v>
      </c>
    </row>
    <row r="309" spans="1:13" s="218" customFormat="1" ht="16.5">
      <c r="A309" s="77"/>
      <c r="B309" s="35" t="s">
        <v>267</v>
      </c>
      <c r="C309" s="159" t="s">
        <v>268</v>
      </c>
      <c r="D309" s="77" t="s">
        <v>269</v>
      </c>
      <c r="E309" s="99">
        <f>1.97*0.98</f>
        <v>1.9305999999999999</v>
      </c>
      <c r="F309" s="99">
        <f>F306*E309</f>
        <v>5.791799999999999</v>
      </c>
      <c r="G309" s="77"/>
      <c r="H309" s="210"/>
      <c r="I309" s="77"/>
      <c r="J309" s="210"/>
      <c r="K309" s="77"/>
      <c r="L309" s="99">
        <f>F309*K309</f>
        <v>0</v>
      </c>
      <c r="M309" s="99">
        <f>L309</f>
        <v>0</v>
      </c>
    </row>
    <row r="310" spans="1:13" s="218" customFormat="1" ht="16.5">
      <c r="A310" s="77"/>
      <c r="B310" s="35"/>
      <c r="C310" s="159" t="s">
        <v>149</v>
      </c>
      <c r="D310" s="77" t="s">
        <v>125</v>
      </c>
      <c r="E310" s="99">
        <f>2.67*0.5</f>
        <v>1.335</v>
      </c>
      <c r="F310" s="99">
        <f>F306*E310</f>
        <v>4.005</v>
      </c>
      <c r="G310" s="99"/>
      <c r="H310" s="210"/>
      <c r="I310" s="99"/>
      <c r="J310" s="210"/>
      <c r="K310" s="99"/>
      <c r="L310" s="99">
        <f>F310*K310</f>
        <v>0</v>
      </c>
      <c r="M310" s="99">
        <f>L310</f>
        <v>0</v>
      </c>
    </row>
    <row r="311" spans="1:13" s="218" customFormat="1" ht="16.5">
      <c r="A311" s="77"/>
      <c r="B311" s="35"/>
      <c r="C311" s="159" t="s">
        <v>150</v>
      </c>
      <c r="D311" s="77"/>
      <c r="E311" s="99"/>
      <c r="F311" s="99"/>
      <c r="G311" s="99"/>
      <c r="H311" s="210"/>
      <c r="I311" s="99"/>
      <c r="J311" s="210"/>
      <c r="K311" s="99"/>
      <c r="L311" s="99"/>
      <c r="M311" s="99"/>
    </row>
    <row r="312" spans="1:13" s="218" customFormat="1" ht="16.5">
      <c r="A312" s="77"/>
      <c r="B312" s="35"/>
      <c r="C312" s="159" t="s">
        <v>270</v>
      </c>
      <c r="D312" s="77" t="s">
        <v>271</v>
      </c>
      <c r="E312" s="99"/>
      <c r="F312" s="99">
        <v>3</v>
      </c>
      <c r="G312" s="99"/>
      <c r="H312" s="210"/>
      <c r="I312" s="99"/>
      <c r="J312" s="210">
        <f>F312*I312</f>
        <v>0</v>
      </c>
      <c r="K312" s="99"/>
      <c r="L312" s="99"/>
      <c r="M312" s="99">
        <f>J312</f>
        <v>0</v>
      </c>
    </row>
    <row r="313" spans="1:13" s="218" customFormat="1" ht="16.5">
      <c r="A313" s="77"/>
      <c r="B313" s="35"/>
      <c r="C313" s="159" t="s">
        <v>152</v>
      </c>
      <c r="D313" s="77" t="s">
        <v>125</v>
      </c>
      <c r="E313" s="99">
        <v>2.67</v>
      </c>
      <c r="F313" s="99">
        <f>F306*E313</f>
        <v>8.01</v>
      </c>
      <c r="G313" s="99"/>
      <c r="H313" s="210"/>
      <c r="I313" s="99"/>
      <c r="J313" s="210">
        <f>F313*I313</f>
        <v>0</v>
      </c>
      <c r="K313" s="99"/>
      <c r="L313" s="99"/>
      <c r="M313" s="99">
        <f>J313</f>
        <v>0</v>
      </c>
    </row>
    <row r="314" spans="1:19" ht="13.5">
      <c r="A314" s="72"/>
      <c r="B314" s="203"/>
      <c r="C314" s="73" t="s">
        <v>36</v>
      </c>
      <c r="D314" s="74"/>
      <c r="E314" s="75"/>
      <c r="F314" s="256"/>
      <c r="G314" s="25"/>
      <c r="H314" s="257">
        <f>SUM(H9:H313)</f>
        <v>0</v>
      </c>
      <c r="I314" s="258"/>
      <c r="J314" s="257">
        <f>SUM(J9:J313)</f>
        <v>0</v>
      </c>
      <c r="K314" s="258"/>
      <c r="L314" s="257">
        <f>SUM(L9:L313)</f>
        <v>0</v>
      </c>
      <c r="M314" s="257">
        <f>L314+J314+H314</f>
        <v>0</v>
      </c>
      <c r="R314" s="162"/>
      <c r="S314" s="163"/>
    </row>
    <row r="315" spans="1:13" ht="13.5">
      <c r="A315" s="7"/>
      <c r="B315" s="204"/>
      <c r="C315" s="30" t="s">
        <v>42</v>
      </c>
      <c r="D315" s="48"/>
      <c r="E315" s="8"/>
      <c r="F315" s="10"/>
      <c r="G315" s="58"/>
      <c r="H315" s="66"/>
      <c r="I315" s="66"/>
      <c r="J315" s="66"/>
      <c r="K315" s="66"/>
      <c r="L315" s="67"/>
      <c r="M315" s="67">
        <f>J314*D315</f>
        <v>0</v>
      </c>
    </row>
    <row r="316" spans="1:13" ht="13.5">
      <c r="A316" s="7"/>
      <c r="B316" s="204"/>
      <c r="C316" s="29" t="s">
        <v>21</v>
      </c>
      <c r="D316" s="47"/>
      <c r="E316" s="8"/>
      <c r="F316" s="10"/>
      <c r="G316" s="58"/>
      <c r="H316" s="66"/>
      <c r="I316" s="66"/>
      <c r="J316" s="66"/>
      <c r="K316" s="66"/>
      <c r="L316" s="67"/>
      <c r="M316" s="67">
        <f>M315+M314</f>
        <v>0</v>
      </c>
    </row>
    <row r="317" spans="1:13" ht="13.5">
      <c r="A317" s="7"/>
      <c r="B317" s="204"/>
      <c r="C317" s="30" t="s">
        <v>43</v>
      </c>
      <c r="D317" s="48"/>
      <c r="E317" s="8"/>
      <c r="F317" s="10"/>
      <c r="G317" s="58"/>
      <c r="H317" s="66"/>
      <c r="I317" s="66"/>
      <c r="J317" s="66"/>
      <c r="K317" s="66"/>
      <c r="L317" s="67"/>
      <c r="M317" s="67">
        <f>M316*D317</f>
        <v>0</v>
      </c>
    </row>
    <row r="318" spans="1:13" ht="13.5">
      <c r="A318" s="7"/>
      <c r="B318" s="204"/>
      <c r="C318" s="29" t="s">
        <v>1</v>
      </c>
      <c r="D318" s="48"/>
      <c r="E318" s="250"/>
      <c r="F318" s="10"/>
      <c r="G318" s="58"/>
      <c r="H318" s="66"/>
      <c r="I318" s="66"/>
      <c r="J318" s="66"/>
      <c r="K318" s="66"/>
      <c r="L318" s="67"/>
      <c r="M318" s="67">
        <f>M316+M317</f>
        <v>0</v>
      </c>
    </row>
    <row r="319" spans="1:13" ht="13.5">
      <c r="A319" s="7"/>
      <c r="B319" s="204"/>
      <c r="C319" s="30" t="s">
        <v>20</v>
      </c>
      <c r="D319" s="48"/>
      <c r="E319" s="8"/>
      <c r="F319" s="10"/>
      <c r="G319" s="58"/>
      <c r="H319" s="66"/>
      <c r="I319" s="66"/>
      <c r="J319" s="66"/>
      <c r="K319" s="66"/>
      <c r="L319" s="67"/>
      <c r="M319" s="67">
        <f>M318*D319</f>
        <v>0</v>
      </c>
    </row>
    <row r="320" spans="1:13" ht="13.5">
      <c r="A320" s="7"/>
      <c r="B320" s="204"/>
      <c r="C320" s="29" t="s">
        <v>21</v>
      </c>
      <c r="D320" s="47"/>
      <c r="E320" s="8"/>
      <c r="F320" s="10"/>
      <c r="G320" s="58"/>
      <c r="H320" s="66"/>
      <c r="I320" s="66"/>
      <c r="J320" s="66"/>
      <c r="K320" s="66"/>
      <c r="L320" s="67"/>
      <c r="M320" s="67">
        <f>M319+M318</f>
        <v>0</v>
      </c>
    </row>
    <row r="321" ht="13.5">
      <c r="C321" s="164"/>
    </row>
  </sheetData>
  <sheetProtection/>
  <autoFilter ref="A8:M66"/>
  <mergeCells count="11">
    <mergeCell ref="D1:J1"/>
    <mergeCell ref="N19:Q19"/>
    <mergeCell ref="N20:Q20"/>
    <mergeCell ref="N21:Q21"/>
    <mergeCell ref="R88:T88"/>
    <mergeCell ref="N291:R291"/>
    <mergeCell ref="N293:R293"/>
    <mergeCell ref="N16:Q16"/>
    <mergeCell ref="N17:Q17"/>
    <mergeCell ref="N18:Q18"/>
    <mergeCell ref="N159:N165"/>
  </mergeCells>
  <printOptions/>
  <pageMargins left="0.7" right="0.7" top="0.75" bottom="0.75" header="0.3" footer="0.3"/>
  <pageSetup horizontalDpi="600" verticalDpi="600" orientation="landscape" scale="73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68"/>
  <sheetViews>
    <sheetView zoomScale="110" zoomScaleNormal="110" zoomScaleSheetLayoutView="100" zoomScalePageLayoutView="0" workbookViewId="0" topLeftCell="A22">
      <selection activeCell="J18" sqref="J18"/>
    </sheetView>
  </sheetViews>
  <sheetFormatPr defaultColWidth="9.140625" defaultRowHeight="15"/>
  <cols>
    <col min="1" max="1" width="4.57421875" style="70" customWidth="1"/>
    <col min="2" max="2" width="9.7109375" style="68" customWidth="1"/>
    <col min="3" max="3" width="40.7109375" style="32" customWidth="1"/>
    <col min="4" max="4" width="9.28125" style="32" bestFit="1" customWidth="1"/>
    <col min="5" max="5" width="11.57421875" style="50" bestFit="1" customWidth="1"/>
    <col min="6" max="6" width="12.421875" style="50" bestFit="1" customWidth="1"/>
    <col min="7" max="7" width="9.421875" style="50" customWidth="1"/>
    <col min="8" max="8" width="11.28125" style="50" bestFit="1" customWidth="1"/>
    <col min="9" max="9" width="9.421875" style="50" customWidth="1"/>
    <col min="10" max="10" width="11.421875" style="50" bestFit="1" customWidth="1"/>
    <col min="11" max="12" width="9.28125" style="50" bestFit="1" customWidth="1"/>
    <col min="13" max="13" width="11.7109375" style="50" bestFit="1" customWidth="1"/>
    <col min="14" max="16" width="0" style="50" hidden="1" customWidth="1"/>
    <col min="17" max="17" width="34.57421875" style="50" hidden="1" customWidth="1"/>
    <col min="18" max="18" width="11.00390625" style="50" customWidth="1"/>
    <col min="19" max="19" width="11.28125" style="32" bestFit="1" customWidth="1"/>
    <col min="20" max="20" width="44.8515625" style="51" hidden="1" customWidth="1"/>
    <col min="21" max="21" width="14.8515625" style="51" hidden="1" customWidth="1"/>
    <col min="22" max="22" width="14.8515625" style="51" customWidth="1"/>
    <col min="23" max="23" width="13.140625" style="51" customWidth="1"/>
    <col min="24" max="24" width="18.8515625" style="50" customWidth="1"/>
    <col min="25" max="25" width="13.00390625" style="50" customWidth="1"/>
    <col min="26" max="26" width="18.140625" style="50" customWidth="1"/>
    <col min="27" max="16384" width="9.140625" style="50" customWidth="1"/>
  </cols>
  <sheetData>
    <row r="1" spans="1:13" ht="54.75" customHeight="1">
      <c r="A1" s="69"/>
      <c r="B1" s="12"/>
      <c r="C1" s="13"/>
      <c r="D1" s="18"/>
      <c r="E1" s="14" t="s">
        <v>102</v>
      </c>
      <c r="F1" s="15"/>
      <c r="G1" s="14" t="s">
        <v>104</v>
      </c>
      <c r="H1" s="34"/>
      <c r="I1" s="11" t="s">
        <v>105</v>
      </c>
      <c r="J1" s="16"/>
      <c r="K1" s="17" t="s">
        <v>106</v>
      </c>
      <c r="L1" s="17"/>
      <c r="M1" s="12"/>
    </row>
    <row r="2" spans="1:13" ht="13.5">
      <c r="A2" s="23"/>
      <c r="B2" s="18"/>
      <c r="C2" s="14" t="s">
        <v>100</v>
      </c>
      <c r="D2" s="25"/>
      <c r="E2" s="19" t="s">
        <v>103</v>
      </c>
      <c r="F2" s="20"/>
      <c r="G2" s="21"/>
      <c r="H2" s="20"/>
      <c r="I2" s="21"/>
      <c r="J2" s="20"/>
      <c r="K2" s="21" t="s">
        <v>107</v>
      </c>
      <c r="L2" s="22"/>
      <c r="M2" s="18" t="s">
        <v>108</v>
      </c>
    </row>
    <row r="3" spans="1:13" ht="13.5">
      <c r="A3" s="23" t="s">
        <v>2</v>
      </c>
      <c r="B3" s="18" t="s">
        <v>99</v>
      </c>
      <c r="C3" s="31" t="s">
        <v>101</v>
      </c>
      <c r="D3" s="18" t="s">
        <v>112</v>
      </c>
      <c r="E3" s="18" t="s">
        <v>113</v>
      </c>
      <c r="F3" s="24" t="s">
        <v>109</v>
      </c>
      <c r="G3" s="18" t="s">
        <v>110</v>
      </c>
      <c r="H3" s="24" t="s">
        <v>109</v>
      </c>
      <c r="I3" s="18" t="s">
        <v>110</v>
      </c>
      <c r="J3" s="24" t="s">
        <v>109</v>
      </c>
      <c r="K3" s="18" t="s">
        <v>110</v>
      </c>
      <c r="L3" s="24" t="s">
        <v>109</v>
      </c>
      <c r="M3" s="18"/>
    </row>
    <row r="4" spans="1:13" ht="13.5">
      <c r="A4" s="19"/>
      <c r="B4" s="25"/>
      <c r="C4" s="26"/>
      <c r="D4" s="25"/>
      <c r="E4" s="25"/>
      <c r="F4" s="26"/>
      <c r="G4" s="25" t="s">
        <v>111</v>
      </c>
      <c r="H4" s="26"/>
      <c r="I4" s="25" t="s">
        <v>111</v>
      </c>
      <c r="J4" s="26"/>
      <c r="K4" s="25" t="s">
        <v>111</v>
      </c>
      <c r="L4" s="26"/>
      <c r="M4" s="25"/>
    </row>
    <row r="5" spans="1:23" s="52" customFormat="1" ht="13.5">
      <c r="A5" s="3" t="s">
        <v>3</v>
      </c>
      <c r="B5" s="4" t="s">
        <v>4</v>
      </c>
      <c r="C5" s="5" t="s">
        <v>5</v>
      </c>
      <c r="D5" s="3" t="s">
        <v>6</v>
      </c>
      <c r="E5" s="4" t="s">
        <v>7</v>
      </c>
      <c r="F5" s="6" t="s">
        <v>8</v>
      </c>
      <c r="G5" s="5" t="s">
        <v>9</v>
      </c>
      <c r="H5" s="3" t="s">
        <v>10</v>
      </c>
      <c r="I5" s="4" t="s">
        <v>11</v>
      </c>
      <c r="J5" s="5" t="s">
        <v>12</v>
      </c>
      <c r="K5" s="4" t="s">
        <v>13</v>
      </c>
      <c r="L5" s="3" t="s">
        <v>14</v>
      </c>
      <c r="M5" s="4" t="s">
        <v>15</v>
      </c>
      <c r="S5" s="53"/>
      <c r="T5" s="54"/>
      <c r="U5" s="54"/>
      <c r="V5" s="54"/>
      <c r="W5" s="54"/>
    </row>
    <row r="6" spans="1:17" ht="13.5">
      <c r="A6" s="1"/>
      <c r="B6" s="55"/>
      <c r="C6" s="2"/>
      <c r="D6" s="49"/>
      <c r="E6" s="56"/>
      <c r="F6" s="2"/>
      <c r="G6" s="12"/>
      <c r="H6" s="12"/>
      <c r="I6" s="12"/>
      <c r="J6" s="12"/>
      <c r="K6" s="12"/>
      <c r="L6" s="57"/>
      <c r="M6" s="57"/>
      <c r="N6" s="548" t="s">
        <v>115</v>
      </c>
      <c r="O6" s="548"/>
      <c r="P6" s="548"/>
      <c r="Q6" s="548"/>
    </row>
    <row r="7" spans="1:13" s="96" customFormat="1" ht="27">
      <c r="A7" s="85"/>
      <c r="B7" s="86"/>
      <c r="C7" s="87" t="s">
        <v>195</v>
      </c>
      <c r="D7" s="88"/>
      <c r="E7" s="89"/>
      <c r="F7" s="90"/>
      <c r="G7" s="91"/>
      <c r="H7" s="92"/>
      <c r="I7" s="92"/>
      <c r="J7" s="93"/>
      <c r="K7" s="94"/>
      <c r="L7" s="92"/>
      <c r="M7" s="95"/>
    </row>
    <row r="8" spans="1:14" s="45" customFormat="1" ht="54">
      <c r="A8" s="288">
        <v>1</v>
      </c>
      <c r="B8" s="289" t="s">
        <v>179</v>
      </c>
      <c r="C8" s="290" t="s">
        <v>180</v>
      </c>
      <c r="D8" s="291" t="s">
        <v>181</v>
      </c>
      <c r="E8" s="288"/>
      <c r="F8" s="292">
        <v>4</v>
      </c>
      <c r="G8" s="293"/>
      <c r="H8" s="294"/>
      <c r="I8" s="295"/>
      <c r="J8" s="296"/>
      <c r="K8" s="295"/>
      <c r="L8" s="296"/>
      <c r="M8" s="296"/>
      <c r="N8" s="79"/>
    </row>
    <row r="9" spans="1:14" s="45" customFormat="1" ht="13.5">
      <c r="A9" s="288"/>
      <c r="B9" s="289"/>
      <c r="C9" s="297" t="s">
        <v>76</v>
      </c>
      <c r="D9" s="288" t="s">
        <v>49</v>
      </c>
      <c r="E9" s="288">
        <f>58.3*0.01</f>
        <v>0.583</v>
      </c>
      <c r="F9" s="298">
        <f>E9*F8</f>
        <v>2.332</v>
      </c>
      <c r="G9" s="295"/>
      <c r="H9" s="296">
        <f>F9*G9</f>
        <v>0</v>
      </c>
      <c r="I9" s="288"/>
      <c r="J9" s="296"/>
      <c r="K9" s="295"/>
      <c r="L9" s="296"/>
      <c r="M9" s="296">
        <f>H9</f>
        <v>0</v>
      </c>
      <c r="N9" s="79"/>
    </row>
    <row r="10" spans="1:14" s="45" customFormat="1" ht="13.5">
      <c r="A10" s="288"/>
      <c r="B10" s="289"/>
      <c r="C10" s="297" t="s">
        <v>182</v>
      </c>
      <c r="D10" s="288"/>
      <c r="E10" s="288"/>
      <c r="F10" s="298"/>
      <c r="G10" s="295"/>
      <c r="H10" s="296"/>
      <c r="I10" s="288"/>
      <c r="J10" s="296"/>
      <c r="K10" s="295"/>
      <c r="L10" s="296"/>
      <c r="M10" s="296"/>
      <c r="N10" s="79"/>
    </row>
    <row r="11" spans="1:14" s="45" customFormat="1" ht="13.5">
      <c r="A11" s="288"/>
      <c r="B11" s="289"/>
      <c r="C11" s="297" t="s">
        <v>182</v>
      </c>
      <c r="D11" s="288" t="s">
        <v>51</v>
      </c>
      <c r="E11" s="288">
        <f>0.46*0.01</f>
        <v>0.0046</v>
      </c>
      <c r="F11" s="298">
        <f>E11*F8</f>
        <v>0.0184</v>
      </c>
      <c r="G11" s="295"/>
      <c r="H11" s="296"/>
      <c r="I11" s="288"/>
      <c r="J11" s="296"/>
      <c r="K11" s="295"/>
      <c r="L11" s="296">
        <f>K11*F11</f>
        <v>0</v>
      </c>
      <c r="M11" s="296">
        <f>L11</f>
        <v>0</v>
      </c>
      <c r="N11" s="79"/>
    </row>
    <row r="12" spans="1:14" s="45" customFormat="1" ht="13.5">
      <c r="A12" s="288"/>
      <c r="B12" s="289"/>
      <c r="C12" s="297" t="s">
        <v>183</v>
      </c>
      <c r="D12" s="288"/>
      <c r="E12" s="288" t="s">
        <v>163</v>
      </c>
      <c r="F12" s="298"/>
      <c r="G12" s="295"/>
      <c r="H12" s="296"/>
      <c r="I12" s="288"/>
      <c r="J12" s="296"/>
      <c r="K12" s="295"/>
      <c r="L12" s="296"/>
      <c r="M12" s="296"/>
      <c r="N12" s="79"/>
    </row>
    <row r="13" spans="1:15" s="61" customFormat="1" ht="13.5">
      <c r="A13" s="299"/>
      <c r="B13" s="288"/>
      <c r="C13" s="297" t="s">
        <v>184</v>
      </c>
      <c r="D13" s="288" t="s">
        <v>59</v>
      </c>
      <c r="E13" s="288">
        <f>99.8*0.01</f>
        <v>0.998</v>
      </c>
      <c r="F13" s="298">
        <f>E13*F8</f>
        <v>3.992</v>
      </c>
      <c r="G13" s="288"/>
      <c r="H13" s="296"/>
      <c r="I13" s="295"/>
      <c r="J13" s="296">
        <f>I13*F13</f>
        <v>0</v>
      </c>
      <c r="K13" s="295"/>
      <c r="L13" s="296"/>
      <c r="M13" s="296">
        <f>J13</f>
        <v>0</v>
      </c>
      <c r="N13" s="80"/>
      <c r="O13" s="81"/>
    </row>
    <row r="14" spans="1:15" s="61" customFormat="1" ht="13.5">
      <c r="A14" s="299"/>
      <c r="B14" s="297"/>
      <c r="C14" s="297" t="s">
        <v>185</v>
      </c>
      <c r="D14" s="288" t="s">
        <v>51</v>
      </c>
      <c r="E14" s="288">
        <f>20.8*0.01</f>
        <v>0.20800000000000002</v>
      </c>
      <c r="F14" s="298">
        <f>E14*F8</f>
        <v>0.8320000000000001</v>
      </c>
      <c r="G14" s="288"/>
      <c r="H14" s="296"/>
      <c r="I14" s="295"/>
      <c r="J14" s="296">
        <f>I14*F14</f>
        <v>0</v>
      </c>
      <c r="K14" s="295"/>
      <c r="L14" s="296"/>
      <c r="M14" s="296">
        <f>J14</f>
        <v>0</v>
      </c>
      <c r="N14" s="80"/>
      <c r="O14" s="81"/>
    </row>
    <row r="15" spans="1:14" s="45" customFormat="1" ht="54">
      <c r="A15" s="288">
        <v>2</v>
      </c>
      <c r="B15" s="289" t="s">
        <v>179</v>
      </c>
      <c r="C15" s="290" t="s">
        <v>186</v>
      </c>
      <c r="D15" s="291" t="s">
        <v>181</v>
      </c>
      <c r="E15" s="288"/>
      <c r="F15" s="292">
        <v>4</v>
      </c>
      <c r="G15" s="293"/>
      <c r="H15" s="296"/>
      <c r="I15" s="295"/>
      <c r="J15" s="296"/>
      <c r="K15" s="295"/>
      <c r="L15" s="296"/>
      <c r="M15" s="296"/>
      <c r="N15" s="79"/>
    </row>
    <row r="16" spans="1:14" s="45" customFormat="1" ht="13.5">
      <c r="A16" s="288"/>
      <c r="B16" s="289"/>
      <c r="C16" s="297" t="s">
        <v>76</v>
      </c>
      <c r="D16" s="288" t="s">
        <v>49</v>
      </c>
      <c r="E16" s="288">
        <f>58.3*0.01</f>
        <v>0.583</v>
      </c>
      <c r="F16" s="298">
        <f>E16*F15</f>
        <v>2.332</v>
      </c>
      <c r="G16" s="295"/>
      <c r="H16" s="296">
        <f>F16*G16</f>
        <v>0</v>
      </c>
      <c r="I16" s="288"/>
      <c r="J16" s="296"/>
      <c r="K16" s="295"/>
      <c r="L16" s="296"/>
      <c r="M16" s="296">
        <f>H16</f>
        <v>0</v>
      </c>
      <c r="N16" s="79"/>
    </row>
    <row r="17" spans="1:14" s="45" customFormat="1" ht="13.5">
      <c r="A17" s="288"/>
      <c r="B17" s="289"/>
      <c r="C17" s="297" t="s">
        <v>182</v>
      </c>
      <c r="D17" s="288"/>
      <c r="E17" s="288"/>
      <c r="F17" s="298"/>
      <c r="G17" s="295"/>
      <c r="H17" s="296"/>
      <c r="I17" s="288"/>
      <c r="J17" s="296"/>
      <c r="K17" s="295"/>
      <c r="L17" s="296"/>
      <c r="M17" s="296"/>
      <c r="N17" s="79"/>
    </row>
    <row r="18" spans="1:14" s="45" customFormat="1" ht="13.5">
      <c r="A18" s="288"/>
      <c r="B18" s="289"/>
      <c r="C18" s="297" t="s">
        <v>182</v>
      </c>
      <c r="D18" s="288" t="s">
        <v>51</v>
      </c>
      <c r="E18" s="288">
        <f>0.46*0.01</f>
        <v>0.0046</v>
      </c>
      <c r="F18" s="298">
        <f>E18*F15</f>
        <v>0.0184</v>
      </c>
      <c r="G18" s="295"/>
      <c r="H18" s="296"/>
      <c r="I18" s="288"/>
      <c r="J18" s="296"/>
      <c r="K18" s="295"/>
      <c r="L18" s="296">
        <f>K18*F18</f>
        <v>0</v>
      </c>
      <c r="M18" s="296">
        <f>L18</f>
        <v>0</v>
      </c>
      <c r="N18" s="79"/>
    </row>
    <row r="19" spans="1:14" s="45" customFormat="1" ht="13.5">
      <c r="A19" s="288"/>
      <c r="B19" s="289"/>
      <c r="C19" s="297" t="s">
        <v>183</v>
      </c>
      <c r="D19" s="288"/>
      <c r="E19" s="288" t="s">
        <v>163</v>
      </c>
      <c r="F19" s="298"/>
      <c r="G19" s="295"/>
      <c r="H19" s="296"/>
      <c r="I19" s="288"/>
      <c r="J19" s="296"/>
      <c r="K19" s="295"/>
      <c r="L19" s="296"/>
      <c r="M19" s="296"/>
      <c r="N19" s="79"/>
    </row>
    <row r="20" spans="1:15" s="61" customFormat="1" ht="13.5">
      <c r="A20" s="299"/>
      <c r="B20" s="288"/>
      <c r="C20" s="297" t="s">
        <v>187</v>
      </c>
      <c r="D20" s="288" t="s">
        <v>59</v>
      </c>
      <c r="E20" s="288">
        <f>99.8*0.01</f>
        <v>0.998</v>
      </c>
      <c r="F20" s="298">
        <f>E20*F15</f>
        <v>3.992</v>
      </c>
      <c r="G20" s="288"/>
      <c r="H20" s="296"/>
      <c r="I20" s="295"/>
      <c r="J20" s="296">
        <f>I20*F20</f>
        <v>0</v>
      </c>
      <c r="K20" s="295"/>
      <c r="L20" s="296"/>
      <c r="M20" s="296">
        <f>J20</f>
        <v>0</v>
      </c>
      <c r="N20" s="80"/>
      <c r="O20" s="81"/>
    </row>
    <row r="21" spans="1:15" s="61" customFormat="1" ht="13.5">
      <c r="A21" s="299"/>
      <c r="B21" s="297"/>
      <c r="C21" s="297" t="s">
        <v>185</v>
      </c>
      <c r="D21" s="288" t="s">
        <v>51</v>
      </c>
      <c r="E21" s="288">
        <f>20.8*0.01</f>
        <v>0.20800000000000002</v>
      </c>
      <c r="F21" s="298">
        <f>E21*F15</f>
        <v>0.8320000000000001</v>
      </c>
      <c r="G21" s="288"/>
      <c r="H21" s="296"/>
      <c r="I21" s="295"/>
      <c r="J21" s="296">
        <f>I21*F21</f>
        <v>0</v>
      </c>
      <c r="K21" s="295"/>
      <c r="L21" s="296"/>
      <c r="M21" s="296">
        <f>J21</f>
        <v>0</v>
      </c>
      <c r="N21" s="80"/>
      <c r="O21" s="81"/>
    </row>
    <row r="22" spans="1:14" s="45" customFormat="1" ht="54">
      <c r="A22" s="288">
        <v>3</v>
      </c>
      <c r="B22" s="289" t="s">
        <v>188</v>
      </c>
      <c r="C22" s="290" t="s">
        <v>189</v>
      </c>
      <c r="D22" s="291" t="s">
        <v>175</v>
      </c>
      <c r="E22" s="288"/>
      <c r="F22" s="292">
        <v>10</v>
      </c>
      <c r="G22" s="293"/>
      <c r="H22" s="296"/>
      <c r="I22" s="295"/>
      <c r="J22" s="296"/>
      <c r="K22" s="295"/>
      <c r="L22" s="296"/>
      <c r="M22" s="296"/>
      <c r="N22" s="79"/>
    </row>
    <row r="23" spans="1:14" s="45" customFormat="1" ht="13.5">
      <c r="A23" s="288"/>
      <c r="B23" s="289"/>
      <c r="C23" s="297" t="s">
        <v>76</v>
      </c>
      <c r="D23" s="288" t="s">
        <v>16</v>
      </c>
      <c r="E23" s="288">
        <f>143*0.01</f>
        <v>1.43</v>
      </c>
      <c r="F23" s="298">
        <f>E23*F22</f>
        <v>14.299999999999999</v>
      </c>
      <c r="G23" s="295"/>
      <c r="H23" s="296">
        <f>F23*G23</f>
        <v>0</v>
      </c>
      <c r="I23" s="288"/>
      <c r="J23" s="296"/>
      <c r="K23" s="295"/>
      <c r="L23" s="296"/>
      <c r="M23" s="296">
        <f>H23</f>
        <v>0</v>
      </c>
      <c r="N23" s="79"/>
    </row>
    <row r="24" spans="1:14" s="45" customFormat="1" ht="13.5">
      <c r="A24" s="288"/>
      <c r="B24" s="289"/>
      <c r="C24" s="297" t="s">
        <v>182</v>
      </c>
      <c r="D24" s="288"/>
      <c r="E24" s="288"/>
      <c r="F24" s="298"/>
      <c r="G24" s="295"/>
      <c r="H24" s="296"/>
      <c r="I24" s="288"/>
      <c r="J24" s="296"/>
      <c r="K24" s="295"/>
      <c r="L24" s="296"/>
      <c r="M24" s="296"/>
      <c r="N24" s="79"/>
    </row>
    <row r="25" spans="1:14" s="45" customFormat="1" ht="13.5">
      <c r="A25" s="288"/>
      <c r="B25" s="289"/>
      <c r="C25" s="297" t="s">
        <v>182</v>
      </c>
      <c r="D25" s="288" t="s">
        <v>125</v>
      </c>
      <c r="E25" s="288">
        <f>2.57*0.01</f>
        <v>0.0257</v>
      </c>
      <c r="F25" s="298">
        <f>E25*F22</f>
        <v>0.257</v>
      </c>
      <c r="G25" s="295"/>
      <c r="H25" s="296"/>
      <c r="I25" s="288"/>
      <c r="J25" s="296"/>
      <c r="K25" s="295"/>
      <c r="L25" s="296">
        <f>K25*F25</f>
        <v>0</v>
      </c>
      <c r="M25" s="296">
        <f>L25</f>
        <v>0</v>
      </c>
      <c r="N25" s="79"/>
    </row>
    <row r="26" spans="1:14" s="45" customFormat="1" ht="13.5">
      <c r="A26" s="288"/>
      <c r="B26" s="289"/>
      <c r="C26" s="297" t="s">
        <v>183</v>
      </c>
      <c r="D26" s="288"/>
      <c r="E26" s="288" t="s">
        <v>163</v>
      </c>
      <c r="F26" s="298"/>
      <c r="G26" s="295"/>
      <c r="H26" s="296"/>
      <c r="I26" s="288"/>
      <c r="J26" s="296"/>
      <c r="K26" s="295"/>
      <c r="L26" s="296"/>
      <c r="M26" s="296"/>
      <c r="N26" s="79"/>
    </row>
    <row r="27" spans="1:15" s="61" customFormat="1" ht="13.5">
      <c r="A27" s="299"/>
      <c r="B27" s="288"/>
      <c r="C27" s="297" t="s">
        <v>190</v>
      </c>
      <c r="D27" s="288" t="s">
        <v>173</v>
      </c>
      <c r="E27" s="288">
        <f>92.9*0.01</f>
        <v>0.929</v>
      </c>
      <c r="F27" s="298">
        <f>E27*F22</f>
        <v>9.290000000000001</v>
      </c>
      <c r="G27" s="288"/>
      <c r="H27" s="296"/>
      <c r="I27" s="295"/>
      <c r="J27" s="296">
        <f>I27*F27</f>
        <v>0</v>
      </c>
      <c r="K27" s="295"/>
      <c r="L27" s="296"/>
      <c r="M27" s="296">
        <f>J27</f>
        <v>0</v>
      </c>
      <c r="N27" s="80"/>
      <c r="O27" s="81"/>
    </row>
    <row r="28" spans="1:15" s="61" customFormat="1" ht="13.5">
      <c r="A28" s="299"/>
      <c r="B28" s="297"/>
      <c r="C28" s="297" t="s">
        <v>185</v>
      </c>
      <c r="D28" s="288" t="s">
        <v>125</v>
      </c>
      <c r="E28" s="288">
        <f>4.57*0.01</f>
        <v>0.045700000000000005</v>
      </c>
      <c r="F28" s="298">
        <f>E28*F22</f>
        <v>0.4570000000000001</v>
      </c>
      <c r="G28" s="288"/>
      <c r="H28" s="296"/>
      <c r="I28" s="295"/>
      <c r="J28" s="296">
        <f>I28*F28</f>
        <v>0</v>
      </c>
      <c r="K28" s="295"/>
      <c r="L28" s="296"/>
      <c r="M28" s="296">
        <f>J28</f>
        <v>0</v>
      </c>
      <c r="N28" s="80"/>
      <c r="O28" s="81"/>
    </row>
    <row r="29" spans="1:14" s="45" customFormat="1" ht="37.5" customHeight="1">
      <c r="A29" s="288">
        <v>4</v>
      </c>
      <c r="B29" s="289" t="s">
        <v>188</v>
      </c>
      <c r="C29" s="290" t="s">
        <v>191</v>
      </c>
      <c r="D29" s="291" t="s">
        <v>175</v>
      </c>
      <c r="E29" s="291"/>
      <c r="F29" s="292">
        <v>10</v>
      </c>
      <c r="G29" s="293"/>
      <c r="H29" s="296"/>
      <c r="I29" s="295"/>
      <c r="J29" s="296"/>
      <c r="K29" s="295"/>
      <c r="L29" s="296"/>
      <c r="M29" s="296"/>
      <c r="N29" s="79"/>
    </row>
    <row r="30" spans="1:14" s="45" customFormat="1" ht="13.5">
      <c r="A30" s="288"/>
      <c r="B30" s="289"/>
      <c r="C30" s="297" t="s">
        <v>76</v>
      </c>
      <c r="D30" s="288" t="s">
        <v>16</v>
      </c>
      <c r="E30" s="288">
        <f>143*0.01</f>
        <v>1.43</v>
      </c>
      <c r="F30" s="298">
        <f>E30*F29</f>
        <v>14.299999999999999</v>
      </c>
      <c r="G30" s="295"/>
      <c r="H30" s="296">
        <f>F30*G30</f>
        <v>0</v>
      </c>
      <c r="I30" s="288"/>
      <c r="J30" s="296"/>
      <c r="K30" s="295"/>
      <c r="L30" s="296"/>
      <c r="M30" s="296">
        <f>H30</f>
        <v>0</v>
      </c>
      <c r="N30" s="79"/>
    </row>
    <row r="31" spans="1:14" s="45" customFormat="1" ht="13.5">
      <c r="A31" s="288"/>
      <c r="B31" s="289"/>
      <c r="C31" s="297" t="s">
        <v>182</v>
      </c>
      <c r="D31" s="288"/>
      <c r="E31" s="288"/>
      <c r="F31" s="298"/>
      <c r="G31" s="295"/>
      <c r="H31" s="296"/>
      <c r="I31" s="288"/>
      <c r="J31" s="296"/>
      <c r="K31" s="295"/>
      <c r="L31" s="296"/>
      <c r="M31" s="296"/>
      <c r="N31" s="79"/>
    </row>
    <row r="32" spans="1:14" s="45" customFormat="1" ht="13.5">
      <c r="A32" s="288"/>
      <c r="B32" s="289"/>
      <c r="C32" s="297" t="s">
        <v>182</v>
      </c>
      <c r="D32" s="288" t="s">
        <v>125</v>
      </c>
      <c r="E32" s="288">
        <f>2.57*0.01</f>
        <v>0.0257</v>
      </c>
      <c r="F32" s="298">
        <f>E32*F29</f>
        <v>0.257</v>
      </c>
      <c r="G32" s="295"/>
      <c r="H32" s="296"/>
      <c r="I32" s="288"/>
      <c r="J32" s="296"/>
      <c r="K32" s="295"/>
      <c r="L32" s="296">
        <f>K32*F32</f>
        <v>0</v>
      </c>
      <c r="M32" s="296">
        <f>L32</f>
        <v>0</v>
      </c>
      <c r="N32" s="79"/>
    </row>
    <row r="33" spans="1:14" s="45" customFormat="1" ht="13.5">
      <c r="A33" s="288"/>
      <c r="B33" s="289"/>
      <c r="C33" s="297" t="s">
        <v>183</v>
      </c>
      <c r="D33" s="288"/>
      <c r="E33" s="288" t="s">
        <v>163</v>
      </c>
      <c r="F33" s="298"/>
      <c r="G33" s="295"/>
      <c r="H33" s="296"/>
      <c r="I33" s="288"/>
      <c r="J33" s="296"/>
      <c r="K33" s="295"/>
      <c r="L33" s="296"/>
      <c r="M33" s="296"/>
      <c r="N33" s="79"/>
    </row>
    <row r="34" spans="1:15" s="61" customFormat="1" ht="13.5">
      <c r="A34" s="299"/>
      <c r="B34" s="288"/>
      <c r="C34" s="297" t="s">
        <v>190</v>
      </c>
      <c r="D34" s="288" t="s">
        <v>173</v>
      </c>
      <c r="E34" s="288">
        <f>92.9*0.01</f>
        <v>0.929</v>
      </c>
      <c r="F34" s="298">
        <f>E34*F29</f>
        <v>9.290000000000001</v>
      </c>
      <c r="G34" s="288"/>
      <c r="H34" s="296"/>
      <c r="I34" s="295"/>
      <c r="J34" s="296">
        <f>I34*F34</f>
        <v>0</v>
      </c>
      <c r="K34" s="295"/>
      <c r="L34" s="296"/>
      <c r="M34" s="296">
        <f>J34</f>
        <v>0</v>
      </c>
      <c r="N34" s="80"/>
      <c r="O34" s="81"/>
    </row>
    <row r="35" spans="1:15" s="61" customFormat="1" ht="13.5">
      <c r="A35" s="299"/>
      <c r="B35" s="297"/>
      <c r="C35" s="297" t="s">
        <v>185</v>
      </c>
      <c r="D35" s="288" t="s">
        <v>125</v>
      </c>
      <c r="E35" s="288">
        <f>4.57*0.01</f>
        <v>0.045700000000000005</v>
      </c>
      <c r="F35" s="298">
        <f>E35*F29</f>
        <v>0.4570000000000001</v>
      </c>
      <c r="G35" s="288"/>
      <c r="H35" s="296"/>
      <c r="I35" s="295"/>
      <c r="J35" s="296">
        <f>I35*F35</f>
        <v>0</v>
      </c>
      <c r="K35" s="295"/>
      <c r="L35" s="296"/>
      <c r="M35" s="296">
        <f>J35</f>
        <v>0</v>
      </c>
      <c r="N35" s="80"/>
      <c r="O35" s="81"/>
    </row>
    <row r="36" spans="1:13" s="460" customFormat="1" ht="21" customHeight="1">
      <c r="A36" s="454">
        <f>A31+1</f>
        <v>1</v>
      </c>
      <c r="B36" s="455" t="s">
        <v>393</v>
      </c>
      <c r="C36" s="456" t="s">
        <v>394</v>
      </c>
      <c r="D36" s="254"/>
      <c r="E36" s="254"/>
      <c r="F36" s="457">
        <v>4</v>
      </c>
      <c r="G36" s="458"/>
      <c r="H36" s="459"/>
      <c r="I36" s="459"/>
      <c r="J36" s="459"/>
      <c r="K36" s="459"/>
      <c r="L36" s="459"/>
      <c r="M36" s="459"/>
    </row>
    <row r="37" spans="1:13" s="464" customFormat="1" ht="15.75">
      <c r="A37" s="454"/>
      <c r="B37" s="455"/>
      <c r="C37" s="410" t="s">
        <v>177</v>
      </c>
      <c r="D37" s="461" t="s">
        <v>16</v>
      </c>
      <c r="E37" s="462">
        <v>2.19</v>
      </c>
      <c r="F37" s="463">
        <f>F36*E37</f>
        <v>8.76</v>
      </c>
      <c r="G37" s="458"/>
      <c r="H37" s="459">
        <f>G37*F37</f>
        <v>0</v>
      </c>
      <c r="I37" s="459"/>
      <c r="J37" s="459"/>
      <c r="K37" s="459"/>
      <c r="L37" s="459"/>
      <c r="M37" s="459">
        <f>H37</f>
        <v>0</v>
      </c>
    </row>
    <row r="38" spans="1:13" s="464" customFormat="1" ht="15.75">
      <c r="A38" s="454"/>
      <c r="B38" s="455"/>
      <c r="C38" s="410" t="s">
        <v>149</v>
      </c>
      <c r="D38" s="221" t="s">
        <v>125</v>
      </c>
      <c r="E38" s="316">
        <v>0.07</v>
      </c>
      <c r="F38" s="465">
        <f>E38*F36</f>
        <v>0.28</v>
      </c>
      <c r="G38" s="458"/>
      <c r="H38" s="459"/>
      <c r="I38" s="459"/>
      <c r="J38" s="459"/>
      <c r="K38" s="459"/>
      <c r="L38" s="459">
        <f>K38*F38</f>
        <v>0</v>
      </c>
      <c r="M38" s="459">
        <f>L38</f>
        <v>0</v>
      </c>
    </row>
    <row r="39" spans="1:13" s="464" customFormat="1" ht="18" customHeight="1">
      <c r="A39" s="454"/>
      <c r="B39" s="455"/>
      <c r="C39" s="466" t="s">
        <v>395</v>
      </c>
      <c r="D39" s="221" t="s">
        <v>178</v>
      </c>
      <c r="E39" s="378">
        <v>1</v>
      </c>
      <c r="F39" s="465">
        <f>E39*F36</f>
        <v>4</v>
      </c>
      <c r="G39" s="458"/>
      <c r="H39" s="459"/>
      <c r="I39" s="459"/>
      <c r="J39" s="459">
        <f>I39*F39</f>
        <v>0</v>
      </c>
      <c r="K39" s="459"/>
      <c r="L39" s="459"/>
      <c r="M39" s="459">
        <f>J39</f>
        <v>0</v>
      </c>
    </row>
    <row r="40" spans="1:13" s="464" customFormat="1" ht="16.5" thickBot="1">
      <c r="A40" s="454"/>
      <c r="B40" s="455"/>
      <c r="C40" s="410" t="s">
        <v>152</v>
      </c>
      <c r="D40" s="221" t="s">
        <v>125</v>
      </c>
      <c r="E40" s="316">
        <v>0.37</v>
      </c>
      <c r="F40" s="465">
        <f>E40*F36</f>
        <v>1.48</v>
      </c>
      <c r="G40" s="458"/>
      <c r="H40" s="459"/>
      <c r="I40" s="459"/>
      <c r="J40" s="459">
        <f>I40*F40</f>
        <v>0</v>
      </c>
      <c r="K40" s="459"/>
      <c r="L40" s="459"/>
      <c r="M40" s="459">
        <f>J40</f>
        <v>0</v>
      </c>
    </row>
    <row r="41" spans="1:13" s="437" customFormat="1" ht="13.5">
      <c r="A41" s="431">
        <v>16</v>
      </c>
      <c r="B41" s="432"/>
      <c r="C41" s="452" t="s">
        <v>389</v>
      </c>
      <c r="D41" s="452" t="s">
        <v>390</v>
      </c>
      <c r="E41" s="434"/>
      <c r="F41" s="453">
        <f>F42</f>
        <v>4</v>
      </c>
      <c r="G41" s="435"/>
      <c r="H41" s="433"/>
      <c r="I41" s="433"/>
      <c r="J41" s="433"/>
      <c r="K41" s="433"/>
      <c r="L41" s="433"/>
      <c r="M41" s="436"/>
    </row>
    <row r="42" spans="1:13" s="437" customFormat="1" ht="13.5">
      <c r="A42" s="438"/>
      <c r="B42" s="439"/>
      <c r="C42" s="440" t="s">
        <v>391</v>
      </c>
      <c r="D42" s="441" t="s">
        <v>392</v>
      </c>
      <c r="E42" s="442"/>
      <c r="F42" s="442">
        <v>4</v>
      </c>
      <c r="G42" s="443"/>
      <c r="H42" s="441"/>
      <c r="I42" s="441"/>
      <c r="J42" s="441">
        <f>F42*I42</f>
        <v>0</v>
      </c>
      <c r="K42" s="441"/>
      <c r="L42" s="441"/>
      <c r="M42" s="444">
        <f>J42</f>
        <v>0</v>
      </c>
    </row>
    <row r="43" spans="1:13" s="437" customFormat="1" ht="14.25" thickBot="1">
      <c r="A43" s="445"/>
      <c r="B43" s="446"/>
      <c r="C43" s="447" t="s">
        <v>48</v>
      </c>
      <c r="D43" s="448" t="s">
        <v>392</v>
      </c>
      <c r="E43" s="449"/>
      <c r="F43" s="449">
        <v>20</v>
      </c>
      <c r="G43" s="450"/>
      <c r="H43" s="448">
        <f>F43*G43</f>
        <v>0</v>
      </c>
      <c r="I43" s="448"/>
      <c r="J43" s="448"/>
      <c r="K43" s="448"/>
      <c r="L43" s="448"/>
      <c r="M43" s="451">
        <f>H43</f>
        <v>0</v>
      </c>
    </row>
    <row r="44" spans="1:13" s="475" customFormat="1" ht="16.5">
      <c r="A44" s="467">
        <v>15</v>
      </c>
      <c r="B44" s="468" t="s">
        <v>396</v>
      </c>
      <c r="C44" s="469" t="s">
        <v>397</v>
      </c>
      <c r="D44" s="470" t="s">
        <v>178</v>
      </c>
      <c r="E44" s="471"/>
      <c r="F44" s="471">
        <f>F47+F48</f>
        <v>5</v>
      </c>
      <c r="G44" s="472"/>
      <c r="H44" s="473"/>
      <c r="I44" s="474"/>
      <c r="J44" s="318"/>
      <c r="K44" s="472"/>
      <c r="L44" s="472"/>
      <c r="M44" s="318"/>
    </row>
    <row r="45" spans="1:13" s="477" customFormat="1" ht="16.5">
      <c r="A45" s="476"/>
      <c r="C45" s="478" t="s">
        <v>123</v>
      </c>
      <c r="D45" s="479" t="s">
        <v>16</v>
      </c>
      <c r="E45" s="480">
        <v>1.51</v>
      </c>
      <c r="F45" s="480">
        <f>F44*E45</f>
        <v>7.55</v>
      </c>
      <c r="G45" s="481"/>
      <c r="H45" s="473">
        <f>F45*G45</f>
        <v>0</v>
      </c>
      <c r="I45" s="481"/>
      <c r="J45" s="318"/>
      <c r="K45" s="481"/>
      <c r="L45" s="481"/>
      <c r="M45" s="318">
        <f>H45</f>
        <v>0</v>
      </c>
    </row>
    <row r="46" spans="1:13" s="477" customFormat="1" ht="16.5">
      <c r="A46" s="476"/>
      <c r="B46" s="479"/>
      <c r="C46" s="478" t="s">
        <v>124</v>
      </c>
      <c r="D46" s="479" t="s">
        <v>125</v>
      </c>
      <c r="E46" s="480">
        <v>0.13</v>
      </c>
      <c r="F46" s="480">
        <f>F44*E46</f>
        <v>0.65</v>
      </c>
      <c r="G46" s="481"/>
      <c r="H46" s="473"/>
      <c r="I46" s="481"/>
      <c r="J46" s="318"/>
      <c r="K46" s="481"/>
      <c r="L46" s="481">
        <f>F46*K46</f>
        <v>0</v>
      </c>
      <c r="M46" s="318">
        <f>L46</f>
        <v>0</v>
      </c>
    </row>
    <row r="47" spans="1:13" s="477" customFormat="1" ht="16.5">
      <c r="A47" s="476"/>
      <c r="B47" s="482"/>
      <c r="C47" s="478" t="s">
        <v>398</v>
      </c>
      <c r="D47" s="482" t="s">
        <v>178</v>
      </c>
      <c r="E47" s="480"/>
      <c r="F47" s="480">
        <v>1</v>
      </c>
      <c r="G47" s="481"/>
      <c r="H47" s="473"/>
      <c r="I47" s="481"/>
      <c r="J47" s="318">
        <f>F47*I47</f>
        <v>0</v>
      </c>
      <c r="K47" s="481"/>
      <c r="L47" s="481"/>
      <c r="M47" s="318">
        <f>J47</f>
        <v>0</v>
      </c>
    </row>
    <row r="48" spans="1:13" s="477" customFormat="1" ht="16.5">
      <c r="A48" s="476"/>
      <c r="B48" s="482"/>
      <c r="C48" s="478" t="s">
        <v>399</v>
      </c>
      <c r="D48" s="482" t="s">
        <v>178</v>
      </c>
      <c r="E48" s="480"/>
      <c r="F48" s="480">
        <v>4</v>
      </c>
      <c r="G48" s="481"/>
      <c r="H48" s="473"/>
      <c r="I48" s="481"/>
      <c r="J48" s="318">
        <f>F48*I48</f>
        <v>0</v>
      </c>
      <c r="K48" s="481"/>
      <c r="L48" s="481"/>
      <c r="M48" s="318">
        <f>J48</f>
        <v>0</v>
      </c>
    </row>
    <row r="49" spans="1:13" s="477" customFormat="1" ht="16.5">
      <c r="A49" s="483"/>
      <c r="B49" s="484"/>
      <c r="C49" s="485" t="s">
        <v>400</v>
      </c>
      <c r="D49" s="484" t="s">
        <v>125</v>
      </c>
      <c r="E49" s="480">
        <v>0.07</v>
      </c>
      <c r="F49" s="480">
        <f>F44*E49</f>
        <v>0.35000000000000003</v>
      </c>
      <c r="G49" s="486"/>
      <c r="H49" s="473"/>
      <c r="I49" s="481"/>
      <c r="J49" s="318">
        <f>F49*I49</f>
        <v>0</v>
      </c>
      <c r="K49" s="486"/>
      <c r="L49" s="486"/>
      <c r="M49" s="318">
        <f>J49</f>
        <v>0</v>
      </c>
    </row>
    <row r="50" spans="1:65" s="497" customFormat="1" ht="13.5">
      <c r="A50" s="487">
        <v>10</v>
      </c>
      <c r="B50" s="488" t="s">
        <v>401</v>
      </c>
      <c r="C50" s="87" t="s">
        <v>402</v>
      </c>
      <c r="D50" s="489" t="s">
        <v>178</v>
      </c>
      <c r="E50" s="490"/>
      <c r="F50" s="491">
        <v>5</v>
      </c>
      <c r="G50" s="492"/>
      <c r="H50" s="493"/>
      <c r="I50" s="494"/>
      <c r="J50" s="495"/>
      <c r="K50" s="496"/>
      <c r="L50" s="496"/>
      <c r="M50" s="494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89"/>
      <c r="AM50" s="489"/>
      <c r="AN50" s="489"/>
      <c r="AO50" s="489"/>
      <c r="AP50" s="489"/>
      <c r="AQ50" s="489"/>
      <c r="AR50" s="489"/>
      <c r="AS50" s="489"/>
      <c r="AT50" s="489"/>
      <c r="AU50" s="489"/>
      <c r="AV50" s="489"/>
      <c r="AW50" s="489"/>
      <c r="AX50" s="489"/>
      <c r="AY50" s="489"/>
      <c r="AZ50" s="489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/>
    </row>
    <row r="51" spans="1:13" s="489" customFormat="1" ht="16.5" customHeight="1">
      <c r="A51" s="487"/>
      <c r="C51" s="498" t="s">
        <v>123</v>
      </c>
      <c r="D51" s="489" t="s">
        <v>16</v>
      </c>
      <c r="E51" s="494">
        <v>0.46</v>
      </c>
      <c r="F51" s="495">
        <f>F50*E51</f>
        <v>2.3000000000000003</v>
      </c>
      <c r="G51" s="494"/>
      <c r="H51" s="494">
        <f>F51*G51</f>
        <v>0</v>
      </c>
      <c r="I51" s="494"/>
      <c r="J51" s="495"/>
      <c r="K51" s="494"/>
      <c r="L51" s="495"/>
      <c r="M51" s="494">
        <f>H51</f>
        <v>0</v>
      </c>
    </row>
    <row r="52" spans="1:13" s="489" customFormat="1" ht="13.5">
      <c r="A52" s="487"/>
      <c r="B52" s="497"/>
      <c r="C52" s="498" t="s">
        <v>124</v>
      </c>
      <c r="D52" s="497" t="s">
        <v>125</v>
      </c>
      <c r="E52" s="494">
        <v>0.02</v>
      </c>
      <c r="F52" s="495">
        <f>F50*E52</f>
        <v>0.1</v>
      </c>
      <c r="G52" s="494"/>
      <c r="H52" s="494"/>
      <c r="I52" s="494"/>
      <c r="J52" s="495"/>
      <c r="K52" s="494"/>
      <c r="L52" s="494">
        <f>F52*K52</f>
        <v>0</v>
      </c>
      <c r="M52" s="494">
        <f>L52</f>
        <v>0</v>
      </c>
    </row>
    <row r="53" spans="1:13" s="489" customFormat="1" ht="13.5">
      <c r="A53" s="487"/>
      <c r="C53" s="498" t="s">
        <v>403</v>
      </c>
      <c r="D53" s="489" t="s">
        <v>178</v>
      </c>
      <c r="E53" s="494">
        <v>1</v>
      </c>
      <c r="F53" s="495">
        <f>F50*E53</f>
        <v>5</v>
      </c>
      <c r="G53" s="494"/>
      <c r="H53" s="494"/>
      <c r="I53" s="494"/>
      <c r="J53" s="495">
        <f>F53*I53</f>
        <v>0</v>
      </c>
      <c r="K53" s="492"/>
      <c r="L53" s="492"/>
      <c r="M53" s="494">
        <f>J53</f>
        <v>0</v>
      </c>
    </row>
    <row r="54" spans="1:13" s="489" customFormat="1" ht="13.5">
      <c r="A54" s="499"/>
      <c r="B54" s="500"/>
      <c r="C54" s="501" t="s">
        <v>400</v>
      </c>
      <c r="D54" s="500" t="s">
        <v>125</v>
      </c>
      <c r="E54" s="502">
        <v>0.11</v>
      </c>
      <c r="F54" s="503">
        <f>F50*E54</f>
        <v>0.55</v>
      </c>
      <c r="G54" s="504"/>
      <c r="H54" s="502"/>
      <c r="I54" s="502"/>
      <c r="J54" s="503">
        <f>I54*F54</f>
        <v>0</v>
      </c>
      <c r="K54" s="504"/>
      <c r="L54" s="504"/>
      <c r="M54" s="502">
        <f>J54</f>
        <v>0</v>
      </c>
    </row>
    <row r="55" spans="1:14" s="28" customFormat="1" ht="54">
      <c r="A55" s="288">
        <v>6</v>
      </c>
      <c r="B55" s="289" t="s">
        <v>353</v>
      </c>
      <c r="C55" s="300" t="s">
        <v>354</v>
      </c>
      <c r="D55" s="291" t="s">
        <v>172</v>
      </c>
      <c r="E55" s="291"/>
      <c r="F55" s="292">
        <v>1</v>
      </c>
      <c r="G55" s="293"/>
      <c r="H55" s="296"/>
      <c r="I55" s="295"/>
      <c r="J55" s="296"/>
      <c r="K55" s="295"/>
      <c r="L55" s="296"/>
      <c r="M55" s="296"/>
      <c r="N55" s="44"/>
    </row>
    <row r="56" spans="1:14" s="28" customFormat="1" ht="13.5">
      <c r="A56" s="288"/>
      <c r="B56" s="289"/>
      <c r="C56" s="297" t="s">
        <v>154</v>
      </c>
      <c r="D56" s="288" t="s">
        <v>16</v>
      </c>
      <c r="E56" s="288">
        <f>3.09</f>
        <v>3.09</v>
      </c>
      <c r="F56" s="298">
        <f>E56*F55</f>
        <v>3.09</v>
      </c>
      <c r="G56" s="295"/>
      <c r="H56" s="296">
        <f>F56*G56</f>
        <v>0</v>
      </c>
      <c r="I56" s="288"/>
      <c r="J56" s="296"/>
      <c r="K56" s="295"/>
      <c r="L56" s="296"/>
      <c r="M56" s="296">
        <f>H56</f>
        <v>0</v>
      </c>
      <c r="N56" s="44"/>
    </row>
    <row r="57" spans="1:14" s="28" customFormat="1" ht="13.5">
      <c r="A57" s="288"/>
      <c r="B57" s="289"/>
      <c r="C57" s="297" t="s">
        <v>162</v>
      </c>
      <c r="D57" s="288"/>
      <c r="E57" s="288"/>
      <c r="F57" s="298"/>
      <c r="G57" s="295"/>
      <c r="H57" s="296"/>
      <c r="I57" s="288"/>
      <c r="J57" s="296"/>
      <c r="K57" s="295"/>
      <c r="L57" s="296"/>
      <c r="M57" s="296"/>
      <c r="N57" s="44"/>
    </row>
    <row r="58" spans="1:14" s="28" customFormat="1" ht="13.5">
      <c r="A58" s="288"/>
      <c r="B58" s="289"/>
      <c r="C58" s="297" t="s">
        <v>210</v>
      </c>
      <c r="D58" s="288" t="s">
        <v>125</v>
      </c>
      <c r="E58" s="288">
        <f>0.31</f>
        <v>0.31</v>
      </c>
      <c r="F58" s="298">
        <f>E58*F55</f>
        <v>0.31</v>
      </c>
      <c r="G58" s="295"/>
      <c r="H58" s="296"/>
      <c r="I58" s="288"/>
      <c r="J58" s="296"/>
      <c r="K58" s="295"/>
      <c r="L58" s="296">
        <f>K58*F58</f>
        <v>0</v>
      </c>
      <c r="M58" s="296">
        <f>L58</f>
        <v>0</v>
      </c>
      <c r="N58" s="44"/>
    </row>
    <row r="59" spans="1:14" s="28" customFormat="1" ht="13.5">
      <c r="A59" s="288"/>
      <c r="B59" s="289"/>
      <c r="C59" s="297" t="s">
        <v>157</v>
      </c>
      <c r="D59" s="288"/>
      <c r="E59" s="288" t="s">
        <v>163</v>
      </c>
      <c r="F59" s="298"/>
      <c r="G59" s="295"/>
      <c r="H59" s="296"/>
      <c r="I59" s="288"/>
      <c r="J59" s="296"/>
      <c r="K59" s="295"/>
      <c r="L59" s="296"/>
      <c r="M59" s="296"/>
      <c r="N59" s="44"/>
    </row>
    <row r="60" spans="1:15" s="253" customFormat="1" ht="27">
      <c r="A60" s="299"/>
      <c r="B60" s="289"/>
      <c r="C60" s="297" t="s">
        <v>355</v>
      </c>
      <c r="D60" s="288" t="s">
        <v>172</v>
      </c>
      <c r="E60" s="288">
        <v>1</v>
      </c>
      <c r="F60" s="298">
        <f>E60*F55</f>
        <v>1</v>
      </c>
      <c r="G60" s="288"/>
      <c r="H60" s="296"/>
      <c r="I60" s="295"/>
      <c r="J60" s="296">
        <f>I60*F60</f>
        <v>0</v>
      </c>
      <c r="K60" s="295"/>
      <c r="L60" s="296"/>
      <c r="M60" s="296">
        <f>J60</f>
        <v>0</v>
      </c>
      <c r="N60" s="251"/>
      <c r="O60" s="252"/>
    </row>
    <row r="61" spans="1:15" s="253" customFormat="1" ht="15">
      <c r="A61" s="299"/>
      <c r="B61" s="297"/>
      <c r="C61" s="297" t="s">
        <v>209</v>
      </c>
      <c r="D61" s="288" t="s">
        <v>125</v>
      </c>
      <c r="E61" s="288">
        <v>0.38</v>
      </c>
      <c r="F61" s="298">
        <f>E61*F55</f>
        <v>0.38</v>
      </c>
      <c r="G61" s="288"/>
      <c r="H61" s="296"/>
      <c r="I61" s="295"/>
      <c r="J61" s="296">
        <f>I61*F61</f>
        <v>0</v>
      </c>
      <c r="K61" s="295"/>
      <c r="L61" s="296"/>
      <c r="M61" s="296">
        <f>J61</f>
        <v>0</v>
      </c>
      <c r="N61" s="251"/>
      <c r="O61" s="252"/>
    </row>
    <row r="62" spans="1:65" s="51" customFormat="1" ht="13.5">
      <c r="A62" s="233"/>
      <c r="B62" s="233"/>
      <c r="C62" s="301" t="s">
        <v>36</v>
      </c>
      <c r="D62" s="302"/>
      <c r="E62" s="303"/>
      <c r="F62" s="304"/>
      <c r="G62" s="305"/>
      <c r="H62" s="306">
        <f>SUM(H7:H61)</f>
        <v>0</v>
      </c>
      <c r="I62" s="307"/>
      <c r="J62" s="306">
        <f>SUM(J7:J61)</f>
        <v>0</v>
      </c>
      <c r="K62" s="307"/>
      <c r="L62" s="306">
        <f>SUM(L7:L61)</f>
        <v>0</v>
      </c>
      <c r="M62" s="306">
        <f>L62+J62+H62</f>
        <v>0</v>
      </c>
      <c r="N62" s="50"/>
      <c r="O62" s="50"/>
      <c r="P62" s="50"/>
      <c r="Q62" s="50"/>
      <c r="R62" s="64"/>
      <c r="S62" s="65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</row>
    <row r="63" spans="1:65" s="51" customFormat="1" ht="13.5">
      <c r="A63" s="7"/>
      <c r="B63" s="7"/>
      <c r="C63" s="30" t="s">
        <v>42</v>
      </c>
      <c r="D63" s="48"/>
      <c r="E63" s="8"/>
      <c r="F63" s="9"/>
      <c r="G63" s="12"/>
      <c r="H63" s="63"/>
      <c r="I63" s="63"/>
      <c r="J63" s="63"/>
      <c r="K63" s="63"/>
      <c r="L63" s="62"/>
      <c r="M63" s="62">
        <f>J62*D63</f>
        <v>0</v>
      </c>
      <c r="N63" s="50"/>
      <c r="O63" s="50"/>
      <c r="P63" s="50"/>
      <c r="Q63" s="50"/>
      <c r="R63" s="50"/>
      <c r="S63" s="32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</row>
    <row r="64" spans="1:65" s="51" customFormat="1" ht="13.5">
      <c r="A64" s="7"/>
      <c r="B64" s="7"/>
      <c r="C64" s="29" t="s">
        <v>21</v>
      </c>
      <c r="D64" s="47"/>
      <c r="E64" s="8"/>
      <c r="F64" s="10"/>
      <c r="G64" s="58"/>
      <c r="H64" s="66"/>
      <c r="I64" s="66"/>
      <c r="J64" s="66"/>
      <c r="K64" s="66"/>
      <c r="L64" s="67"/>
      <c r="M64" s="67">
        <f>M63+M62</f>
        <v>0</v>
      </c>
      <c r="N64" s="50"/>
      <c r="O64" s="50"/>
      <c r="P64" s="50"/>
      <c r="Q64" s="50"/>
      <c r="R64" s="50"/>
      <c r="S64" s="32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</row>
    <row r="65" spans="1:65" s="51" customFormat="1" ht="13.5">
      <c r="A65" s="7"/>
      <c r="B65" s="7"/>
      <c r="C65" s="30" t="s">
        <v>43</v>
      </c>
      <c r="D65" s="48"/>
      <c r="E65" s="8"/>
      <c r="F65" s="9"/>
      <c r="G65" s="12"/>
      <c r="H65" s="63"/>
      <c r="I65" s="63"/>
      <c r="J65" s="63"/>
      <c r="K65" s="63"/>
      <c r="L65" s="62"/>
      <c r="M65" s="62">
        <f>M64*D65</f>
        <v>0</v>
      </c>
      <c r="N65" s="50"/>
      <c r="O65" s="50"/>
      <c r="P65" s="50"/>
      <c r="Q65" s="50"/>
      <c r="R65" s="50"/>
      <c r="S65" s="32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</row>
    <row r="66" spans="1:65" s="51" customFormat="1" ht="13.5">
      <c r="A66" s="7"/>
      <c r="B66" s="7"/>
      <c r="C66" s="29" t="s">
        <v>1</v>
      </c>
      <c r="D66" s="48"/>
      <c r="E66" s="50"/>
      <c r="F66" s="9"/>
      <c r="G66" s="12"/>
      <c r="H66" s="63"/>
      <c r="I66" s="63"/>
      <c r="J66" s="63"/>
      <c r="K66" s="63"/>
      <c r="L66" s="62"/>
      <c r="M66" s="62">
        <f>M64+M65</f>
        <v>0</v>
      </c>
      <c r="N66" s="50"/>
      <c r="O66" s="50"/>
      <c r="P66" s="50"/>
      <c r="Q66" s="50"/>
      <c r="R66" s="50"/>
      <c r="S66" s="32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</row>
    <row r="67" spans="1:65" s="51" customFormat="1" ht="13.5">
      <c r="A67" s="7"/>
      <c r="B67" s="7"/>
      <c r="C67" s="30" t="s">
        <v>20</v>
      </c>
      <c r="D67" s="48"/>
      <c r="E67" s="8"/>
      <c r="F67" s="9"/>
      <c r="G67" s="12"/>
      <c r="H67" s="63"/>
      <c r="I67" s="63"/>
      <c r="J67" s="63"/>
      <c r="K67" s="63"/>
      <c r="L67" s="62"/>
      <c r="M67" s="62">
        <f>M66*D67</f>
        <v>0</v>
      </c>
      <c r="N67" s="50"/>
      <c r="O67" s="50"/>
      <c r="P67" s="50"/>
      <c r="Q67" s="50"/>
      <c r="R67" s="50"/>
      <c r="S67" s="32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</row>
    <row r="68" spans="1:65" s="51" customFormat="1" ht="13.5">
      <c r="A68" s="7"/>
      <c r="B68" s="7"/>
      <c r="C68" s="29" t="s">
        <v>21</v>
      </c>
      <c r="D68" s="47"/>
      <c r="E68" s="8"/>
      <c r="F68" s="10"/>
      <c r="G68" s="58"/>
      <c r="H68" s="66"/>
      <c r="I68" s="66"/>
      <c r="J68" s="66"/>
      <c r="K68" s="66"/>
      <c r="L68" s="67"/>
      <c r="M68" s="67">
        <f>M67+M66</f>
        <v>0</v>
      </c>
      <c r="N68" s="50"/>
      <c r="O68" s="50"/>
      <c r="P68" s="50"/>
      <c r="Q68" s="50"/>
      <c r="R68" s="50"/>
      <c r="S68" s="32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</row>
  </sheetData>
  <sheetProtection/>
  <autoFilter ref="A5:M6"/>
  <mergeCells count="1">
    <mergeCell ref="N6:Q6"/>
  </mergeCells>
  <printOptions/>
  <pageMargins left="0.7" right="0.7" top="0.75" bottom="0.75" header="0.3" footer="0.3"/>
  <pageSetup horizontalDpi="600" verticalDpi="600" orientation="landscape" scale="76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5.28125" style="309" customWidth="1"/>
    <col min="2" max="2" width="9.28125" style="309" customWidth="1"/>
    <col min="3" max="3" width="40.8515625" style="309" customWidth="1"/>
    <col min="4" max="4" width="8.7109375" style="309" customWidth="1"/>
    <col min="5" max="5" width="7.7109375" style="309" customWidth="1"/>
    <col min="6" max="6" width="7.8515625" style="309" customWidth="1"/>
    <col min="7" max="7" width="6.7109375" style="309" customWidth="1"/>
    <col min="8" max="8" width="12.28125" style="309" customWidth="1"/>
    <col min="9" max="9" width="8.28125" style="309" customWidth="1"/>
    <col min="10" max="10" width="14.7109375" style="309" bestFit="1" customWidth="1"/>
    <col min="11" max="11" width="6.7109375" style="309" customWidth="1"/>
    <col min="12" max="12" width="10.8515625" style="309" customWidth="1"/>
    <col min="13" max="13" width="14.57421875" style="309" bestFit="1" customWidth="1"/>
    <col min="14" max="14" width="10.28125" style="309" bestFit="1" customWidth="1"/>
    <col min="15" max="16384" width="9.140625" style="309" customWidth="1"/>
  </cols>
  <sheetData>
    <row r="1" spans="1:13" ht="28.5" customHeight="1">
      <c r="A1" s="559" t="s">
        <v>198</v>
      </c>
      <c r="B1" s="560" t="s">
        <v>199</v>
      </c>
      <c r="C1" s="560" t="s">
        <v>200</v>
      </c>
      <c r="D1" s="560" t="s">
        <v>201</v>
      </c>
      <c r="E1" s="560" t="s">
        <v>202</v>
      </c>
      <c r="F1" s="560"/>
      <c r="G1" s="550" t="s">
        <v>203</v>
      </c>
      <c r="H1" s="550"/>
      <c r="I1" s="550" t="s">
        <v>204</v>
      </c>
      <c r="J1" s="550"/>
      <c r="K1" s="550" t="s">
        <v>205</v>
      </c>
      <c r="L1" s="550"/>
      <c r="M1" s="551" t="s">
        <v>1</v>
      </c>
    </row>
    <row r="2" spans="1:13" ht="27">
      <c r="A2" s="559"/>
      <c r="B2" s="560"/>
      <c r="C2" s="560"/>
      <c r="D2" s="560"/>
      <c r="E2" s="288" t="s">
        <v>206</v>
      </c>
      <c r="F2" s="288" t="s">
        <v>207</v>
      </c>
      <c r="G2" s="289" t="s">
        <v>208</v>
      </c>
      <c r="H2" s="296" t="s">
        <v>1</v>
      </c>
      <c r="I2" s="295" t="s">
        <v>208</v>
      </c>
      <c r="J2" s="296" t="s">
        <v>1</v>
      </c>
      <c r="K2" s="295" t="s">
        <v>208</v>
      </c>
      <c r="L2" s="296" t="s">
        <v>1</v>
      </c>
      <c r="M2" s="551"/>
    </row>
    <row r="3" spans="1:13" s="308" customFormat="1" ht="15">
      <c r="A3" s="310">
        <v>1</v>
      </c>
      <c r="B3" s="310">
        <v>2</v>
      </c>
      <c r="C3" s="310">
        <v>3</v>
      </c>
      <c r="D3" s="310">
        <v>4</v>
      </c>
      <c r="E3" s="310">
        <v>5</v>
      </c>
      <c r="F3" s="310">
        <v>6</v>
      </c>
      <c r="G3" s="310">
        <v>7</v>
      </c>
      <c r="H3" s="310">
        <v>8</v>
      </c>
      <c r="I3" s="310">
        <v>9</v>
      </c>
      <c r="J3" s="310">
        <v>10</v>
      </c>
      <c r="K3" s="310">
        <v>11</v>
      </c>
      <c r="L3" s="310">
        <v>12</v>
      </c>
      <c r="M3" s="310">
        <v>13</v>
      </c>
    </row>
    <row r="4" spans="1:13" s="311" customFormat="1" ht="48.75" customHeight="1">
      <c r="A4" s="356">
        <v>1</v>
      </c>
      <c r="B4" s="356" t="s">
        <v>345</v>
      </c>
      <c r="C4" s="357" t="s">
        <v>373</v>
      </c>
      <c r="D4" s="357" t="s">
        <v>178</v>
      </c>
      <c r="E4" s="358"/>
      <c r="F4" s="359">
        <v>100</v>
      </c>
      <c r="G4" s="356"/>
      <c r="H4" s="356"/>
      <c r="I4" s="360"/>
      <c r="J4" s="361"/>
      <c r="K4" s="362"/>
      <c r="L4" s="362"/>
      <c r="M4" s="361"/>
    </row>
    <row r="5" spans="1:13" s="312" customFormat="1" ht="15.75">
      <c r="A5" s="363"/>
      <c r="B5" s="363"/>
      <c r="C5" s="364" t="s">
        <v>123</v>
      </c>
      <c r="D5" s="363" t="s">
        <v>16</v>
      </c>
      <c r="E5" s="365">
        <v>2.06</v>
      </c>
      <c r="F5" s="365">
        <f>F4*E5</f>
        <v>206</v>
      </c>
      <c r="G5" s="365"/>
      <c r="H5" s="366">
        <f>F5*G5</f>
        <v>0</v>
      </c>
      <c r="I5" s="363"/>
      <c r="J5" s="363"/>
      <c r="K5" s="363"/>
      <c r="L5" s="363"/>
      <c r="M5" s="365">
        <f>H5</f>
        <v>0</v>
      </c>
    </row>
    <row r="6" spans="1:13" s="312" customFormat="1" ht="15.75">
      <c r="A6" s="363"/>
      <c r="B6" s="363"/>
      <c r="C6" s="364" t="s">
        <v>346</v>
      </c>
      <c r="D6" s="363" t="s">
        <v>125</v>
      </c>
      <c r="E6" s="365">
        <v>2.68</v>
      </c>
      <c r="F6" s="365">
        <f>F4*E6</f>
        <v>268</v>
      </c>
      <c r="G6" s="363"/>
      <c r="H6" s="366"/>
      <c r="I6" s="365"/>
      <c r="J6" s="363">
        <f>F6*I6</f>
        <v>0</v>
      </c>
      <c r="K6" s="367"/>
      <c r="L6" s="367"/>
      <c r="M6" s="365">
        <f>J6</f>
        <v>0</v>
      </c>
    </row>
    <row r="7" spans="1:13" s="313" customFormat="1" ht="16.5">
      <c r="A7" s="363"/>
      <c r="B7" s="363"/>
      <c r="C7" s="364" t="s">
        <v>124</v>
      </c>
      <c r="D7" s="363" t="s">
        <v>125</v>
      </c>
      <c r="E7" s="365">
        <v>1.12</v>
      </c>
      <c r="F7" s="365">
        <f>F4*E7</f>
        <v>112.00000000000001</v>
      </c>
      <c r="G7" s="363"/>
      <c r="H7" s="366"/>
      <c r="I7" s="365"/>
      <c r="J7" s="363"/>
      <c r="K7" s="365"/>
      <c r="L7" s="365">
        <f>F7*K7</f>
        <v>0</v>
      </c>
      <c r="M7" s="365">
        <f>L7</f>
        <v>0</v>
      </c>
    </row>
    <row r="8" spans="1:13" s="314" customFormat="1" ht="16.5" customHeight="1">
      <c r="A8" s="368"/>
      <c r="B8" s="369"/>
      <c r="C8" s="370" t="s">
        <v>347</v>
      </c>
      <c r="D8" s="368" t="s">
        <v>178</v>
      </c>
      <c r="E8" s="371"/>
      <c r="F8" s="372">
        <f>F4</f>
        <v>100</v>
      </c>
      <c r="G8" s="372"/>
      <c r="H8" s="366"/>
      <c r="I8" s="372"/>
      <c r="J8" s="363">
        <f>F8*I8</f>
        <v>0</v>
      </c>
      <c r="K8" s="373"/>
      <c r="L8" s="365"/>
      <c r="M8" s="372">
        <f>J8</f>
        <v>0</v>
      </c>
    </row>
    <row r="9" spans="1:15" s="518" customFormat="1" ht="27">
      <c r="A9" s="508">
        <v>5</v>
      </c>
      <c r="B9" s="509" t="s">
        <v>345</v>
      </c>
      <c r="C9" s="510" t="s">
        <v>405</v>
      </c>
      <c r="D9" s="511" t="s">
        <v>178</v>
      </c>
      <c r="E9" s="512"/>
      <c r="F9" s="513">
        <v>10</v>
      </c>
      <c r="G9" s="514"/>
      <c r="H9" s="515"/>
      <c r="I9" s="514"/>
      <c r="J9" s="515"/>
      <c r="K9" s="516"/>
      <c r="L9" s="517"/>
      <c r="M9" s="514"/>
      <c r="O9" s="519"/>
    </row>
    <row r="10" spans="1:13" s="524" customFormat="1" ht="13.5">
      <c r="A10" s="520"/>
      <c r="B10" s="520"/>
      <c r="C10" s="521" t="s">
        <v>123</v>
      </c>
      <c r="D10" s="520" t="s">
        <v>16</v>
      </c>
      <c r="E10" s="522">
        <v>2.06</v>
      </c>
      <c r="F10" s="523">
        <f>F9*E10</f>
        <v>20.6</v>
      </c>
      <c r="G10" s="522"/>
      <c r="H10" s="522">
        <f>F10*G10</f>
        <v>0</v>
      </c>
      <c r="I10" s="522"/>
      <c r="J10" s="523"/>
      <c r="K10" s="522"/>
      <c r="L10" s="523"/>
      <c r="M10" s="522">
        <f>H10</f>
        <v>0</v>
      </c>
    </row>
    <row r="11" spans="1:13" s="524" customFormat="1" ht="13.5">
      <c r="A11" s="520"/>
      <c r="B11" s="525"/>
      <c r="C11" s="521" t="s">
        <v>346</v>
      </c>
      <c r="D11" s="524" t="s">
        <v>125</v>
      </c>
      <c r="E11" s="522">
        <v>2.68</v>
      </c>
      <c r="F11" s="523">
        <f>F9*E11</f>
        <v>26.8</v>
      </c>
      <c r="G11" s="526"/>
      <c r="H11" s="526"/>
      <c r="I11" s="522"/>
      <c r="J11" s="522">
        <f>F11*I11</f>
        <v>0</v>
      </c>
      <c r="K11" s="527"/>
      <c r="L11" s="528"/>
      <c r="M11" s="522">
        <f>J11</f>
        <v>0</v>
      </c>
    </row>
    <row r="12" spans="1:13" s="524" customFormat="1" ht="13.5">
      <c r="A12" s="520"/>
      <c r="B12" s="525"/>
      <c r="C12" s="521" t="s">
        <v>124</v>
      </c>
      <c r="D12" s="524" t="s">
        <v>125</v>
      </c>
      <c r="E12" s="522">
        <v>1.12</v>
      </c>
      <c r="F12" s="523">
        <f>F9*E12</f>
        <v>11.200000000000001</v>
      </c>
      <c r="G12" s="526"/>
      <c r="H12" s="522"/>
      <c r="I12" s="522"/>
      <c r="J12" s="523"/>
      <c r="K12" s="522"/>
      <c r="L12" s="522">
        <f>F12*K12</f>
        <v>0</v>
      </c>
      <c r="M12" s="522">
        <f>L12</f>
        <v>0</v>
      </c>
    </row>
    <row r="13" spans="1:13" s="537" customFormat="1" ht="13.5">
      <c r="A13" s="529"/>
      <c r="B13" s="530"/>
      <c r="C13" s="531" t="s">
        <v>406</v>
      </c>
      <c r="D13" s="532" t="s">
        <v>178</v>
      </c>
      <c r="E13" s="533"/>
      <c r="F13" s="534">
        <f>F9</f>
        <v>10</v>
      </c>
      <c r="G13" s="534"/>
      <c r="H13" s="534"/>
      <c r="I13" s="534"/>
      <c r="J13" s="534">
        <f>F13*I13</f>
        <v>0</v>
      </c>
      <c r="K13" s="535"/>
      <c r="L13" s="536"/>
      <c r="M13" s="534">
        <f>J13</f>
        <v>0</v>
      </c>
    </row>
    <row r="14" spans="1:13" s="311" customFormat="1" ht="48.75" customHeight="1">
      <c r="A14" s="356">
        <v>2</v>
      </c>
      <c r="B14" s="356" t="s">
        <v>345</v>
      </c>
      <c r="C14" s="357" t="s">
        <v>356</v>
      </c>
      <c r="D14" s="357" t="s">
        <v>178</v>
      </c>
      <c r="E14" s="358"/>
      <c r="F14" s="359">
        <v>5</v>
      </c>
      <c r="G14" s="356"/>
      <c r="H14" s="366"/>
      <c r="I14" s="360"/>
      <c r="J14" s="363"/>
      <c r="K14" s="362"/>
      <c r="L14" s="365"/>
      <c r="M14" s="361"/>
    </row>
    <row r="15" spans="1:13" s="312" customFormat="1" ht="15.75">
      <c r="A15" s="363"/>
      <c r="B15" s="363"/>
      <c r="C15" s="364" t="s">
        <v>123</v>
      </c>
      <c r="D15" s="363" t="s">
        <v>16</v>
      </c>
      <c r="E15" s="365">
        <v>2.06</v>
      </c>
      <c r="F15" s="365">
        <f>F14*E15</f>
        <v>10.3</v>
      </c>
      <c r="G15" s="365"/>
      <c r="H15" s="366">
        <f>F15*G15</f>
        <v>0</v>
      </c>
      <c r="I15" s="363"/>
      <c r="J15" s="363"/>
      <c r="K15" s="363"/>
      <c r="L15" s="365"/>
      <c r="M15" s="365">
        <f>H15</f>
        <v>0</v>
      </c>
    </row>
    <row r="16" spans="1:13" s="312" customFormat="1" ht="15.75">
      <c r="A16" s="363"/>
      <c r="B16" s="363"/>
      <c r="C16" s="364" t="s">
        <v>346</v>
      </c>
      <c r="D16" s="363" t="s">
        <v>125</v>
      </c>
      <c r="E16" s="365">
        <v>2.68</v>
      </c>
      <c r="F16" s="365">
        <f>F14*E16</f>
        <v>13.4</v>
      </c>
      <c r="G16" s="363"/>
      <c r="H16" s="366"/>
      <c r="I16" s="365"/>
      <c r="J16" s="363">
        <f>F16*I16</f>
        <v>0</v>
      </c>
      <c r="K16" s="367"/>
      <c r="L16" s="365"/>
      <c r="M16" s="365">
        <f>J16</f>
        <v>0</v>
      </c>
    </row>
    <row r="17" spans="1:13" s="313" customFormat="1" ht="16.5">
      <c r="A17" s="363"/>
      <c r="B17" s="363"/>
      <c r="C17" s="364" t="s">
        <v>124</v>
      </c>
      <c r="D17" s="363" t="s">
        <v>125</v>
      </c>
      <c r="E17" s="365">
        <v>1.12</v>
      </c>
      <c r="F17" s="365">
        <f>F14*E17</f>
        <v>5.6000000000000005</v>
      </c>
      <c r="G17" s="363"/>
      <c r="H17" s="366"/>
      <c r="I17" s="365"/>
      <c r="J17" s="363"/>
      <c r="K17" s="365"/>
      <c r="L17" s="365">
        <f>F17*K17</f>
        <v>0</v>
      </c>
      <c r="M17" s="365">
        <f>L17</f>
        <v>0</v>
      </c>
    </row>
    <row r="18" spans="1:13" s="314" customFormat="1" ht="16.5" customHeight="1">
      <c r="A18" s="368"/>
      <c r="B18" s="369"/>
      <c r="C18" s="370" t="s">
        <v>357</v>
      </c>
      <c r="D18" s="368" t="s">
        <v>178</v>
      </c>
      <c r="E18" s="371"/>
      <c r="F18" s="372">
        <f>F14</f>
        <v>5</v>
      </c>
      <c r="G18" s="372"/>
      <c r="H18" s="366"/>
      <c r="I18" s="372"/>
      <c r="J18" s="363">
        <f>F18*I18</f>
        <v>0</v>
      </c>
      <c r="K18" s="373"/>
      <c r="L18" s="373"/>
      <c r="M18" s="372">
        <f>J18</f>
        <v>0</v>
      </c>
    </row>
    <row r="19" spans="1:13" s="98" customFormat="1" ht="21" customHeight="1">
      <c r="A19" s="374">
        <v>3</v>
      </c>
      <c r="B19" s="254" t="s">
        <v>192</v>
      </c>
      <c r="C19" s="220" t="s">
        <v>193</v>
      </c>
      <c r="D19" s="254" t="s">
        <v>173</v>
      </c>
      <c r="E19" s="254"/>
      <c r="F19" s="283">
        <f>SUM(F21:F22)</f>
        <v>200</v>
      </c>
      <c r="G19" s="220"/>
      <c r="H19" s="366"/>
      <c r="I19" s="375"/>
      <c r="J19" s="363"/>
      <c r="K19" s="375"/>
      <c r="L19" s="283"/>
      <c r="M19" s="375"/>
    </row>
    <row r="20" spans="1:13" s="319" customFormat="1" ht="15.75">
      <c r="A20" s="374"/>
      <c r="B20" s="376"/>
      <c r="C20" s="268" t="s">
        <v>177</v>
      </c>
      <c r="D20" s="221" t="s">
        <v>16</v>
      </c>
      <c r="E20" s="315">
        <v>0.14</v>
      </c>
      <c r="F20" s="284">
        <f>E20*F19</f>
        <v>28.000000000000004</v>
      </c>
      <c r="G20" s="317"/>
      <c r="H20" s="366">
        <f>F20*G20</f>
        <v>0</v>
      </c>
      <c r="I20" s="318"/>
      <c r="J20" s="363"/>
      <c r="K20" s="318"/>
      <c r="L20" s="318"/>
      <c r="M20" s="318">
        <f>H20</f>
        <v>0</v>
      </c>
    </row>
    <row r="21" spans="1:13" s="319" customFormat="1" ht="15.75">
      <c r="A21" s="377"/>
      <c r="B21" s="377"/>
      <c r="C21" s="268" t="s">
        <v>351</v>
      </c>
      <c r="D21" s="230" t="s">
        <v>173</v>
      </c>
      <c r="E21" s="378"/>
      <c r="F21" s="284">
        <v>100</v>
      </c>
      <c r="G21" s="317"/>
      <c r="H21" s="318"/>
      <c r="I21" s="318"/>
      <c r="J21" s="363">
        <f>F21*I21</f>
        <v>0</v>
      </c>
      <c r="K21" s="318"/>
      <c r="L21" s="318"/>
      <c r="M21" s="318">
        <f>J21</f>
        <v>0</v>
      </c>
    </row>
    <row r="22" spans="1:13" s="88" customFormat="1" ht="15.75">
      <c r="A22" s="321"/>
      <c r="B22" s="321"/>
      <c r="C22" s="320" t="s">
        <v>352</v>
      </c>
      <c r="D22" s="321" t="s">
        <v>59</v>
      </c>
      <c r="E22" s="322"/>
      <c r="F22" s="322">
        <v>100</v>
      </c>
      <c r="G22" s="323"/>
      <c r="H22" s="324"/>
      <c r="I22" s="325"/>
      <c r="J22" s="363">
        <f>F22*I22</f>
        <v>0</v>
      </c>
      <c r="K22" s="324"/>
      <c r="L22" s="324"/>
      <c r="M22" s="325">
        <f>J22</f>
        <v>0</v>
      </c>
    </row>
    <row r="23" spans="1:13" s="319" customFormat="1" ht="13.5">
      <c r="A23" s="374"/>
      <c r="B23" s="376"/>
      <c r="C23" s="268" t="s">
        <v>152</v>
      </c>
      <c r="D23" s="221" t="s">
        <v>125</v>
      </c>
      <c r="E23" s="221">
        <v>0.0803</v>
      </c>
      <c r="F23" s="284">
        <f>E23*F19</f>
        <v>16.06</v>
      </c>
      <c r="G23" s="317"/>
      <c r="H23" s="318"/>
      <c r="I23" s="318"/>
      <c r="J23" s="318"/>
      <c r="K23" s="318"/>
      <c r="L23" s="318"/>
      <c r="M23" s="318"/>
    </row>
    <row r="24" spans="1:16" s="331" customFormat="1" ht="16.5">
      <c r="A24" s="355"/>
      <c r="B24" s="326"/>
      <c r="C24" s="327"/>
      <c r="D24" s="328"/>
      <c r="E24" s="328"/>
      <c r="F24" s="328"/>
      <c r="G24" s="328"/>
      <c r="H24" s="328"/>
      <c r="I24" s="328"/>
      <c r="J24" s="329"/>
      <c r="K24" s="328"/>
      <c r="L24" s="328"/>
      <c r="M24" s="330"/>
      <c r="N24" s="552"/>
      <c r="O24" s="553"/>
      <c r="P24" s="553"/>
    </row>
    <row r="25" spans="1:14" ht="15.75">
      <c r="A25" s="332"/>
      <c r="B25" s="332"/>
      <c r="C25" s="333" t="s">
        <v>1</v>
      </c>
      <c r="D25" s="334"/>
      <c r="E25" s="334"/>
      <c r="F25" s="334"/>
      <c r="G25" s="334"/>
      <c r="H25" s="335">
        <f>SUM(H4:H24)</f>
        <v>0</v>
      </c>
      <c r="I25" s="335"/>
      <c r="J25" s="335">
        <f>SUM(J4:J24)</f>
        <v>0</v>
      </c>
      <c r="K25" s="335"/>
      <c r="L25" s="335">
        <f>SUM(L4:L24)</f>
        <v>0</v>
      </c>
      <c r="M25" s="335">
        <f>SUM(M4:M24)</f>
        <v>0</v>
      </c>
      <c r="N25" s="336"/>
    </row>
    <row r="26" spans="1:23" s="234" customFormat="1" ht="13.5">
      <c r="A26" s="233"/>
      <c r="B26" s="337"/>
      <c r="C26" s="338" t="s">
        <v>42</v>
      </c>
      <c r="D26" s="339"/>
      <c r="E26" s="303"/>
      <c r="F26" s="340"/>
      <c r="G26" s="305"/>
      <c r="H26" s="307"/>
      <c r="I26" s="307"/>
      <c r="J26" s="307"/>
      <c r="K26" s="307"/>
      <c r="L26" s="306"/>
      <c r="M26" s="306">
        <f>J25*D26</f>
        <v>0</v>
      </c>
      <c r="S26" s="236"/>
      <c r="T26" s="235"/>
      <c r="U26" s="235"/>
      <c r="V26" s="235"/>
      <c r="W26" s="235"/>
    </row>
    <row r="27" spans="1:23" s="234" customFormat="1" ht="13.5">
      <c r="A27" s="341"/>
      <c r="B27" s="342"/>
      <c r="C27" s="301" t="s">
        <v>36</v>
      </c>
      <c r="D27" s="302"/>
      <c r="E27" s="303"/>
      <c r="F27" s="304"/>
      <c r="G27" s="305"/>
      <c r="H27" s="306"/>
      <c r="I27" s="307"/>
      <c r="J27" s="306"/>
      <c r="K27" s="307"/>
      <c r="L27" s="306"/>
      <c r="M27" s="306">
        <f>M25+M26</f>
        <v>0</v>
      </c>
      <c r="R27" s="343"/>
      <c r="S27" s="344"/>
      <c r="T27" s="235"/>
      <c r="U27" s="235"/>
      <c r="V27" s="235"/>
      <c r="W27" s="235"/>
    </row>
    <row r="28" spans="1:14" s="349" customFormat="1" ht="15.75">
      <c r="A28" s="332"/>
      <c r="B28" s="332"/>
      <c r="C28" s="345" t="s">
        <v>211</v>
      </c>
      <c r="D28" s="346"/>
      <c r="E28" s="554">
        <f>H25</f>
        <v>0</v>
      </c>
      <c r="F28" s="555"/>
      <c r="G28" s="332"/>
      <c r="H28" s="347"/>
      <c r="I28" s="347"/>
      <c r="J28" s="347"/>
      <c r="K28" s="347"/>
      <c r="L28" s="347"/>
      <c r="M28" s="347">
        <f>E28*D28</f>
        <v>0</v>
      </c>
      <c r="N28" s="348"/>
    </row>
    <row r="29" spans="1:14" s="349" customFormat="1" ht="15.75">
      <c r="A29" s="332"/>
      <c r="B29" s="332"/>
      <c r="C29" s="333" t="s">
        <v>1</v>
      </c>
      <c r="D29" s="334"/>
      <c r="E29" s="334"/>
      <c r="F29" s="334"/>
      <c r="G29" s="334"/>
      <c r="H29" s="335"/>
      <c r="I29" s="335"/>
      <c r="J29" s="335"/>
      <c r="K29" s="335"/>
      <c r="L29" s="335"/>
      <c r="M29" s="335">
        <f>M28+M25+M26</f>
        <v>0</v>
      </c>
      <c r="N29" s="348"/>
    </row>
    <row r="30" spans="1:14" s="349" customFormat="1" ht="15.75">
      <c r="A30" s="332"/>
      <c r="B30" s="332"/>
      <c r="C30" s="345" t="s">
        <v>212</v>
      </c>
      <c r="D30" s="346"/>
      <c r="E30" s="332"/>
      <c r="F30" s="332"/>
      <c r="G30" s="332"/>
      <c r="H30" s="347"/>
      <c r="I30" s="347"/>
      <c r="J30" s="347"/>
      <c r="K30" s="347"/>
      <c r="L30" s="347"/>
      <c r="M30" s="347">
        <f>M29*D30</f>
        <v>0</v>
      </c>
      <c r="N30" s="348"/>
    </row>
    <row r="31" spans="1:14" s="349" customFormat="1" ht="15.75">
      <c r="A31" s="332"/>
      <c r="B31" s="332"/>
      <c r="C31" s="333" t="s">
        <v>1</v>
      </c>
      <c r="D31" s="334"/>
      <c r="E31" s="334"/>
      <c r="F31" s="334"/>
      <c r="G31" s="334"/>
      <c r="H31" s="335"/>
      <c r="I31" s="335"/>
      <c r="J31" s="335"/>
      <c r="K31" s="335"/>
      <c r="L31" s="335"/>
      <c r="M31" s="335">
        <f>M29+M30</f>
        <v>0</v>
      </c>
      <c r="N31" s="348"/>
    </row>
    <row r="33" spans="3:12" ht="15.75">
      <c r="C33" s="350"/>
      <c r="G33" s="556"/>
      <c r="H33" s="556"/>
      <c r="I33" s="556"/>
      <c r="J33" s="557"/>
      <c r="K33" s="558"/>
      <c r="L33" s="558"/>
    </row>
    <row r="34" spans="4:11" s="351" customFormat="1" ht="16.5">
      <c r="D34" s="352"/>
      <c r="E34" s="352"/>
      <c r="F34" s="352"/>
      <c r="H34" s="353"/>
      <c r="I34" s="354"/>
      <c r="J34" s="549"/>
      <c r="K34" s="549"/>
    </row>
  </sheetData>
  <sheetProtection/>
  <mergeCells count="14">
    <mergeCell ref="A1:A2"/>
    <mergeCell ref="B1:B2"/>
    <mergeCell ref="C1:C2"/>
    <mergeCell ref="D1:D2"/>
    <mergeCell ref="E1:F1"/>
    <mergeCell ref="G1:H1"/>
    <mergeCell ref="J34:K34"/>
    <mergeCell ref="I1:J1"/>
    <mergeCell ref="K1:L1"/>
    <mergeCell ref="M1:M2"/>
    <mergeCell ref="N24:P24"/>
    <mergeCell ref="E28:F28"/>
    <mergeCell ref="G33:I33"/>
    <mergeCell ref="J33:L33"/>
  </mergeCells>
  <printOptions/>
  <pageMargins left="0.7" right="0.7" top="0.75" bottom="0.75" header="0.3" footer="0.3"/>
  <pageSetup horizontalDpi="600" verticalDpi="600" orientation="landscape" scale="79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8.7109375" style="101" customWidth="1"/>
    <col min="2" max="2" width="60.7109375" style="101" customWidth="1"/>
    <col min="3" max="3" width="7.421875" style="101" bestFit="1" customWidth="1"/>
    <col min="4" max="4" width="14.7109375" style="101" bestFit="1" customWidth="1"/>
    <col min="5" max="5" width="14.8515625" style="101" bestFit="1" customWidth="1"/>
    <col min="6" max="6" width="14.8515625" style="101" customWidth="1"/>
    <col min="7" max="7" width="13.00390625" style="101" bestFit="1" customWidth="1"/>
    <col min="8" max="8" width="16.421875" style="101" customWidth="1"/>
    <col min="9" max="9" width="14.140625" style="101" customWidth="1"/>
    <col min="10" max="16384" width="9.140625" style="101" customWidth="1"/>
  </cols>
  <sheetData>
    <row r="1" spans="1:5" s="102" customFormat="1" ht="24" customHeight="1">
      <c r="A1" s="561" t="s">
        <v>227</v>
      </c>
      <c r="B1" s="561"/>
      <c r="C1" s="561"/>
      <c r="D1" s="561"/>
      <c r="E1" s="561"/>
    </row>
    <row r="2" ht="12" customHeight="1"/>
    <row r="3" spans="1:5" ht="36" customHeight="1">
      <c r="A3" s="103" t="s">
        <v>2</v>
      </c>
      <c r="B3" s="103" t="s">
        <v>228</v>
      </c>
      <c r="C3" s="103" t="s">
        <v>229</v>
      </c>
      <c r="D3" s="103" t="s">
        <v>230</v>
      </c>
      <c r="E3" s="103" t="s">
        <v>231</v>
      </c>
    </row>
    <row r="4" spans="1:5" ht="15" customHeight="1">
      <c r="A4" s="103">
        <v>1</v>
      </c>
      <c r="B4" s="103">
        <v>2</v>
      </c>
      <c r="C4" s="103">
        <v>3</v>
      </c>
      <c r="D4" s="103">
        <v>4</v>
      </c>
      <c r="E4" s="103">
        <v>5</v>
      </c>
    </row>
    <row r="5" spans="1:9" s="102" customFormat="1" ht="21" customHeight="1">
      <c r="A5" s="104" t="s">
        <v>232</v>
      </c>
      <c r="B5" s="105" t="s">
        <v>233</v>
      </c>
      <c r="C5" s="106" t="s">
        <v>125</v>
      </c>
      <c r="D5" s="107">
        <f>'1.1'!M320</f>
        <v>0</v>
      </c>
      <c r="E5" s="107"/>
      <c r="F5" s="108"/>
      <c r="G5" s="109"/>
      <c r="H5" s="110"/>
      <c r="I5" s="111"/>
    </row>
    <row r="6" spans="1:9" s="102" customFormat="1" ht="21" customHeight="1">
      <c r="A6" s="104" t="s">
        <v>234</v>
      </c>
      <c r="B6" s="105" t="s">
        <v>237</v>
      </c>
      <c r="C6" s="106" t="s">
        <v>125</v>
      </c>
      <c r="D6" s="107">
        <f>'1.2'!M68</f>
        <v>0</v>
      </c>
      <c r="E6" s="107"/>
      <c r="F6" s="108"/>
      <c r="G6" s="109"/>
      <c r="H6" s="111"/>
      <c r="I6" s="111"/>
    </row>
    <row r="7" spans="1:9" s="102" customFormat="1" ht="21" customHeight="1">
      <c r="A7" s="104" t="s">
        <v>236</v>
      </c>
      <c r="B7" s="105" t="s">
        <v>235</v>
      </c>
      <c r="C7" s="106" t="s">
        <v>125</v>
      </c>
      <c r="D7" s="107">
        <f>'1.3'!M31</f>
        <v>0</v>
      </c>
      <c r="E7" s="107"/>
      <c r="F7" s="108"/>
      <c r="G7" s="109"/>
      <c r="H7" s="111"/>
      <c r="I7" s="111"/>
    </row>
    <row r="8" spans="1:12" s="116" customFormat="1" ht="18" customHeight="1">
      <c r="A8" s="100"/>
      <c r="B8" s="112" t="s">
        <v>238</v>
      </c>
      <c r="C8" s="100"/>
      <c r="D8" s="113">
        <f>SUM(D5:D7)</f>
        <v>0</v>
      </c>
      <c r="E8" s="113"/>
      <c r="F8" s="114"/>
      <c r="G8" s="114"/>
      <c r="H8" s="115"/>
      <c r="I8" s="115"/>
      <c r="J8" s="115"/>
      <c r="K8" s="115"/>
      <c r="L8" s="115"/>
    </row>
    <row r="9" spans="1:12" s="123" customFormat="1" ht="18" customHeight="1">
      <c r="A9" s="100"/>
      <c r="B9" s="117" t="s">
        <v>41</v>
      </c>
      <c r="C9" s="118">
        <v>0.03</v>
      </c>
      <c r="D9" s="119">
        <f>D8*C9</f>
        <v>0</v>
      </c>
      <c r="E9" s="119"/>
      <c r="F9" s="120"/>
      <c r="G9" s="121"/>
      <c r="H9" s="122"/>
      <c r="I9" s="122"/>
      <c r="J9" s="122"/>
      <c r="K9" s="122"/>
      <c r="L9" s="122"/>
    </row>
    <row r="10" spans="1:12" s="116" customFormat="1" ht="18" customHeight="1">
      <c r="A10" s="100"/>
      <c r="B10" s="411" t="s">
        <v>1</v>
      </c>
      <c r="C10" s="100"/>
      <c r="D10" s="124">
        <f>SUM(D8:D9)</f>
        <v>0</v>
      </c>
      <c r="E10" s="124"/>
      <c r="F10" s="114"/>
      <c r="G10" s="114"/>
      <c r="H10" s="115"/>
      <c r="I10" s="115"/>
      <c r="J10" s="115"/>
      <c r="K10" s="115"/>
      <c r="L10" s="115"/>
    </row>
    <row r="11" spans="1:12" s="123" customFormat="1" ht="17.25" customHeight="1">
      <c r="A11" s="100"/>
      <c r="B11" s="117" t="s">
        <v>239</v>
      </c>
      <c r="C11" s="118">
        <v>0.18</v>
      </c>
      <c r="D11" s="119">
        <f>D10*C11</f>
        <v>0</v>
      </c>
      <c r="E11" s="119"/>
      <c r="F11" s="120"/>
      <c r="G11" s="121"/>
      <c r="H11" s="122"/>
      <c r="I11" s="122"/>
      <c r="J11" s="122"/>
      <c r="K11" s="122"/>
      <c r="L11" s="122"/>
    </row>
    <row r="12" spans="1:12" s="116" customFormat="1" ht="21" customHeight="1">
      <c r="A12" s="100"/>
      <c r="B12" s="411" t="s">
        <v>240</v>
      </c>
      <c r="C12" s="100"/>
      <c r="D12" s="124">
        <v>0</v>
      </c>
      <c r="E12" s="124"/>
      <c r="F12" s="114"/>
      <c r="G12" s="114"/>
      <c r="H12" s="115"/>
      <c r="I12" s="115"/>
      <c r="J12" s="115"/>
      <c r="K12" s="115"/>
      <c r="L12" s="115"/>
    </row>
    <row r="13" spans="6:7" ht="13.5" customHeight="1">
      <c r="F13" s="125"/>
      <c r="G13" s="126"/>
    </row>
    <row r="14" ht="15.75">
      <c r="D14" s="127"/>
    </row>
    <row r="15" spans="2:5" s="128" customFormat="1" ht="21" customHeight="1">
      <c r="B15" s="129"/>
      <c r="C15" s="562"/>
      <c r="D15" s="562"/>
      <c r="E15" s="562"/>
    </row>
    <row r="16" spans="2:6" s="128" customFormat="1" ht="21" customHeight="1">
      <c r="B16" s="129"/>
      <c r="C16" s="130"/>
      <c r="D16" s="132"/>
      <c r="E16" s="130"/>
      <c r="F16" s="219"/>
    </row>
    <row r="17" spans="2:5" s="128" customFormat="1" ht="21" customHeight="1">
      <c r="B17" s="129"/>
      <c r="C17" s="130"/>
      <c r="D17" s="130"/>
      <c r="E17" s="130"/>
    </row>
    <row r="18" spans="2:5" s="128" customFormat="1" ht="15.75">
      <c r="B18" s="129"/>
      <c r="C18" s="130"/>
      <c r="D18" s="131"/>
      <c r="E18" s="132"/>
    </row>
    <row r="19" spans="2:4" s="128" customFormat="1" ht="15.75">
      <c r="B19" s="129"/>
      <c r="C19" s="130"/>
      <c r="D19" s="131"/>
    </row>
    <row r="20" ht="15" customHeight="1">
      <c r="G20" s="127"/>
    </row>
    <row r="21" ht="15" customHeight="1">
      <c r="G21" s="127"/>
    </row>
    <row r="22" spans="3:4" ht="15" customHeight="1">
      <c r="C22" s="133"/>
      <c r="D22" s="127"/>
    </row>
    <row r="23" ht="13.5" customHeight="1">
      <c r="E23" s="134"/>
    </row>
    <row r="24" spans="3:5" ht="13.5" customHeight="1">
      <c r="C24" s="133"/>
      <c r="D24" s="127"/>
      <c r="E24" s="135"/>
    </row>
    <row r="25" spans="4:5" ht="13.5" customHeight="1">
      <c r="D25" s="136"/>
      <c r="E25" s="134"/>
    </row>
    <row r="26" spans="3:5" ht="13.5" customHeight="1">
      <c r="C26" s="133"/>
      <c r="D26" s="137"/>
      <c r="E26" s="135"/>
    </row>
    <row r="27" spans="3:5" ht="13.5" customHeight="1">
      <c r="C27" s="133"/>
      <c r="D27" s="138"/>
      <c r="E27" s="134"/>
    </row>
    <row r="28" spans="3:5" ht="18" customHeight="1">
      <c r="C28" s="102"/>
      <c r="D28" s="139"/>
      <c r="E28" s="140"/>
    </row>
    <row r="29" ht="15.75">
      <c r="D29" s="141"/>
    </row>
    <row r="30" ht="15.75">
      <c r="D30" s="142"/>
    </row>
    <row r="31" ht="15.75">
      <c r="D31" s="127"/>
    </row>
    <row r="32" ht="15.75">
      <c r="D32" s="126"/>
    </row>
    <row r="37" ht="15.75">
      <c r="D37" s="126"/>
    </row>
  </sheetData>
  <sheetProtection/>
  <mergeCells count="2">
    <mergeCell ref="A1:E1"/>
    <mergeCell ref="C15:E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Giorgi Kenia</cp:lastModifiedBy>
  <cp:lastPrinted>2018-06-20T07:14:01Z</cp:lastPrinted>
  <dcterms:created xsi:type="dcterms:W3CDTF">2015-07-24T11:46:29Z</dcterms:created>
  <dcterms:modified xsi:type="dcterms:W3CDTF">2018-06-20T07:14:19Z</dcterms:modified>
  <cp:category/>
  <cp:version/>
  <cp:contentType/>
  <cp:contentStatus/>
</cp:coreProperties>
</file>