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0" windowWidth="15135" windowHeight="8700" tabRatio="832" activeTab="0"/>
  </bookViews>
  <sheets>
    <sheet name=" №1-1" sheetId="1" r:id="rId1"/>
    <sheet name="#1-2" sheetId="2" r:id="rId2"/>
    <sheet name="#1-3" sheetId="3" r:id="rId3"/>
    <sheet name="#1-4" sheetId="4" r:id="rId4"/>
    <sheet name="#1-5" sheetId="5" r:id="rId5"/>
    <sheet name="#2" sheetId="6" r:id="rId6"/>
  </sheets>
  <externalReferences>
    <externalReference r:id="rId9"/>
    <externalReference r:id="rId10"/>
    <externalReference r:id="rId11"/>
  </externalReferences>
  <definedNames>
    <definedName name="_xlnm.Print_Area" localSheetId="0">' №1-1'!$A$1:$H$134</definedName>
    <definedName name="_xlnm.Print_Area" localSheetId="1">'#1-2'!$A$1:$H$88</definedName>
    <definedName name="_xlnm.Print_Area" localSheetId="2">'#1-3'!$A$1:$H$100</definedName>
    <definedName name="_xlnm.Print_Area" localSheetId="3">'#1-4'!$A$1:$H$53</definedName>
    <definedName name="_xlnm.Print_Area" localSheetId="4">'#1-5'!$A$1:$H$46</definedName>
    <definedName name="_xlnm.Print_Area" localSheetId="5">'#2'!$A$1:$H$27</definedName>
    <definedName name="_xlnm.Print_Titles" localSheetId="0">' №1-1'!$7:$7</definedName>
  </definedNames>
  <calcPr fullCalcOnLoad="1"/>
</workbook>
</file>

<file path=xl/sharedStrings.xml><?xml version="1.0" encoding="utf-8"?>
<sst xmlns="http://schemas.openxmlformats.org/spreadsheetml/2006/main" count="1285" uniqueCount="428">
  <si>
    <t xml:space="preserve">kedlis bra </t>
  </si>
  <si>
    <t>sn da w  IV-2-82 t-3 cx.21-18-1</t>
  </si>
  <si>
    <t xml:space="preserve"> SromiTi danaxarji 1,15*0,139</t>
  </si>
  <si>
    <t>lokalur-resursuli uwyisis jami:</t>
  </si>
  <si>
    <t>sn da w IV-6-82 T-6 cx.10-742-13</t>
  </si>
  <si>
    <t>sn da w IV-6-82 T-6 cx.10-743-2</t>
  </si>
  <si>
    <t>sn da w IV-6-82 T-6 cx.10-744-5</t>
  </si>
  <si>
    <t>samisamarTo xelis Rilakiani deteqtoris dayeneba</t>
  </si>
  <si>
    <t>sn da w IV-6-82 T-6 cx.10-744-6</t>
  </si>
  <si>
    <t>sn da w IV-6-82 T-6 cx.10-54-11</t>
  </si>
  <si>
    <t>sn da w  IV-6-82 T-6 cx.8-524-10</t>
  </si>
  <si>
    <t xml:space="preserve"> SromiTi danaxarji 1,15*7</t>
  </si>
  <si>
    <t>manqanebi 1,15*0,74</t>
  </si>
  <si>
    <t>Rirebuleba (lari)</t>
  </si>
  <si>
    <t>sabazro</t>
  </si>
  <si>
    <t xml:space="preserve">  </t>
  </si>
  <si>
    <t>srf</t>
  </si>
  <si>
    <t>kac.sT</t>
  </si>
  <si>
    <t>ganzomilebis erTeuli</t>
  </si>
  <si>
    <t>#</t>
  </si>
  <si>
    <t>safuZveli</t>
  </si>
  <si>
    <t>samuSaoTa dasaxeleba</t>
  </si>
  <si>
    <t>raodenoba</t>
  </si>
  <si>
    <t>ganz. erTeulze</t>
  </si>
  <si>
    <t>saproeqto monacemze</t>
  </si>
  <si>
    <t>1</t>
  </si>
  <si>
    <t>kubm</t>
  </si>
  <si>
    <t>kg</t>
  </si>
  <si>
    <t>lari</t>
  </si>
  <si>
    <t>saxarjTaRricxvo mogeba</t>
  </si>
  <si>
    <t xml:space="preserve"> sxvadasxva masalebi</t>
  </si>
  <si>
    <t>kub.m</t>
  </si>
  <si>
    <t>kvm</t>
  </si>
  <si>
    <t>sxvadasxva masalebi</t>
  </si>
  <si>
    <t>tn</t>
  </si>
  <si>
    <t>manq.sT</t>
  </si>
  <si>
    <t>7</t>
  </si>
  <si>
    <t>cali</t>
  </si>
  <si>
    <t>j a m i:</t>
  </si>
  <si>
    <t xml:space="preserve"> j a m i:</t>
  </si>
  <si>
    <t>kv.m</t>
  </si>
  <si>
    <t>sul xarjTaRricxviT</t>
  </si>
  <si>
    <t>zednadebi xarjebi</t>
  </si>
  <si>
    <t>2</t>
  </si>
  <si>
    <t>3</t>
  </si>
  <si>
    <t>4</t>
  </si>
  <si>
    <t xml:space="preserve"> kv.m</t>
  </si>
  <si>
    <t>5</t>
  </si>
  <si>
    <t>grZ.m</t>
  </si>
  <si>
    <t>samSeneblo samuSaoebi</t>
  </si>
  <si>
    <t>gr.m</t>
  </si>
  <si>
    <t xml:space="preserve"> sxvadasxva  masalebi</t>
  </si>
  <si>
    <t>materialuri da SromiTi resursebi</t>
  </si>
  <si>
    <t xml:space="preserve"> SromiTi danaxarji</t>
  </si>
  <si>
    <t xml:space="preserve"> manqanebi 1,15*0,0003</t>
  </si>
  <si>
    <t xml:space="preserve"> sxvadasxva masala</t>
  </si>
  <si>
    <t xml:space="preserve">sn da w  IV-2-82 t-2 cx.10-8-4             </t>
  </si>
  <si>
    <t xml:space="preserve"> SromiTi danaxarji 1,15*1,14</t>
  </si>
  <si>
    <t xml:space="preserve"> manqanebi 1,15*0,0166</t>
  </si>
  <si>
    <t>lursmani</t>
  </si>
  <si>
    <t>10</t>
  </si>
  <si>
    <t xml:space="preserve"> manqanebi 1,15*0,02</t>
  </si>
  <si>
    <t>komp.</t>
  </si>
  <si>
    <t xml:space="preserve"> manqanebi 1,15*0,01</t>
  </si>
  <si>
    <t>sn da w  IV-2-82 t-3 cx.16-12-1</t>
  </si>
  <si>
    <t xml:space="preserve"> SromiTi danaxarji 1,15*1,51</t>
  </si>
  <si>
    <t xml:space="preserve"> manqanebi 1,15*0,13</t>
  </si>
  <si>
    <t xml:space="preserve"> manqanebi 1,15*0,06</t>
  </si>
  <si>
    <t>qviSa</t>
  </si>
  <si>
    <t>sn da w  IV-2-82 t-3 cx.23-22-2</t>
  </si>
  <si>
    <t xml:space="preserve"> SromiTi danaxarji 1,15*17</t>
  </si>
  <si>
    <t>kbm</t>
  </si>
  <si>
    <t xml:space="preserve"> sxva masala</t>
  </si>
  <si>
    <t>8</t>
  </si>
  <si>
    <t>6</t>
  </si>
  <si>
    <t>j a m i</t>
  </si>
  <si>
    <t>kompl</t>
  </si>
  <si>
    <t xml:space="preserve"> SromiTi danaxarji 1,15*2</t>
  </si>
  <si>
    <t>damiwebis eleqtrodi ф18 mm</t>
  </si>
  <si>
    <t>maT Soris: SromiTi resursi</t>
  </si>
  <si>
    <t>zednadebi xarjebi (SromiTi resursebidan)</t>
  </si>
  <si>
    <t>sn da w  IV-2-82 t-3 cx.21-23-2</t>
  </si>
  <si>
    <t xml:space="preserve"> SromiTi danaxarji 1,15*0,192</t>
  </si>
  <si>
    <t>sn da w  IV-2-82 t-3 cx.21-23-7</t>
  </si>
  <si>
    <t>komp</t>
  </si>
  <si>
    <t>wert.</t>
  </si>
  <si>
    <t>14</t>
  </si>
  <si>
    <t xml:space="preserve"> SromiTi danaxarji </t>
  </si>
  <si>
    <t>sn da w  IV-2-82 t-2 cx.15-164-7</t>
  </si>
  <si>
    <t xml:space="preserve"> SromiTi danaxarji 1,15*0,388</t>
  </si>
  <si>
    <t>sn da w  IV-2-82 t-2 cx.11-20-3</t>
  </si>
  <si>
    <t xml:space="preserve"> SromiTi danaxarji 1,15*1,08</t>
  </si>
  <si>
    <t xml:space="preserve"> manqanebi 1,15*0,042</t>
  </si>
  <si>
    <t xml:space="preserve"> meTlaxis fila </t>
  </si>
  <si>
    <t xml:space="preserve">webo-cementi </t>
  </si>
  <si>
    <t>sn da w  IV-2-82 t-2  cx.15-15-3</t>
  </si>
  <si>
    <t xml:space="preserve"> SromiTi danaxarji 1,15*2,19</t>
  </si>
  <si>
    <t xml:space="preserve"> kafeli</t>
  </si>
  <si>
    <t>sn da w  IV-2-82 t-2  cx.11-3-1</t>
  </si>
  <si>
    <t xml:space="preserve"> bitumis grunti</t>
  </si>
  <si>
    <t>Txevadi gazi</t>
  </si>
  <si>
    <t>sn da w  IV-2-82 t-2 cx.11-8-1(2)</t>
  </si>
  <si>
    <t xml:space="preserve"> SromiTi danaxarji 1,15*1,21</t>
  </si>
  <si>
    <t>plastmasis Weris profili</t>
  </si>
  <si>
    <t>12</t>
  </si>
  <si>
    <t>sn da w  IV-2-82 t-1 cx.1-80-3</t>
  </si>
  <si>
    <t xml:space="preserve"> SromiTi danaxarji 1,15*2,06</t>
  </si>
  <si>
    <t>sn da w  IV-2-82 t-1 cx.1-81-3</t>
  </si>
  <si>
    <t>wyalmomarageba</t>
  </si>
  <si>
    <t>sn da w  IV-2-82 t-3 cx.17-3-3</t>
  </si>
  <si>
    <t xml:space="preserve"> SromiTi danaxarji 1,15*0,82</t>
  </si>
  <si>
    <t>sn da w  IV-2-82 t-3 cx.16-6-1</t>
  </si>
  <si>
    <t xml:space="preserve"> SromiTi danaxarji 1,15*0,609</t>
  </si>
  <si>
    <t xml:space="preserve"> manqanebi 1,15*0,0021</t>
  </si>
  <si>
    <t>sn da w  IV-2-82 t-3 cx.16-6-2</t>
  </si>
  <si>
    <t xml:space="preserve"> SromiTi danaxarji 1,15*0,583</t>
  </si>
  <si>
    <t xml:space="preserve"> manqanebi 1,15*0,0046</t>
  </si>
  <si>
    <t>9</t>
  </si>
  <si>
    <t>sn da w  IV-2-82 t-3 cx.17-1-3</t>
  </si>
  <si>
    <t xml:space="preserve"> SromiTi danaxarji 1,15*1,56</t>
  </si>
  <si>
    <t>17</t>
  </si>
  <si>
    <t>sn da w  IV-2-82 t-3 cx.21-25-5</t>
  </si>
  <si>
    <t xml:space="preserve"> SromiTi danaxarji 1,15*0,566</t>
  </si>
  <si>
    <t>silikoni</t>
  </si>
  <si>
    <t>tub</t>
  </si>
  <si>
    <t>sn da w  IV-2-82 t-3 cx.17-4-1</t>
  </si>
  <si>
    <t xml:space="preserve"> SromiTi danaxarji 1,15*2,44</t>
  </si>
  <si>
    <t>sn da w  IV-6-82 T-6 cx.10-975-1</t>
  </si>
  <si>
    <t>cecxldamcavi xsnari</t>
  </si>
  <si>
    <t>antiseptikuri xsnari</t>
  </si>
  <si>
    <t>sn da w  IV-2-82 t-2 cx.11-11-8</t>
  </si>
  <si>
    <t>sxvadasxva saxeobis iatakebis Sepirapirebis adgilebSi dekoratiuli liTonis profilis mowyoba</t>
  </si>
  <si>
    <t xml:space="preserve"> SromiTi danaxarji 1,15*0,206</t>
  </si>
  <si>
    <t>dekoratiuli liTonis profili</t>
  </si>
  <si>
    <t>plastmasis kuTxovana/karnizi</t>
  </si>
  <si>
    <t>daxerxili xe-tye</t>
  </si>
  <si>
    <t xml:space="preserve">zednadebi xarjebi </t>
  </si>
  <si>
    <t>sn da w  IV-2-82 t-2 cx.10-12</t>
  </si>
  <si>
    <t xml:space="preserve"> SromiTi danaxarji 1,15*6,03</t>
  </si>
  <si>
    <t xml:space="preserve"> manqanebi 1,15*0,33</t>
  </si>
  <si>
    <t>manqanebi 1,15*0,06</t>
  </si>
  <si>
    <t>skolis Senoba</t>
  </si>
  <si>
    <t>lokalur-resursuli xarjTaRricxva #1/1</t>
  </si>
  <si>
    <t>lokalur-resursuli xarjTaRricxva #1/2</t>
  </si>
  <si>
    <t>lokalur-resursuli xarjTaRricxva #1/3</t>
  </si>
  <si>
    <t>lokalur-resursuli xarjTaRricxva #1/4</t>
  </si>
  <si>
    <t>sn da w  IV-2-82 t-3 cx.21-11</t>
  </si>
  <si>
    <t xml:space="preserve"> SromiTi danaxarji 1,15*1,52</t>
  </si>
  <si>
    <t>lokalur-resursuli xarjTaRricxva #1/5</t>
  </si>
  <si>
    <t>xelsabanis onkanis dayeneba</t>
  </si>
  <si>
    <t xml:space="preserve"> SromiTi da materialuri resursi</t>
  </si>
  <si>
    <t>Zelaki wiwvovani, δ=40÷60 mm</t>
  </si>
  <si>
    <t xml:space="preserve"> manqanebi 1,15*0,0041</t>
  </si>
  <si>
    <t>sn da w  IV-2-82 t-2 cx.10-37-3</t>
  </si>
  <si>
    <t xml:space="preserve"> SromiTi danaxarji 1,15*0,0303</t>
  </si>
  <si>
    <t>sn da w  IV-2-82 t-2 cx.10-38-3</t>
  </si>
  <si>
    <t xml:space="preserve"> SromiTi danaxarji 1,15*0,0424</t>
  </si>
  <si>
    <t>svel wertilebSi metaloplastikis karis Casma</t>
  </si>
  <si>
    <t>sn da w  IV-2-82 t-2 cx.13-15-6</t>
  </si>
  <si>
    <t xml:space="preserve"> SromiTi danaxarji 1,15*0,031</t>
  </si>
  <si>
    <t xml:space="preserve"> manqanebi 1,15*0,002</t>
  </si>
  <si>
    <t>grunti gamxsneliT</t>
  </si>
  <si>
    <t xml:space="preserve"> saRebavi antikoroziuli  gamxsneliT</t>
  </si>
  <si>
    <t xml:space="preserve"> sxvadasxva  masalebi </t>
  </si>
  <si>
    <t>Sida santeqnikuri (wyalmomarageba-kanalizaciia da ventilacia) samuSaoebi</t>
  </si>
  <si>
    <t>sn da w  IV-2-82 t-3 cx.16-24-2 (damat. gam. .#2)</t>
  </si>
  <si>
    <t xml:space="preserve"> wyalmomaragebis qselis mowyoba d-20 mm  plastmasis miliT fasonuri nawilebis gamoyenebiT. sistemis pidravlikuri gamocda da misi garecxva qlorirebiT.</t>
  </si>
  <si>
    <t xml:space="preserve"> SromiTi danaxarji 1,15*1,43</t>
  </si>
  <si>
    <t xml:space="preserve"> manqanebi 1,15*0,0257</t>
  </si>
  <si>
    <t>plastmasis mili  d-20 mm fitingebiT</t>
  </si>
  <si>
    <t>sn da w  IV-2-82 t-3 cx.16-24-3 (damat. gam. .#2)</t>
  </si>
  <si>
    <t>wyalmomaragebis qselis mowyoba d-25 mm plastmasis miliT fasonuri nawilebis gamoyenebiT. sistemis pidravlikuri gamocda da misi garecxva qlorirebiT.</t>
  </si>
  <si>
    <t xml:space="preserve"> SromiTi danaxarji 1,15*1,17</t>
  </si>
  <si>
    <t xml:space="preserve"> manqanebi 1,15*0,0172</t>
  </si>
  <si>
    <t>plastmasis mili d-25 mm fitingebiT</t>
  </si>
  <si>
    <t xml:space="preserve">milsadenebze  d-3/8" ventilis  dayeneba </t>
  </si>
  <si>
    <t xml:space="preserve"> ventili d-3/8"</t>
  </si>
  <si>
    <t>xelsabanis Semrevi</t>
  </si>
  <si>
    <t xml:space="preserve"> kanalizacia</t>
  </si>
  <si>
    <t xml:space="preserve">d-50 mm. plastmasis sakanalizacio milis gayvana fasonuri nawilebis gamoyenebiT da maTi pidravlikuri gamocda </t>
  </si>
  <si>
    <t>plastmasis sakanalizacio mili d-50 mm</t>
  </si>
  <si>
    <t>fasonuri nawilebi d-50 mm</t>
  </si>
  <si>
    <t xml:space="preserve">d-100 mm. plastmasis sakanalizacio milis gayvana fasonuri nawilebis gamoyenebiT da maTi pidravlikuri gamocda </t>
  </si>
  <si>
    <t>plastmasis sakanalizacio mili d-100 mm</t>
  </si>
  <si>
    <t>fasonuri nawilebi d-100 mm</t>
  </si>
  <si>
    <t>xelsabanis dayeneba sifoniTa da gamSvebiT</t>
  </si>
  <si>
    <t xml:space="preserve">Bxelsabani (sifoni, gamSvebi) </t>
  </si>
  <si>
    <t>aziuri unitazis (e.w ,,CaSa ,genua") (Camrecxi avziT) dayeneba</t>
  </si>
  <si>
    <t xml:space="preserve">aziuri unitazi (Camrecxi avziT) </t>
  </si>
  <si>
    <t>s.ndaw IV-2-82 t-3 cx. 17-1-10</t>
  </si>
  <si>
    <t xml:space="preserve"> trapis  montaJi</t>
  </si>
  <si>
    <t>SromiTi danaxarjebi 1,15*1,85</t>
  </si>
  <si>
    <t>kac/sT</t>
  </si>
  <si>
    <t>manqanebi 1,15*0,03</t>
  </si>
  <si>
    <t>l</t>
  </si>
  <si>
    <t xml:space="preserve"> trapi</t>
  </si>
  <si>
    <t>c</t>
  </si>
  <si>
    <t>sxva masalebi</t>
  </si>
  <si>
    <t>ventilacia</t>
  </si>
  <si>
    <t>d-100 plastmasis sakanalizacio milis gayvana _ diametriT 100 mm</t>
  </si>
  <si>
    <t xml:space="preserve">  plastmasis mili ф100 mm</t>
  </si>
  <si>
    <t xml:space="preserve">d-100 mm. gamwovi ventilatoris da cxauris montaJi </t>
  </si>
  <si>
    <t>kompl.</t>
  </si>
  <si>
    <t>gamwovi ventilatori d=100 mm</t>
  </si>
  <si>
    <t>cxauri d-100 mm</t>
  </si>
  <si>
    <t>sul xarjTaRricxviT:</t>
  </si>
  <si>
    <t xml:space="preserve">  el.samontaJo samuSaoebi</t>
  </si>
  <si>
    <t xml:space="preserve">mTavari gamanawilebeli karada dayeneba </t>
  </si>
  <si>
    <t xml:space="preserve">mTavari gamanawilebeli karada </t>
  </si>
  <si>
    <t>sn da w  IV-6-82 t.3 cx. 21-24-11</t>
  </si>
  <si>
    <t xml:space="preserve"> SromiTi danaxarji 1,15*1,99</t>
  </si>
  <si>
    <t xml:space="preserve">mTavar gamanawilebel karadaSi da Semyvan-gamanawilebel farSi 3*10a avtomaturi amomrTvelis dayeneba da momzadeba CarTvisaTvis </t>
  </si>
  <si>
    <t xml:space="preserve"> Weris sanaTebisa da naTuris dayeneba </t>
  </si>
  <si>
    <t>Weris sanaTebi naTuriT</t>
  </si>
  <si>
    <t xml:space="preserve"> hermetuli Sesrulebis Weris sanaTebisa da naTuris dayenebaENEBA</t>
  </si>
  <si>
    <t xml:space="preserve"> kedlis brisa da naTuris dayeneba </t>
  </si>
  <si>
    <t>sn da w  IV-2-82 t-3 cx.21-25-3</t>
  </si>
  <si>
    <t xml:space="preserve"> sportdarbazSi liTonis damcavi baduriT proJeqtoruli sanaTisa da naTuris dayeneba</t>
  </si>
  <si>
    <t xml:space="preserve"> SromiTi danaxarji 1,15*1,23</t>
  </si>
  <si>
    <t>proJeqtoruli sanaTi liTonis damcavi baduriT</t>
  </si>
  <si>
    <t>sn da w  IV-6-82 T-6 cx.10-744-4</t>
  </si>
  <si>
    <t>el. zaris dayeneba</t>
  </si>
  <si>
    <t>el. zari</t>
  </si>
  <si>
    <t>80*80 mm gamanawilebeli kolofebis montaJi</t>
  </si>
  <si>
    <t>gamanawilebeli kolofi 80*80 mm.</t>
  </si>
  <si>
    <t>luminescenturi sanaTi 4 х 40 vt  naTuriT da starteriT</t>
  </si>
  <si>
    <t xml:space="preserve">orZarRva spilenZis sadeni 2×2,5 kv.mm² </t>
  </si>
  <si>
    <t>sn da w IV-2-82 t-5 cx.33-20-8</t>
  </si>
  <si>
    <t>d-18 mm damiwebis eleqtrodebis, simaRliT 3 m, Casoba gruntSi</t>
  </si>
  <si>
    <t xml:space="preserve"> SromiTi danaxarji 1,15*0,59</t>
  </si>
  <si>
    <t>SeduRebis agregati</t>
  </si>
  <si>
    <t xml:space="preserve"> eleqtrodebis CaRrmavebis mowyobiloba </t>
  </si>
  <si>
    <t>sn da w  IV-2-82 t-5 cx.33-20-6</t>
  </si>
  <si>
    <t xml:space="preserve"> damiwebis horizontaluri konturis mowyoba 40X4 zolovanaTi</t>
  </si>
  <si>
    <t xml:space="preserve"> SromiTi danaxarji 1,15*1,32</t>
  </si>
  <si>
    <t xml:space="preserve">SeduRebis agregati </t>
  </si>
  <si>
    <t>manqanebi 1,15*0,123</t>
  </si>
  <si>
    <t>zolovana 40х4</t>
  </si>
  <si>
    <t xml:space="preserve">lokalur-resursuli uwyisis jami: 
</t>
  </si>
  <si>
    <t>maT Soris: SromiTi resursebi</t>
  </si>
  <si>
    <t>zednadebi xarjebi SromiTi resursebidan</t>
  </si>
  <si>
    <t>saxanZro signalizaciis mowyoba</t>
  </si>
  <si>
    <t xml:space="preserve"> erTwrediani saxanZro signalizaciis marTvis panelis da akumulatoris  dayeneba</t>
  </si>
  <si>
    <t xml:space="preserve"> SromiTi danaxarji 1.15*31</t>
  </si>
  <si>
    <r>
      <t xml:space="preserve">erTwrediani saxanZro signalizaciis marTvis paneli </t>
    </r>
    <r>
      <rPr>
        <sz val="10"/>
        <rFont val="Academiuri Nuskhuri"/>
        <family val="0"/>
      </rPr>
      <t>C</t>
    </r>
    <r>
      <rPr>
        <sz val="10"/>
        <rFont val="LitNusx"/>
        <family val="0"/>
      </rPr>
      <t>-</t>
    </r>
    <r>
      <rPr>
        <sz val="10"/>
        <rFont val="Academiuri Nuskhuri"/>
        <family val="0"/>
      </rPr>
      <t>TEC</t>
    </r>
    <r>
      <rPr>
        <sz val="10"/>
        <rFont val="LitNusx"/>
        <family val="0"/>
      </rPr>
      <t xml:space="preserve">  </t>
    </r>
  </si>
  <si>
    <r>
      <t xml:space="preserve">akumulatori </t>
    </r>
    <r>
      <rPr>
        <sz val="10"/>
        <rFont val="Academiuri Nuskhuri"/>
        <family val="0"/>
      </rPr>
      <t>RSA</t>
    </r>
    <r>
      <rPr>
        <sz val="10"/>
        <rFont val="LitNusx"/>
        <family val="0"/>
      </rPr>
      <t>15</t>
    </r>
  </si>
  <si>
    <t xml:space="preserve"> sxvadasxva masalebi </t>
  </si>
  <si>
    <t>samisamarTo kvamlis deteqtorisa da universaluri samagri Ziris dayeneba</t>
  </si>
  <si>
    <t xml:space="preserve"> SromiTi danaxarji 1.15*1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</si>
  <si>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</si>
  <si>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samisamarTo kvamlis deteqtori </t>
    </r>
    <r>
      <rPr>
        <sz val="10"/>
        <rFont val="Academiuri Nuskhuri"/>
        <family val="0"/>
      </rPr>
      <t>XP</t>
    </r>
    <r>
      <rPr>
        <sz val="10"/>
        <rFont val="LitNusx"/>
        <family val="0"/>
      </rPr>
      <t>95</t>
    </r>
  </si>
  <si>
    <r>
      <t>universaluri samagri Ziri X</t>
    </r>
    <r>
      <rPr>
        <sz val="10"/>
        <rFont val="Academiuri Nuskhuri"/>
        <family val="0"/>
      </rPr>
      <t>P</t>
    </r>
    <r>
      <rPr>
        <sz val="10"/>
        <rFont val="LitNusx"/>
        <family val="0"/>
      </rPr>
      <t>95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</si>
  <si>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</si>
  <si>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</si>
  <si>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SromiTi danaxarji 1.15*2</t>
  </si>
  <si>
    <r>
      <t>samisamarTo xelis Rilakiani deteqtori X</t>
    </r>
    <r>
      <rPr>
        <sz val="10"/>
        <rFont val="Academiuri Nuskhuri"/>
        <family val="0"/>
      </rPr>
      <t>P</t>
    </r>
    <r>
      <rPr>
        <sz val="10"/>
        <rFont val="LitNusx"/>
        <family val="0"/>
      </rPr>
      <t>95</t>
    </r>
  </si>
  <si>
    <t xml:space="preserve">                          </t>
  </si>
  <si>
    <t xml:space="preserve">                                                                                                                                                                           </t>
  </si>
  <si>
    <t>obtikur-akustikuri mauwyebelis (sirena - sayviri) dayeneba</t>
  </si>
  <si>
    <t xml:space="preserve"> SromiTi danaxarji 1.15*3</t>
  </si>
  <si>
    <t>12..1 - 60</t>
  </si>
  <si>
    <t>sirena 100 db.</t>
  </si>
  <si>
    <t>ormxrivi manaTobeli gasasvlelis maniSnebeli abris dayeneba</t>
  </si>
  <si>
    <t>ormxriv manaTobeli gasasvlelis maniSnebeli abra</t>
  </si>
  <si>
    <t>saxanZro signalizaciis 2*2*0.8 kabelebis gayvana</t>
  </si>
  <si>
    <t xml:space="preserve"> grZ.m</t>
  </si>
  <si>
    <t xml:space="preserve"> SromiTi danaxarji 1.15*0.13</t>
  </si>
  <si>
    <r>
      <t>saxanZro signalizaciis kabeli 2×2×0,8 mm</t>
    </r>
    <r>
      <rPr>
        <vertAlign val="superscript"/>
        <sz val="10"/>
        <rFont val="LitNusx"/>
        <family val="0"/>
      </rPr>
      <t>2</t>
    </r>
    <r>
      <rPr>
        <sz val="10"/>
        <rFont val="LitNusx"/>
        <family val="0"/>
      </rPr>
      <t xml:space="preserve">² </t>
    </r>
  </si>
  <si>
    <t>2*1.5 kv.mm. ganikveTis sirenis xazis  kabelis gayvana</t>
  </si>
  <si>
    <r>
      <t>sirenis xazis kabeli 2×1.5 mm</t>
    </r>
    <r>
      <rPr>
        <vertAlign val="superscript"/>
        <sz val="10"/>
        <rFont val="LitNusx"/>
        <family val="0"/>
      </rPr>
      <t>2</t>
    </r>
    <r>
      <rPr>
        <sz val="10"/>
        <rFont val="LitNusx"/>
        <family val="0"/>
      </rPr>
      <t xml:space="preserve">² </t>
    </r>
  </si>
  <si>
    <t>3*2.5 kv.mm ganikveTis orZarRviani spilenZis eleqtro sadenis gayvana daxuruli el.gayvanilobisTvis</t>
  </si>
  <si>
    <t xml:space="preserve">lokalur-resursuli uwyisis jami </t>
  </si>
  <si>
    <t xml:space="preserve">gegmiuri dagroveba </t>
  </si>
  <si>
    <t>sn da w IV-6-82 T-6 cx.8-591-7</t>
  </si>
  <si>
    <t xml:space="preserve">satelevizio rozetis dayeneba </t>
  </si>
  <si>
    <t xml:space="preserve"> cali</t>
  </si>
  <si>
    <t xml:space="preserve"> SromiTi danaxarji 1.15*0.253</t>
  </si>
  <si>
    <t>9-19</t>
  </si>
  <si>
    <t>satelevizio rozeti kolofiT</t>
  </si>
  <si>
    <t xml:space="preserve">satelefoni rozetis dayeneba </t>
  </si>
  <si>
    <t>9-18</t>
  </si>
  <si>
    <t>satelefono rozeti kolofiT</t>
  </si>
  <si>
    <t xml:space="preserve">internet rozetis dayeneba </t>
  </si>
  <si>
    <t>9-20</t>
  </si>
  <si>
    <t>internet rozeti kolofiT</t>
  </si>
  <si>
    <t xml:space="preserve"> SromiTi danaxarji1,1*4</t>
  </si>
  <si>
    <t>manqanebi 1,15*0,034</t>
  </si>
  <si>
    <t xml:space="preserve"> modemi </t>
  </si>
  <si>
    <t>denis Senaxvis wyaro (ups)</t>
  </si>
  <si>
    <t xml:space="preserve">12portiani gamanawilebeli xabi   </t>
  </si>
  <si>
    <t xml:space="preserve">12 portiani paC-paneli </t>
  </si>
  <si>
    <t>satelevizio koaqsaluri kabelis gayvana (rg-6)</t>
  </si>
  <si>
    <t>grZ.m.</t>
  </si>
  <si>
    <t xml:space="preserve">satelevizio koaqsaluri kabeli rg-6 </t>
  </si>
  <si>
    <t xml:space="preserve">ftp-6X2X0,5 kabelis gayvana </t>
  </si>
  <si>
    <t xml:space="preserve">ftp-6X2X0,5 kabeli </t>
  </si>
  <si>
    <t xml:space="preserve">jami </t>
  </si>
  <si>
    <t>maT Soris SromiTi resursi</t>
  </si>
  <si>
    <t>15</t>
  </si>
  <si>
    <t>erTpolusa avtomaturi amomrTveli 25 a</t>
  </si>
  <si>
    <t>sampolusa avtomaturi amomrTveli 10 a</t>
  </si>
  <si>
    <r>
      <t>betoni B</t>
    </r>
    <r>
      <rPr>
        <sz val="10"/>
        <rFont val="Arial"/>
        <family val="2"/>
      </rPr>
      <t>B</t>
    </r>
    <r>
      <rPr>
        <sz val="10"/>
        <rFont val="LitNusx"/>
        <family val="0"/>
      </rPr>
      <t>-7,5</t>
    </r>
  </si>
  <si>
    <t xml:space="preserve"> jami</t>
  </si>
  <si>
    <t>fari yalibis laminirebuli</t>
  </si>
  <si>
    <t>ficari wiwvovani δsisqiT 40 mm</t>
  </si>
  <si>
    <t xml:space="preserve"> SromiTi danaxarji da materialuri resursi</t>
  </si>
  <si>
    <t xml:space="preserve">milsadenebze d-25 mm plastmasis ventilis  dayeneba </t>
  </si>
  <si>
    <t>6-58</t>
  </si>
  <si>
    <t>plastmasis ventili d-25 mm</t>
  </si>
  <si>
    <t>fasadis proJeqtoruli sanaTisa da naTuris dayeneba</t>
  </si>
  <si>
    <t>proJeqtoruli sanaTi</t>
  </si>
  <si>
    <t>16</t>
  </si>
  <si>
    <t>susti denebis (satelevizio, satelefono da internet qselebi) mowyoba</t>
  </si>
  <si>
    <t>sn da w  IV-2-82 t-2 cx.6-1-5</t>
  </si>
  <si>
    <t xml:space="preserve"> SromiTi danaxarji 1,15*6.66</t>
  </si>
  <si>
    <t xml:space="preserve"> manqanebi 1,15*0,59</t>
  </si>
  <si>
    <t xml:space="preserve"> manqanebi 1,15*[(1+0,02+1,2+0,02)]/2/100</t>
  </si>
  <si>
    <t xml:space="preserve"> SromiTi danaxarji 1,15*(65,8+85,6)/2/100*50%</t>
  </si>
  <si>
    <t>svel wertilebSi Sekiduli Weris mowyoba plastikatis profilebiT xis karkasze</t>
  </si>
  <si>
    <t xml:space="preserve"> mTavar gamanawilebel karadaSi 1*25a avtomaturi amomrTvelis dayeneba da momzadeba CarTvisaTvis </t>
  </si>
  <si>
    <t xml:space="preserve">1 naTuriani Weris sanaTisa da naTuris dayeneba </t>
  </si>
  <si>
    <t>roliki</t>
  </si>
  <si>
    <t>lokalur-resursuli xarjTaRricxva #2</t>
  </si>
  <si>
    <t>internet qselis mowyobilobebis {modemi (1 cali), ups (1 cali), 12 portiani gamanawilebeli xabis (1 cali) da 12 portiani paC-panelis (1 cali)} montaJi</t>
  </si>
  <si>
    <t xml:space="preserve">2*2.5 kv.mm ganikveTis orZarRviani uwvadi izolirebuli spilenZis eleqtro sadenis gayvana gare mimagrebis Ria wesiT, keramikuli rilikebis gamoyenebiT </t>
  </si>
  <si>
    <t xml:space="preserve">3*2.5 kv.mm ganikveTis samZarRviani uwvadi izolirebuli spilenZis eleqtro sadenis gayvana gare mimagrebis Ria wesiT, keramikuli rilikebis gamoyenebiT </t>
  </si>
  <si>
    <t xml:space="preserve">samZarRva spilenZis sadeni 3×2,5 kv.mm uwvadi izolaciiT² </t>
  </si>
  <si>
    <t>orZarRva spilenZis sadeni 2×2,5 kv.mm² uwvadi izolaciiT</t>
  </si>
  <si>
    <t xml:space="preserve">3*4 kv.mm ganikveTis samZarRviani uwvadi izolirebuli spilenZis eleqtro sadenis gayvana gare mimagrebis Ria wesiT, keramikuli rilikebis gamoyenebiT </t>
  </si>
  <si>
    <t>izolirebuli vaznas dayeneba</t>
  </si>
  <si>
    <t>izolirebuli vazna</t>
  </si>
  <si>
    <t xml:space="preserve">samZarRva spilenZis sadeni 3×4 kv.mm² uwvadi izolaciiT </t>
  </si>
  <si>
    <t>damiwebis kontaqtiani gare dadgmulobis Stefseluri rozetis dayeneba</t>
  </si>
  <si>
    <t>erT polusa gare dadgmulobis CamrTvelis dayeneba</t>
  </si>
  <si>
    <t>gare dadgmulobis erTpolusa CamrTveli samontaJo kolofiT</t>
  </si>
  <si>
    <t xml:space="preserve">damiwebis kontaqtiani gare dadgmulobis  Stefseluri rozeti </t>
  </si>
  <si>
    <t>skolis teritoriaze Casavleli betonis kibisa da Robis mowyoba. teritoriis keTilmowoba</t>
  </si>
  <si>
    <t>gruntis ukuCayra xeliT da zedmeti gruntis adgilze mosworeba</t>
  </si>
  <si>
    <t>kanalizaciis sistemis CarTva antiseptikur saleqarSi</t>
  </si>
  <si>
    <t>sxvadasxva sortamentis oTxkuTxa milebisa da kvadratisagan liTonis dekoratiuli Robis seqciebis damzadeba da montaJi</t>
  </si>
  <si>
    <t>11</t>
  </si>
  <si>
    <t xml:space="preserve"> saRebavi zeTovani gamxsneliT</t>
  </si>
  <si>
    <t xml:space="preserve"> olifa</t>
  </si>
  <si>
    <t>damateba            11-199</t>
  </si>
  <si>
    <t>xis iatakis moxvewa</t>
  </si>
  <si>
    <t xml:space="preserve"> zumfara wvrilmarcvlovani</t>
  </si>
  <si>
    <t xml:space="preserve"> zumfara msxvilmarcvlovani</t>
  </si>
  <si>
    <t>sn da w  IV-2-82 t-2 cx.15-160-3</t>
  </si>
  <si>
    <t xml:space="preserve"> xis iatakis SeRebva zeTovani saRebaviT</t>
  </si>
  <si>
    <t xml:space="preserve"> fiTxi xis </t>
  </si>
  <si>
    <t>sn da w  IV-2-82 t-2 cx.10-10-1</t>
  </si>
  <si>
    <t>xis karis Casma</t>
  </si>
  <si>
    <t>ficari gaSalaSinebuli</t>
  </si>
  <si>
    <t xml:space="preserve">sn da w   IV-2-82 t-2 cx.15_158_1 </t>
  </si>
  <si>
    <t xml:space="preserve"> SromiTi danaxarji 1,15*0,236</t>
  </si>
  <si>
    <t xml:space="preserve"> manqanebi 1,15*0,0225</t>
  </si>
  <si>
    <t>sxvenze asasvleli xis luqis da kibis mowyoba da SeRebva</t>
  </si>
  <si>
    <t xml:space="preserve"> xis konstruqciebis (garda saxuravis molartyvis) cecxldacva</t>
  </si>
  <si>
    <t xml:space="preserve"> SromiTi danaxarji 1,15*0,87</t>
  </si>
  <si>
    <t>saxuravis xis molartyvis cecxldacva</t>
  </si>
  <si>
    <t>saxuravis xis molartyvis damuSaveba antiseptikuri xsnariT</t>
  </si>
  <si>
    <t xml:space="preserve"> xis elementebis (garda saxuravis molartyvisa) damuSaveba antiseptikuri xsnariT</t>
  </si>
  <si>
    <t>sn da w  IV-2-82 t-2 cx.10-38-1</t>
  </si>
  <si>
    <t xml:space="preserve"> SromiTi danaxarji 1,15*0,0603</t>
  </si>
  <si>
    <t xml:space="preserve"> manqanebi 1,15*0,003</t>
  </si>
  <si>
    <t xml:space="preserve"> SromiTi danaxarji 1,15*0,252</t>
  </si>
  <si>
    <t xml:space="preserve"> manqanebi 1,15*0,017</t>
  </si>
  <si>
    <t xml:space="preserve"> SromiTi danaxarji 1,15*0,741</t>
  </si>
  <si>
    <t xml:space="preserve"> sxvadasxva manqanebi 1,15*0,0001</t>
  </si>
  <si>
    <t>linokromiδ=3+3 mm</t>
  </si>
  <si>
    <t xml:space="preserve"> SromiTi danaxarji 1,15*(0,312+0,201)</t>
  </si>
  <si>
    <t xml:space="preserve"> manqanebi 1,15*(0,0138+0,009)</t>
  </si>
  <si>
    <t>armaturis bade d-10 mm bijiT 10*10 sm</t>
  </si>
  <si>
    <t>msxvilfraqciuli duRabi (2,04+6*0,51)/100</t>
  </si>
  <si>
    <t>svel wertilSi xis iatakze hidroizolaciis mowyoba ori fena linikromiT sisqiT 3+3 mm</t>
  </si>
  <si>
    <t>svel wertilSi iatakze cementis mWimis mowyoba saSualo sisqiT 50 mm armaturis badeze (d-10 bijiT 10*10)</t>
  </si>
  <si>
    <t xml:space="preserve"> svel wertilSi iatakze xaoiani zedapiris metlaxis filebis dageba </t>
  </si>
  <si>
    <t>svel wertilebSi kedlebze kafelis filebis akvra mTel simaRleze</t>
  </si>
  <si>
    <t xml:space="preserve"> SromiTi danaxarji 1,15*0,268</t>
  </si>
  <si>
    <t xml:space="preserve"> sxvadasxva manqanebi 1,15*0,005</t>
  </si>
  <si>
    <t>19</t>
  </si>
  <si>
    <t>20</t>
  </si>
  <si>
    <t xml:space="preserve"> manqanebi 1,15*(0,95+6*0,23)/100</t>
  </si>
  <si>
    <t>svel wertilSi kedlebze akvapanelis filis akvra sisqiT aranakleb 10 mm-sa</t>
  </si>
  <si>
    <t>ficari gaSalaSinebuli sisqiT 25 mm</t>
  </si>
  <si>
    <t>saCexebis Weris Seficvris mowyoba gaSalaSinebuli Sipebiani ficrebiT sisqiT  25 mm</t>
  </si>
  <si>
    <t>sakvamle milebis saZirkvlisaTvis gruntis damuSaveba xeliT</t>
  </si>
  <si>
    <r>
      <t xml:space="preserve">sakvamle milebisaTvis monoliTuri betonis wertilovani saZirkvlis mowyoba </t>
    </r>
    <r>
      <rPr>
        <b/>
        <sz val="10"/>
        <rFont val="Sylfaen"/>
        <family val="1"/>
      </rPr>
      <t>B</t>
    </r>
    <r>
      <rPr>
        <b/>
        <sz val="10"/>
        <rFont val="LitNusx"/>
        <family val="0"/>
      </rPr>
      <t xml:space="preserve">-15 klasis betoniT </t>
    </r>
  </si>
  <si>
    <r>
      <t>betoni B</t>
    </r>
    <r>
      <rPr>
        <sz val="10"/>
        <rFont val="Sylfaen"/>
        <family val="1"/>
      </rPr>
      <t>B</t>
    </r>
    <r>
      <rPr>
        <sz val="10"/>
        <rFont val="LitNusx"/>
        <family val="0"/>
      </rPr>
      <t>-15 kl.</t>
    </r>
  </si>
  <si>
    <t xml:space="preserve">sakvamle milebis saxuravidan dacurebuli Tovlisagan dazianebis Tavidan acilebis mizniT saxuravis gare perimetris nawilebze damatebiTi   samercxlurebisaTvis xis karkasis mowyoba </t>
  </si>
  <si>
    <t xml:space="preserve"> liTonis sakvamle milis zedapirebis SeRebva antikoroziuli cecxlgamZle  saRebaviT</t>
  </si>
  <si>
    <t xml:space="preserve"> antikoroziuli cecxlgamZle saRebavi gamxsneliT</t>
  </si>
  <si>
    <t>mTavari SesasvlelSi da gare kibeebze xis  moajiris mowyoba da SeRebva</t>
  </si>
  <si>
    <t>sn da w IV-2-82 t-2 cx.10-28-1</t>
  </si>
  <si>
    <t xml:space="preserve"> SromiTi danaxarji 1,15*4,91</t>
  </si>
  <si>
    <t xml:space="preserve"> manqanebi 1,15*0,24</t>
  </si>
  <si>
    <t xml:space="preserve">Siga da gare xis kibisa da moajiris mowyoba </t>
  </si>
  <si>
    <t xml:space="preserve"> kvm. Ppr.</t>
  </si>
  <si>
    <t xml:space="preserve"> saRebavi zeTovani </t>
  </si>
  <si>
    <t xml:space="preserve">fasadis xis elementebisa da saCexebis Seficvris SeRebva zeTovani saRebaviT  </t>
  </si>
  <si>
    <t>SeSis RumelebisaTvis d-114*4,5 mm. li-Tonis sakvamle milis (saSualo simaRliT 8,0 metri) da qolgis dayeneba, Rumelidan gamosuli milebis SeerTebis adgilebze samkapebisa da saZirkvlis Tavis doneze Wvartlisagan gasawmendi xufis CayenebiT</t>
  </si>
  <si>
    <t xml:space="preserve">d=114*4,5 mm sakvamle mili, samkapebiT, samagri detalebiT, qolgiTa da Wvartlisagan gasawmendi xufiT </t>
  </si>
  <si>
    <t xml:space="preserve">liTonis Robis SeRebva antikoroziuli saRebaviT 2 jer </t>
  </si>
  <si>
    <t xml:space="preserve"> liTonis Robis gawmenda da dagruntva</t>
  </si>
  <si>
    <t>22</t>
  </si>
  <si>
    <t>23</t>
  </si>
  <si>
    <t xml:space="preserve">liTonis furclebisagan (sisqiT aranakleb 12 mm-sa) SeSis Rumelis damzadeba da misi CarTva sakvamle milSi d-100 mm feradi galvanizirebuli Tunuqis (sisqiT aranakleb 0.8 mm) milebiT </t>
  </si>
  <si>
    <t>13</t>
  </si>
  <si>
    <t>18</t>
  </si>
  <si>
    <t>26</t>
  </si>
  <si>
    <t>27</t>
  </si>
  <si>
    <t>5.1-1</t>
  </si>
  <si>
    <t>12.1 - 58</t>
  </si>
  <si>
    <t>12.1 -70</t>
  </si>
  <si>
    <t>12.1 - 56</t>
  </si>
  <si>
    <t>12,1-61</t>
  </si>
  <si>
    <t>12.1 -62</t>
  </si>
  <si>
    <t>12.1 - 57</t>
  </si>
  <si>
    <t>8.14-56</t>
  </si>
  <si>
    <t>8.14-53</t>
  </si>
  <si>
    <t>14-256</t>
  </si>
  <si>
    <t>Suaxevis municipalitetis sofel Janivris sajaro  skolis mSeneblobis dasruleba</t>
  </si>
  <si>
    <t>ჯამი</t>
  </si>
  <si>
    <t>ლარი</t>
  </si>
  <si>
    <t>რეზერვი გაუთვალისწინებელ 
სამუშაოებზე</t>
  </si>
  <si>
    <t>დღგ</t>
  </si>
  <si>
    <t xml:space="preserve"> ექსპერტიზა</t>
  </si>
  <si>
    <t>სულ ჯამი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</si>
</sst>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0.0000000"/>
    <numFmt numFmtId="195" formatCode="_-* #,##0.00_l_-;\-* #,##0.00_l_-;_-* &quot;-&quot;??_l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"/>
    <numFmt numFmtId="201" formatCode="0.000000000"/>
    <numFmt numFmtId="202" formatCode="#,##0.0"/>
    <numFmt numFmtId="203" formatCode="0.0%"/>
    <numFmt numFmtId="204" formatCode="#,##0.000"/>
    <numFmt numFmtId="205" formatCode="#,##0.0000"/>
    <numFmt numFmtId="206" formatCode="#,##0.00000"/>
    <numFmt numFmtId="207" formatCode="#,##0.000000"/>
    <numFmt numFmtId="208" formatCode="0.000%"/>
    <numFmt numFmtId="209" formatCode="0.0000%"/>
    <numFmt numFmtId="210" formatCode="0.00000%"/>
    <numFmt numFmtId="211" formatCode="0.000000%"/>
    <numFmt numFmtId="212" formatCode="#,##0.00&quot;р.&quot;"/>
    <numFmt numFmtId="213" formatCode="#,##0.00_р_."/>
    <numFmt numFmtId="214" formatCode="_(* #,##0.000_);_(* \(#,##0.000\);_(* &quot;-&quot;??_);_(@_)"/>
    <numFmt numFmtId="215" formatCode="#,##0_ ;\-#,##0\ "/>
    <numFmt numFmtId="216" formatCode="#,##0.00_ ;\-#,##0.00\ "/>
  </numFmts>
  <fonts count="61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AcadNusx"/>
      <family val="0"/>
    </font>
    <font>
      <b/>
      <sz val="10"/>
      <name val="AcadMtavr"/>
      <family val="0"/>
    </font>
    <font>
      <b/>
      <sz val="10"/>
      <name val="Academiuri Nuskhuri"/>
      <family val="0"/>
    </font>
    <font>
      <sz val="9"/>
      <name val="Academiuri Nuskhuri"/>
      <family val="0"/>
    </font>
    <font>
      <sz val="10"/>
      <name val="Academiuri Nuskhuri"/>
      <family val="0"/>
    </font>
    <font>
      <b/>
      <sz val="10"/>
      <name val="Arial"/>
      <family val="2"/>
    </font>
    <font>
      <sz val="10"/>
      <name val="LitNusx"/>
      <family val="0"/>
    </font>
    <font>
      <sz val="11"/>
      <name val="LitNusx"/>
      <family val="0"/>
    </font>
    <font>
      <sz val="12"/>
      <name val="LitNusx"/>
      <family val="0"/>
    </font>
    <font>
      <b/>
      <sz val="10"/>
      <name val="LitNusx"/>
      <family val="0"/>
    </font>
    <font>
      <b/>
      <sz val="9"/>
      <name val="LitNusx"/>
      <family val="0"/>
    </font>
    <font>
      <sz val="9"/>
      <name val="LitNusx"/>
      <family val="0"/>
    </font>
    <font>
      <b/>
      <sz val="8"/>
      <name val="LitNusx"/>
      <family val="0"/>
    </font>
    <font>
      <b/>
      <i/>
      <sz val="10"/>
      <name val="LitNusx"/>
      <family val="0"/>
    </font>
    <font>
      <u val="single"/>
      <sz val="10"/>
      <name val="LitNusx"/>
      <family val="0"/>
    </font>
    <font>
      <b/>
      <u val="single"/>
      <sz val="10"/>
      <name val="LitNusx"/>
      <family val="0"/>
    </font>
    <font>
      <b/>
      <i/>
      <u val="single"/>
      <sz val="10"/>
      <name val="LitNusx"/>
      <family val="0"/>
    </font>
    <font>
      <vertAlign val="superscript"/>
      <sz val="10"/>
      <name val="LitNusx"/>
      <family val="0"/>
    </font>
    <font>
      <b/>
      <sz val="10"/>
      <name val="Sylfaen"/>
      <family val="1"/>
    </font>
    <font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4" borderId="1" applyNumberFormat="0" applyAlignment="0" applyProtection="0"/>
    <xf numFmtId="0" fontId="5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" fillId="0" borderId="3" applyNumberFormat="0" applyFill="0" applyAlignment="0" applyProtection="0"/>
    <xf numFmtId="0" fontId="3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7" borderId="1" applyNumberFormat="0" applyAlignment="0" applyProtection="0"/>
    <xf numFmtId="0" fontId="56" fillId="0" borderId="6" applyNumberFormat="0" applyFill="0" applyAlignment="0" applyProtection="0"/>
    <xf numFmtId="0" fontId="57" fillId="28" borderId="0" applyNumberFormat="0" applyBorder="0" applyAlignment="0" applyProtection="0"/>
    <xf numFmtId="0" fontId="0" fillId="29" borderId="7" applyNumberFormat="0" applyFont="0" applyAlignment="0" applyProtection="0"/>
    <xf numFmtId="0" fontId="58" fillId="2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30" borderId="0" xfId="0" applyFont="1" applyFill="1" applyAlignment="1">
      <alignment/>
    </xf>
    <xf numFmtId="0" fontId="2" fillId="3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9" fontId="14" fillId="0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Alignment="1">
      <alignment horizontal="center" vertical="top" wrapText="1"/>
    </xf>
    <xf numFmtId="49" fontId="19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7" fillId="31" borderId="0" xfId="0" applyNumberFormat="1" applyFont="1" applyFill="1" applyBorder="1" applyAlignment="1">
      <alignment horizontal="center" vertical="center" wrapText="1"/>
    </xf>
    <xf numFmtId="1" fontId="14" fillId="31" borderId="0" xfId="0" applyNumberFormat="1" applyFont="1" applyFill="1" applyAlignment="1">
      <alignment horizontal="center" vertical="center" wrapText="1"/>
    </xf>
    <xf numFmtId="1" fontId="15" fillId="31" borderId="0" xfId="0" applyNumberFormat="1" applyFont="1" applyFill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" fontId="19" fillId="31" borderId="10" xfId="0" applyNumberFormat="1" applyFont="1" applyFill="1" applyBorder="1" applyAlignment="1">
      <alignment horizontal="center" vertical="center" textRotation="90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" fontId="17" fillId="31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 wrapText="1"/>
    </xf>
    <xf numFmtId="0" fontId="15" fillId="31" borderId="0" xfId="0" applyFont="1" applyFill="1" applyAlignment="1">
      <alignment horizontal="center" vertical="center" wrapText="1"/>
    </xf>
    <xf numFmtId="189" fontId="14" fillId="0" borderId="10" xfId="0" applyNumberFormat="1" applyFont="1" applyFill="1" applyBorder="1" applyAlignment="1">
      <alignment horizontal="center" vertical="center"/>
    </xf>
    <xf numFmtId="0" fontId="18" fillId="31" borderId="10" xfId="0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49" fontId="19" fillId="31" borderId="10" xfId="0" applyNumberFormat="1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49" fontId="17" fillId="31" borderId="10" xfId="0" applyNumberFormat="1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/>
    </xf>
    <xf numFmtId="0" fontId="14" fillId="31" borderId="10" xfId="0" applyFont="1" applyFill="1" applyBorder="1" applyAlignment="1">
      <alignment horizontal="center" vertical="center"/>
    </xf>
    <xf numFmtId="49" fontId="19" fillId="31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3" fontId="14" fillId="31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189" fontId="14" fillId="0" borderId="10" xfId="0" applyNumberFormat="1" applyFont="1" applyFill="1" applyBorder="1" applyAlignment="1">
      <alignment horizontal="center" vertical="center" wrapText="1"/>
    </xf>
    <xf numFmtId="2" fontId="14" fillId="31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88" fontId="14" fillId="0" borderId="10" xfId="0" applyNumberFormat="1" applyFont="1" applyFill="1" applyBorder="1" applyAlignment="1">
      <alignment horizontal="center" vertical="center"/>
    </xf>
    <xf numFmtId="190" fontId="14" fillId="0" borderId="10" xfId="0" applyNumberFormat="1" applyFont="1" applyFill="1" applyBorder="1" applyAlignment="1">
      <alignment horizontal="center" vertical="center"/>
    </xf>
    <xf numFmtId="189" fontId="14" fillId="31" borderId="10" xfId="0" applyNumberFormat="1" applyFont="1" applyFill="1" applyBorder="1" applyAlignment="1">
      <alignment horizontal="center" vertical="center"/>
    </xf>
    <xf numFmtId="189" fontId="17" fillId="31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2" fontId="14" fillId="31" borderId="10" xfId="0" applyNumberFormat="1" applyFont="1" applyFill="1" applyBorder="1" applyAlignment="1">
      <alignment horizontal="center" vertical="center"/>
    </xf>
    <xf numFmtId="49" fontId="18" fillId="31" borderId="10" xfId="0" applyNumberFormat="1" applyFont="1" applyFill="1" applyBorder="1" applyAlignment="1">
      <alignment horizontal="center" vertical="center" wrapText="1"/>
    </xf>
    <xf numFmtId="1" fontId="14" fillId="31" borderId="10" xfId="0" applyNumberFormat="1" applyFont="1" applyFill="1" applyBorder="1" applyAlignment="1">
      <alignment horizontal="center" vertical="center"/>
    </xf>
    <xf numFmtId="190" fontId="1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189" fontId="17" fillId="31" borderId="10" xfId="0" applyNumberFormat="1" applyFont="1" applyFill="1" applyBorder="1" applyAlignment="1">
      <alignment horizontal="center" vertical="center"/>
    </xf>
    <xf numFmtId="2" fontId="17" fillId="31" borderId="10" xfId="0" applyNumberFormat="1" applyFont="1" applyFill="1" applyBorder="1" applyAlignment="1">
      <alignment horizontal="center" vertical="center"/>
    </xf>
    <xf numFmtId="2" fontId="17" fillId="31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9" fontId="14" fillId="31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17" fillId="30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88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188" fontId="14" fillId="31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right" vertical="center" wrapText="1"/>
    </xf>
    <xf numFmtId="189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189" fontId="1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90" fontId="14" fillId="31" borderId="10" xfId="0" applyNumberFormat="1" applyFont="1" applyFill="1" applyBorder="1" applyAlignment="1">
      <alignment horizontal="center" vertical="center" wrapText="1"/>
    </xf>
    <xf numFmtId="14" fontId="14" fillId="31" borderId="10" xfId="0" applyNumberFormat="1" applyFont="1" applyFill="1" applyBorder="1" applyAlignment="1">
      <alignment horizontal="center" vertical="center"/>
    </xf>
    <xf numFmtId="9" fontId="17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4" fontId="14" fillId="31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14" fillId="31" borderId="10" xfId="0" applyNumberFormat="1" applyFont="1" applyFill="1" applyBorder="1" applyAlignment="1">
      <alignment horizontal="center" vertical="center"/>
    </xf>
    <xf numFmtId="188" fontId="1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0" fontId="19" fillId="0" borderId="0" xfId="0" applyFont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2" fontId="17" fillId="0" borderId="0" xfId="0" applyNumberFormat="1" applyFont="1" applyFill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88" fontId="14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/>
    </xf>
    <xf numFmtId="0" fontId="21" fillId="31" borderId="10" xfId="0" applyFont="1" applyFill="1" applyBorder="1" applyAlignment="1">
      <alignment horizontal="center" vertical="center" wrapText="1"/>
    </xf>
    <xf numFmtId="49" fontId="14" fillId="31" borderId="10" xfId="0" applyNumberFormat="1" applyFont="1" applyFill="1" applyBorder="1" applyAlignment="1">
      <alignment horizontal="center" vertical="center" wrapText="1"/>
    </xf>
    <xf numFmtId="0" fontId="14" fillId="31" borderId="10" xfId="0" applyFont="1" applyFill="1" applyBorder="1" applyAlignment="1">
      <alignment horizontal="center" vertical="center" wrapText="1"/>
    </xf>
    <xf numFmtId="0" fontId="14" fillId="31" borderId="10" xfId="0" applyFont="1" applyFill="1" applyBorder="1" applyAlignment="1">
      <alignment horizontal="center" vertical="center" wrapText="1"/>
    </xf>
    <xf numFmtId="49" fontId="14" fillId="31" borderId="10" xfId="0" applyNumberFormat="1" applyFont="1" applyFill="1" applyBorder="1" applyAlignment="1">
      <alignment horizontal="center" vertical="center" wrapText="1"/>
    </xf>
    <xf numFmtId="0" fontId="14" fillId="31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31" borderId="10" xfId="0" applyFont="1" applyFill="1" applyBorder="1" applyAlignment="1">
      <alignment horizontal="center" vertical="center" wrapText="1"/>
    </xf>
    <xf numFmtId="2" fontId="15" fillId="31" borderId="10" xfId="0" applyNumberFormat="1" applyFont="1" applyFill="1" applyBorder="1" applyAlignment="1">
      <alignment horizontal="center" vertical="center" wrapText="1"/>
    </xf>
    <xf numFmtId="190" fontId="15" fillId="31" borderId="10" xfId="0" applyNumberFormat="1" applyFont="1" applyFill="1" applyBorder="1" applyAlignment="1">
      <alignment horizontal="center" vertical="center" wrapText="1"/>
    </xf>
    <xf numFmtId="1" fontId="17" fillId="31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4" fontId="17" fillId="31" borderId="10" xfId="0" applyNumberFormat="1" applyFont="1" applyFill="1" applyBorder="1" applyAlignment="1">
      <alignment horizontal="center" vertical="center"/>
    </xf>
    <xf numFmtId="1" fontId="17" fillId="32" borderId="10" xfId="0" applyNumberFormat="1" applyFont="1" applyFill="1" applyBorder="1" applyAlignment="1">
      <alignment horizontal="center" vertical="center" wrapText="1"/>
    </xf>
    <xf numFmtId="49" fontId="14" fillId="31" borderId="19" xfId="0" applyNumberFormat="1" applyFont="1" applyFill="1" applyBorder="1" applyAlignment="1">
      <alignment horizontal="center" vertical="center" wrapText="1"/>
    </xf>
    <xf numFmtId="0" fontId="15" fillId="31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/>
    </xf>
    <xf numFmtId="4" fontId="17" fillId="33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 wrapText="1"/>
    </xf>
    <xf numFmtId="2" fontId="22" fillId="31" borderId="10" xfId="0" applyNumberFormat="1" applyFont="1" applyFill="1" applyBorder="1" applyAlignment="1">
      <alignment horizontal="center" vertical="center" wrapText="1"/>
    </xf>
    <xf numFmtId="2" fontId="14" fillId="31" borderId="11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2" fontId="21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31" borderId="0" xfId="0" applyFont="1" applyFill="1" applyAlignment="1">
      <alignment horizontal="center" vertical="center" wrapText="1"/>
    </xf>
    <xf numFmtId="0" fontId="14" fillId="31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0" fontId="13" fillId="31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2" fontId="45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/>
    </xf>
    <xf numFmtId="2" fontId="0" fillId="0" borderId="10" xfId="0" applyNumberForma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0" fontId="0" fillId="0" borderId="10" xfId="0" applyNumberFormat="1" applyBorder="1" applyAlignment="1">
      <alignment/>
    </xf>
    <xf numFmtId="0" fontId="17" fillId="31" borderId="2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Финансов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334;&#4304;&#4320;&#4335;&#4311;&#4304;&#4326;&#4320;&#4312;&#4330;&#4334;&#4309;&#4304;%20-&#4305;&#4304;&#4313;&#4323;&#4320;&#4330;&#4312;&#4334;&#4308;%20-&#4313;&#4317;&#4320;&#4308;&#4325;&#4322;&#4312;&#4320;&#4308;&#4305;&#4323;&#4314;&#4312;%2002.10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4334;&#4304;&#4320;&#4335;&#4311;&#4304;&#4326;&#4320;&#4312;&#4330;&#4334;&#4330;&#4304;%20#25%20&#4321;&#4304;&#4305;&#4304;&#4309;&#4328;&#4309;&#4317;%20&#4305;&#4304;&#4326;&#4312;-%20&#4334;&#4308;&#4314;&#4324;&#4304;&#4321;&#4310;&#4308;%20&#4307;&#4304;&#4316;&#4304;&#4315;&#4304;&#4322;&#4312;&#4311;&#4304;%20&#4307;&#4304;%20&#4322;&#4320;&#4304;&#4316;&#4321;&#4318;&#4317;&#4320;&#4322;&#4317;&#4320;&#4308;&#4305;&#4312;&#43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\REZERV\nodari\Smeta-mopi%202007-2015\smeta%202015\&#4334;&#4304;&#4320;&#4335;&#4311;&#4304;&#4326;&#4320;&#4312;&#4330;&#4334;&#4330;&#4304;%20#25%20&#4321;&#4304;&#4305;&#4304;&#4309;&#4328;&#4309;&#4317;%20&#4305;&#4304;&#4326;&#4312;-%20&#4334;&#4308;&#4314;&#4324;&#4304;&#4321;&#4310;&#4308;%20&#4307;&#4304;&#4316;&#4304;&#4315;&#4304;&#4322;&#4312;&#4311;&#4304;%20&#4307;&#4304;%20&#4322;&#4320;&#4304;&#4316;&#4321;&#4318;&#4317;&#4320;&#4322;&#4317;&#4320;&#4308;&#4305;&#4312;&#43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 "/>
      <sheetName val="განმარტებითი ბარათი"/>
      <sheetName val="ნაკრები"/>
      <sheetName val="ობ.ხ.№1"/>
      <sheetName val="ლ.რ. № 1-1"/>
      <sheetName val="ლ.რ. № 1-2"/>
      <sheetName val="ლ.რ № 1-3"/>
      <sheetName val="ლხ.#1-4"/>
      <sheetName val="ლხ. 1-5"/>
      <sheetName val="ლხ.1-6"/>
      <sheetName val="ლხ.2"/>
      <sheetName val="ლხ-3"/>
      <sheetName val="ლხ-4"/>
      <sheetName val="ლხ-5"/>
      <sheetName val="ლხ.1-3"/>
      <sheetName val="ლ.რ № 1-4"/>
      <sheetName val="ლხ.#1-5"/>
      <sheetName val="ლხ. 1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 "/>
      <sheetName val="განმარტებითი ბარათი"/>
      <sheetName val="ნაკრები"/>
      <sheetName val="ობ.ხ.№1"/>
      <sheetName val="ლ.რ. № 1-1"/>
      <sheetName val="ლ.რ. № 1-2"/>
      <sheetName val="ლ.რ #1-3"/>
      <sheetName val="ლ.რ №1-4"/>
      <sheetName val="ლ.რ № 1-5"/>
      <sheetName val="ლხ.1-6"/>
      <sheetName val="ლხ.1-7"/>
      <sheetName val="ლხ.2"/>
      <sheetName val="ლ.რ. №3"/>
      <sheetName val="ლ.რ. №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 "/>
      <sheetName val="განმარტებითი ბარათი"/>
      <sheetName val="ნაკრები"/>
      <sheetName val="ობ.ხ.№1"/>
      <sheetName val="ლ.რ. № 1-1"/>
      <sheetName val="ლ.რ. № 1-2"/>
      <sheetName val="ლ.რ #1-3"/>
      <sheetName val="ლ.რ №1-4"/>
      <sheetName val="ლ.რ № 1-5"/>
      <sheetName val="ლხ.1-6"/>
      <sheetName val="ლხ.1-7"/>
      <sheetName val="ლხ.2"/>
      <sheetName val="ლ.რ. №3"/>
      <sheetName val="ლ.რ. №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134"/>
  <sheetViews>
    <sheetView tabSelected="1" zoomScalePageLayoutView="0" workbookViewId="0" topLeftCell="A1">
      <selection activeCell="C5" sqref="C5:C6"/>
    </sheetView>
  </sheetViews>
  <sheetFormatPr defaultColWidth="9.140625" defaultRowHeight="12.75"/>
  <cols>
    <col min="1" max="1" width="4.57421875" style="48" customWidth="1"/>
    <col min="2" max="2" width="9.140625" style="68" customWidth="1"/>
    <col min="3" max="3" width="42.8515625" style="50" customWidth="1"/>
    <col min="4" max="4" width="6.7109375" style="50" customWidth="1"/>
    <col min="5" max="5" width="7.8515625" style="50" customWidth="1"/>
    <col min="6" max="6" width="8.421875" style="50" customWidth="1"/>
    <col min="7" max="7" width="6.8515625" style="69" customWidth="1"/>
    <col min="8" max="8" width="10.8515625" style="72" customWidth="1"/>
    <col min="9" max="12" width="9.140625" style="69" hidden="1" customWidth="1"/>
    <col min="13" max="13" width="9.7109375" style="69" hidden="1" customWidth="1"/>
    <col min="14" max="14" width="9.140625" style="69" hidden="1" customWidth="1"/>
    <col min="15" max="15" width="9.140625" style="69" customWidth="1"/>
    <col min="16" max="16384" width="9.140625" style="69" customWidth="1"/>
  </cols>
  <sheetData>
    <row r="1" spans="1:8" ht="32.25" customHeight="1">
      <c r="A1" s="237" t="s">
        <v>421</v>
      </c>
      <c r="B1" s="237"/>
      <c r="C1" s="237"/>
      <c r="D1" s="237"/>
      <c r="E1" s="237"/>
      <c r="F1" s="237"/>
      <c r="G1" s="237"/>
      <c r="H1" s="237"/>
    </row>
    <row r="2" spans="1:8" ht="16.5" customHeight="1">
      <c r="A2" s="238" t="s">
        <v>142</v>
      </c>
      <c r="B2" s="238"/>
      <c r="C2" s="238"/>
      <c r="D2" s="238"/>
      <c r="E2" s="238"/>
      <c r="F2" s="238"/>
      <c r="G2" s="238"/>
      <c r="H2" s="238"/>
    </row>
    <row r="3" spans="1:8" ht="16.5" customHeight="1">
      <c r="A3" s="236" t="s">
        <v>141</v>
      </c>
      <c r="B3" s="236"/>
      <c r="C3" s="236"/>
      <c r="D3" s="236"/>
      <c r="E3" s="236"/>
      <c r="F3" s="236"/>
      <c r="G3" s="236"/>
      <c r="H3" s="236"/>
    </row>
    <row r="4" spans="1:8" ht="15" customHeight="1">
      <c r="A4" s="231" t="s">
        <v>49</v>
      </c>
      <c r="B4" s="231"/>
      <c r="C4" s="231"/>
      <c r="D4" s="231"/>
      <c r="E4" s="231"/>
      <c r="F4" s="231"/>
      <c r="G4" s="231"/>
      <c r="H4" s="231"/>
    </row>
    <row r="5" spans="1:8" ht="28.5" customHeight="1">
      <c r="A5" s="228" t="s">
        <v>19</v>
      </c>
      <c r="B5" s="234" t="s">
        <v>20</v>
      </c>
      <c r="C5" s="233" t="s">
        <v>21</v>
      </c>
      <c r="D5" s="235" t="s">
        <v>18</v>
      </c>
      <c r="E5" s="229" t="s">
        <v>22</v>
      </c>
      <c r="F5" s="229"/>
      <c r="G5" s="239" t="s">
        <v>13</v>
      </c>
      <c r="H5" s="239"/>
    </row>
    <row r="6" spans="1:8" ht="51.75" customHeight="1">
      <c r="A6" s="228"/>
      <c r="B6" s="234"/>
      <c r="C6" s="233"/>
      <c r="D6" s="235"/>
      <c r="E6" s="55" t="s">
        <v>23</v>
      </c>
      <c r="F6" s="55" t="s">
        <v>24</v>
      </c>
      <c r="G6" s="56" t="s">
        <v>23</v>
      </c>
      <c r="H6" s="74" t="s">
        <v>24</v>
      </c>
    </row>
    <row r="7" spans="1:8" s="136" customFormat="1" ht="17.25" customHeight="1">
      <c r="A7" s="75" t="s">
        <v>25</v>
      </c>
      <c r="B7" s="75">
        <v>2</v>
      </c>
      <c r="C7" s="53">
        <v>3</v>
      </c>
      <c r="D7" s="53">
        <v>4</v>
      </c>
      <c r="E7" s="53">
        <v>5</v>
      </c>
      <c r="F7" s="53">
        <v>6</v>
      </c>
      <c r="G7" s="76">
        <v>7</v>
      </c>
      <c r="H7" s="77">
        <v>8</v>
      </c>
    </row>
    <row r="8" spans="1:15" ht="59.25" customHeight="1">
      <c r="A8" s="75" t="s">
        <v>25</v>
      </c>
      <c r="B8" s="123" t="s">
        <v>393</v>
      </c>
      <c r="C8" s="92" t="s">
        <v>396</v>
      </c>
      <c r="D8" s="92" t="s">
        <v>397</v>
      </c>
      <c r="E8" s="92"/>
      <c r="F8" s="115">
        <v>22</v>
      </c>
      <c r="G8" s="92"/>
      <c r="H8" s="221"/>
      <c r="I8" s="137"/>
      <c r="J8" s="84" t="e">
        <f>#REF!</f>
        <v>#REF!</v>
      </c>
      <c r="K8" s="84"/>
      <c r="L8" s="50"/>
      <c r="M8" s="50"/>
      <c r="N8" s="50"/>
      <c r="O8" s="50"/>
    </row>
    <row r="9" spans="1:17" ht="28.5" customHeight="1">
      <c r="A9" s="73"/>
      <c r="B9" s="197" t="s">
        <v>16</v>
      </c>
      <c r="C9" s="204" t="s">
        <v>394</v>
      </c>
      <c r="D9" s="52" t="s">
        <v>17</v>
      </c>
      <c r="E9" s="204">
        <f>1.15*4.91</f>
        <v>5.6465</v>
      </c>
      <c r="F9" s="104">
        <f>E9*F8</f>
        <v>124.22299999999998</v>
      </c>
      <c r="G9" s="204"/>
      <c r="H9" s="104"/>
      <c r="I9" s="135"/>
      <c r="J9" s="84" t="e">
        <f>#REF!</f>
        <v>#REF!</v>
      </c>
      <c r="K9" s="84"/>
      <c r="L9" s="50"/>
      <c r="M9" s="50"/>
      <c r="N9" s="50"/>
      <c r="O9" s="50"/>
      <c r="P9" s="145"/>
      <c r="Q9" s="145"/>
    </row>
    <row r="10" spans="1:17" ht="23.25" customHeight="1">
      <c r="A10" s="73"/>
      <c r="B10" s="197" t="s">
        <v>16</v>
      </c>
      <c r="C10" s="204" t="s">
        <v>395</v>
      </c>
      <c r="D10" s="204" t="s">
        <v>28</v>
      </c>
      <c r="E10" s="204">
        <f>1.15*0.21</f>
        <v>0.24149999999999996</v>
      </c>
      <c r="F10" s="104">
        <f>E10*F8</f>
        <v>5.312999999999999</v>
      </c>
      <c r="G10" s="204"/>
      <c r="H10" s="100"/>
      <c r="I10" s="135"/>
      <c r="J10" s="84"/>
      <c r="K10" s="84"/>
      <c r="L10" s="50"/>
      <c r="M10" s="50"/>
      <c r="N10" s="50"/>
      <c r="O10" s="50"/>
      <c r="P10" s="145"/>
      <c r="Q10" s="145"/>
    </row>
    <row r="11" spans="1:22" s="205" customFormat="1" ht="27" customHeight="1">
      <c r="A11" s="73"/>
      <c r="B11" s="60" t="s">
        <v>14</v>
      </c>
      <c r="C11" s="204" t="s">
        <v>352</v>
      </c>
      <c r="D11" s="204" t="s">
        <v>26</v>
      </c>
      <c r="E11" s="204">
        <v>0.1</v>
      </c>
      <c r="F11" s="104">
        <f>F8*E11</f>
        <v>2.2</v>
      </c>
      <c r="G11" s="204"/>
      <c r="H11" s="100"/>
      <c r="I11" s="214"/>
      <c r="J11" s="93" t="s">
        <v>16</v>
      </c>
      <c r="K11" s="204" t="s">
        <v>317</v>
      </c>
      <c r="L11" s="204" t="s">
        <v>17</v>
      </c>
      <c r="M11" s="207">
        <f>1.15*(65.8+85.6)/2/100*50%</f>
        <v>0.4352749999999999</v>
      </c>
      <c r="N11" s="208" t="e">
        <f>M11*#REF!</f>
        <v>#REF!</v>
      </c>
      <c r="O11" s="135"/>
      <c r="P11" s="84"/>
      <c r="Q11" s="84"/>
      <c r="R11" s="50"/>
      <c r="S11" s="50"/>
      <c r="T11" s="50"/>
      <c r="U11" s="50"/>
      <c r="V11" s="69"/>
    </row>
    <row r="12" spans="1:22" s="205" customFormat="1" ht="21.75" customHeight="1">
      <c r="A12" s="73"/>
      <c r="B12" s="197" t="s">
        <v>16</v>
      </c>
      <c r="C12" s="52" t="s">
        <v>163</v>
      </c>
      <c r="D12" s="204" t="s">
        <v>28</v>
      </c>
      <c r="E12" s="204">
        <v>0.2</v>
      </c>
      <c r="F12" s="104">
        <f>E12*F8</f>
        <v>4.4</v>
      </c>
      <c r="G12" s="204"/>
      <c r="H12" s="100"/>
      <c r="I12" s="214"/>
      <c r="J12" s="93" t="s">
        <v>16</v>
      </c>
      <c r="K12" s="204" t="s">
        <v>316</v>
      </c>
      <c r="L12" s="204" t="s">
        <v>28</v>
      </c>
      <c r="M12" s="207">
        <f>1.15*(1+0.02+1.2+0.02)/2/100</f>
        <v>0.012879999999999997</v>
      </c>
      <c r="N12" s="209" t="e">
        <f>M12*#REF!</f>
        <v>#REF!</v>
      </c>
      <c r="O12" s="87"/>
      <c r="P12" s="84"/>
      <c r="Q12" s="84"/>
      <c r="R12" s="50"/>
      <c r="S12" s="50"/>
      <c r="T12" s="50"/>
      <c r="U12" s="50"/>
      <c r="V12" s="69"/>
    </row>
    <row r="13" spans="1:8" ht="47.25" customHeight="1">
      <c r="A13" s="75" t="s">
        <v>43</v>
      </c>
      <c r="B13" s="79" t="s">
        <v>14</v>
      </c>
      <c r="C13" s="53" t="s">
        <v>356</v>
      </c>
      <c r="D13" s="110" t="s">
        <v>76</v>
      </c>
      <c r="E13" s="62"/>
      <c r="F13" s="210">
        <v>2</v>
      </c>
      <c r="G13" s="62"/>
      <c r="H13" s="222"/>
    </row>
    <row r="14" spans="1:8" ht="28.5" customHeight="1">
      <c r="A14" s="57"/>
      <c r="B14" s="57" t="s">
        <v>14</v>
      </c>
      <c r="C14" s="52" t="s">
        <v>52</v>
      </c>
      <c r="D14" s="58" t="str">
        <f>D13</f>
        <v>kompl</v>
      </c>
      <c r="E14" s="58">
        <v>1</v>
      </c>
      <c r="F14" s="111">
        <f>F13*E14</f>
        <v>2</v>
      </c>
      <c r="G14" s="90"/>
      <c r="H14" s="122"/>
    </row>
    <row r="15" spans="1:8" ht="62.25" customHeight="1">
      <c r="A15" s="78">
        <v>3</v>
      </c>
      <c r="B15" s="79" t="s">
        <v>153</v>
      </c>
      <c r="C15" s="53" t="s">
        <v>357</v>
      </c>
      <c r="D15" s="53" t="s">
        <v>31</v>
      </c>
      <c r="E15" s="53"/>
      <c r="F15" s="129">
        <v>119.32</v>
      </c>
      <c r="G15" s="109"/>
      <c r="H15" s="221"/>
    </row>
    <row r="16" spans="1:8" ht="27" customHeight="1">
      <c r="A16" s="57"/>
      <c r="B16" s="57" t="s">
        <v>16</v>
      </c>
      <c r="C16" s="52" t="s">
        <v>358</v>
      </c>
      <c r="D16" s="52" t="s">
        <v>17</v>
      </c>
      <c r="E16" s="52">
        <f>1.15*0.87</f>
        <v>1.0005</v>
      </c>
      <c r="F16" s="104">
        <f>E16*F15</f>
        <v>119.37965999999999</v>
      </c>
      <c r="G16" s="100"/>
      <c r="H16" s="104"/>
    </row>
    <row r="17" spans="1:8" ht="25.5" customHeight="1">
      <c r="A17" s="57"/>
      <c r="B17" s="57" t="s">
        <v>16</v>
      </c>
      <c r="C17" s="52" t="s">
        <v>66</v>
      </c>
      <c r="D17" s="52" t="s">
        <v>28</v>
      </c>
      <c r="E17" s="52">
        <f>1.15*0.13</f>
        <v>0.1495</v>
      </c>
      <c r="F17" s="104">
        <f>F15*E17</f>
        <v>17.83834</v>
      </c>
      <c r="G17" s="52"/>
      <c r="H17" s="100"/>
    </row>
    <row r="18" spans="1:15" ht="25.5" customHeight="1">
      <c r="A18" s="57"/>
      <c r="B18" s="57" t="s">
        <v>14</v>
      </c>
      <c r="C18" s="52" t="s">
        <v>128</v>
      </c>
      <c r="D18" s="52" t="s">
        <v>27</v>
      </c>
      <c r="E18" s="52">
        <v>10.05</v>
      </c>
      <c r="F18" s="104">
        <f>F15*E18</f>
        <v>1199.166</v>
      </c>
      <c r="G18" s="52"/>
      <c r="H18" s="100"/>
      <c r="I18" s="49"/>
      <c r="J18" s="84"/>
      <c r="K18" s="84"/>
      <c r="L18" s="49"/>
      <c r="M18" s="49"/>
      <c r="N18" s="49"/>
      <c r="O18" s="49"/>
    </row>
    <row r="19" spans="1:15" ht="27" customHeight="1">
      <c r="A19" s="57"/>
      <c r="B19" s="45" t="s">
        <v>16</v>
      </c>
      <c r="C19" s="52" t="s">
        <v>72</v>
      </c>
      <c r="D19" s="52" t="s">
        <v>28</v>
      </c>
      <c r="E19" s="52">
        <v>0.1</v>
      </c>
      <c r="F19" s="104">
        <f>F15*E19</f>
        <v>11.932</v>
      </c>
      <c r="G19" s="52"/>
      <c r="H19" s="100"/>
      <c r="I19" s="49"/>
      <c r="J19" s="84"/>
      <c r="K19" s="84"/>
      <c r="L19" s="49"/>
      <c r="M19" s="49"/>
      <c r="N19" s="49"/>
      <c r="O19" s="49"/>
    </row>
    <row r="20" spans="1:15" ht="63" customHeight="1">
      <c r="A20" s="78">
        <v>4</v>
      </c>
      <c r="B20" s="79" t="s">
        <v>362</v>
      </c>
      <c r="C20" s="53" t="s">
        <v>361</v>
      </c>
      <c r="D20" s="53" t="s">
        <v>32</v>
      </c>
      <c r="E20" s="53"/>
      <c r="F20" s="129">
        <v>1140</v>
      </c>
      <c r="G20" s="109"/>
      <c r="H20" s="221"/>
      <c r="I20" s="49"/>
      <c r="J20" s="84"/>
      <c r="K20" s="84"/>
      <c r="L20" s="49"/>
      <c r="M20" s="49"/>
      <c r="N20" s="49"/>
      <c r="O20" s="49"/>
    </row>
    <row r="21" spans="1:15" ht="27" customHeight="1">
      <c r="A21" s="57"/>
      <c r="B21" s="57" t="s">
        <v>16</v>
      </c>
      <c r="C21" s="52" t="s">
        <v>363</v>
      </c>
      <c r="D21" s="52" t="s">
        <v>17</v>
      </c>
      <c r="E21" s="52">
        <f>1.15*0.0603</f>
        <v>0.06934499999999999</v>
      </c>
      <c r="F21" s="100">
        <f>E21*F20</f>
        <v>79.0533</v>
      </c>
      <c r="G21" s="100"/>
      <c r="H21" s="104"/>
      <c r="I21" s="87" t="e">
        <f>#REF!/#REF!</f>
        <v>#REF!</v>
      </c>
      <c r="J21" s="84" t="e">
        <f>#REF!</f>
        <v>#REF!</v>
      </c>
      <c r="K21" s="84"/>
      <c r="L21" s="49"/>
      <c r="M21" s="85"/>
      <c r="N21" s="85"/>
      <c r="O21" s="85"/>
    </row>
    <row r="22" spans="1:11" ht="27" customHeight="1">
      <c r="A22" s="57"/>
      <c r="B22" s="57" t="s">
        <v>16</v>
      </c>
      <c r="C22" s="52" t="s">
        <v>364</v>
      </c>
      <c r="D22" s="52" t="s">
        <v>28</v>
      </c>
      <c r="E22" s="52">
        <f>1.15*0.003</f>
        <v>0.00345</v>
      </c>
      <c r="F22" s="100">
        <f>F20*E22</f>
        <v>3.933</v>
      </c>
      <c r="G22" s="52"/>
      <c r="H22" s="100"/>
      <c r="I22" s="87" t="e">
        <f>#REF!/#REF!</f>
        <v>#REF!</v>
      </c>
      <c r="J22" s="84" t="e">
        <f>#REF!</f>
        <v>#REF!</v>
      </c>
      <c r="K22" s="84"/>
    </row>
    <row r="23" spans="1:11" s="85" customFormat="1" ht="25.5" customHeight="1">
      <c r="A23" s="57"/>
      <c r="B23" s="57" t="s">
        <v>14</v>
      </c>
      <c r="C23" s="52" t="s">
        <v>129</v>
      </c>
      <c r="D23" s="52" t="s">
        <v>34</v>
      </c>
      <c r="E23" s="45">
        <v>0.00021</v>
      </c>
      <c r="F23" s="100">
        <f>F20*E23</f>
        <v>0.2394</v>
      </c>
      <c r="G23" s="52"/>
      <c r="H23" s="100"/>
      <c r="I23" s="87" t="e">
        <f>#REF!/#REF!</f>
        <v>#REF!</v>
      </c>
      <c r="J23" s="84" t="e">
        <f>#REF!</f>
        <v>#REF!</v>
      </c>
      <c r="K23" s="84"/>
    </row>
    <row r="24" spans="1:11" s="85" customFormat="1" ht="59.25" customHeight="1">
      <c r="A24" s="78">
        <v>5</v>
      </c>
      <c r="B24" s="79" t="s">
        <v>153</v>
      </c>
      <c r="C24" s="53" t="s">
        <v>359</v>
      </c>
      <c r="D24" s="53" t="s">
        <v>32</v>
      </c>
      <c r="E24" s="53"/>
      <c r="F24" s="115">
        <v>225</v>
      </c>
      <c r="G24" s="109"/>
      <c r="H24" s="221"/>
      <c r="I24" s="84"/>
      <c r="J24" s="84" t="e">
        <f>#REF!</f>
        <v>#REF!</v>
      </c>
      <c r="K24" s="84"/>
    </row>
    <row r="25" spans="1:11" s="85" customFormat="1" ht="25.5" customHeight="1">
      <c r="A25" s="57"/>
      <c r="B25" s="57" t="s">
        <v>16</v>
      </c>
      <c r="C25" s="52" t="s">
        <v>154</v>
      </c>
      <c r="D25" s="52" t="s">
        <v>17</v>
      </c>
      <c r="E25" s="52">
        <f>1.15*0.0303</f>
        <v>0.034845</v>
      </c>
      <c r="F25" s="104">
        <f>E25*F24</f>
        <v>7.8401250000000005</v>
      </c>
      <c r="G25" s="100"/>
      <c r="H25" s="104"/>
      <c r="I25" s="84"/>
      <c r="J25" s="84" t="e">
        <f>#REF!</f>
        <v>#REF!</v>
      </c>
      <c r="K25" s="84"/>
    </row>
    <row r="26" spans="1:11" s="85" customFormat="1" ht="26.25" customHeight="1">
      <c r="A26" s="57"/>
      <c r="B26" s="57" t="s">
        <v>16</v>
      </c>
      <c r="C26" s="52" t="s">
        <v>152</v>
      </c>
      <c r="D26" s="52" t="s">
        <v>28</v>
      </c>
      <c r="E26" s="52">
        <f>1.15*0.0041</f>
        <v>0.0047150000000000004</v>
      </c>
      <c r="F26" s="104">
        <f>F24*E26</f>
        <v>1.060875</v>
      </c>
      <c r="G26" s="52"/>
      <c r="H26" s="100"/>
      <c r="I26" s="84"/>
      <c r="J26" s="84" t="e">
        <f>#REF!</f>
        <v>#REF!</v>
      </c>
      <c r="K26" s="84"/>
    </row>
    <row r="27" spans="1:11" s="49" customFormat="1" ht="26.25" customHeight="1">
      <c r="A27" s="57"/>
      <c r="B27" s="57" t="s">
        <v>14</v>
      </c>
      <c r="C27" s="52" t="s">
        <v>128</v>
      </c>
      <c r="D27" s="52" t="s">
        <v>27</v>
      </c>
      <c r="E27" s="52">
        <v>0.324</v>
      </c>
      <c r="F27" s="104">
        <f>F24*E27</f>
        <v>72.9</v>
      </c>
      <c r="G27" s="52"/>
      <c r="H27" s="100"/>
      <c r="I27" s="84"/>
      <c r="J27" s="84" t="e">
        <f>#REF!</f>
        <v>#REF!</v>
      </c>
      <c r="K27" s="84"/>
    </row>
    <row r="28" spans="1:11" s="85" customFormat="1" ht="23.25" customHeight="1">
      <c r="A28" s="57"/>
      <c r="B28" s="45" t="s">
        <v>16</v>
      </c>
      <c r="C28" s="52" t="s">
        <v>72</v>
      </c>
      <c r="D28" s="52" t="s">
        <v>28</v>
      </c>
      <c r="E28" s="52">
        <v>0.0004</v>
      </c>
      <c r="F28" s="104">
        <f>F24*E28</f>
        <v>0.09000000000000001</v>
      </c>
      <c r="G28" s="52"/>
      <c r="H28" s="100"/>
      <c r="I28" s="84"/>
      <c r="J28" s="84" t="e">
        <f>#REF!</f>
        <v>#REF!</v>
      </c>
      <c r="K28" s="84"/>
    </row>
    <row r="29" spans="1:11" s="85" customFormat="1" ht="63" customHeight="1">
      <c r="A29" s="78">
        <v>6</v>
      </c>
      <c r="B29" s="79" t="s">
        <v>155</v>
      </c>
      <c r="C29" s="53" t="s">
        <v>360</v>
      </c>
      <c r="D29" s="53" t="s">
        <v>32</v>
      </c>
      <c r="E29" s="53"/>
      <c r="F29" s="115">
        <f>F24+0</f>
        <v>225</v>
      </c>
      <c r="G29" s="109"/>
      <c r="H29" s="221"/>
      <c r="I29" s="84"/>
      <c r="J29" s="84"/>
      <c r="K29" s="84"/>
    </row>
    <row r="30" spans="1:11" s="50" customFormat="1" ht="26.25" customHeight="1">
      <c r="A30" s="57"/>
      <c r="B30" s="57" t="s">
        <v>16</v>
      </c>
      <c r="C30" s="52" t="s">
        <v>156</v>
      </c>
      <c r="D30" s="52" t="s">
        <v>17</v>
      </c>
      <c r="E30" s="52">
        <f>1.15*0.0424</f>
        <v>0.04876</v>
      </c>
      <c r="F30" s="100">
        <f>E30*F29</f>
        <v>10.971</v>
      </c>
      <c r="G30" s="100"/>
      <c r="H30" s="104"/>
      <c r="I30" s="87" t="e">
        <f>#REF!/#REF!</f>
        <v>#REF!</v>
      </c>
      <c r="J30" s="84" t="e">
        <f>#REF!</f>
        <v>#REF!</v>
      </c>
      <c r="K30" s="84"/>
    </row>
    <row r="31" spans="1:11" s="50" customFormat="1" ht="27" customHeight="1">
      <c r="A31" s="57"/>
      <c r="B31" s="57" t="s">
        <v>16</v>
      </c>
      <c r="C31" s="52" t="s">
        <v>113</v>
      </c>
      <c r="D31" s="52" t="s">
        <v>28</v>
      </c>
      <c r="E31" s="52">
        <f>1.15*0.0021</f>
        <v>0.0024149999999999996</v>
      </c>
      <c r="F31" s="100">
        <f>F29*E31</f>
        <v>0.5433749999999999</v>
      </c>
      <c r="G31" s="52"/>
      <c r="H31" s="100"/>
      <c r="I31" s="83"/>
      <c r="J31" s="84" t="e">
        <f>#REF!</f>
        <v>#REF!</v>
      </c>
      <c r="K31" s="84"/>
    </row>
    <row r="32" spans="1:11" s="50" customFormat="1" ht="28.5" customHeight="1">
      <c r="A32" s="57"/>
      <c r="B32" s="57" t="s">
        <v>14</v>
      </c>
      <c r="C32" s="52" t="s">
        <v>129</v>
      </c>
      <c r="D32" s="52" t="s">
        <v>34</v>
      </c>
      <c r="E32" s="45">
        <v>0.00015</v>
      </c>
      <c r="F32" s="100">
        <f>F29*E32</f>
        <v>0.033749999999999995</v>
      </c>
      <c r="G32" s="52"/>
      <c r="H32" s="100"/>
      <c r="I32" s="87" t="e">
        <f>#REF!/#REF!</f>
        <v>#REF!</v>
      </c>
      <c r="J32" s="84" t="e">
        <f>#REF!</f>
        <v>#REF!</v>
      </c>
      <c r="K32" s="84"/>
    </row>
    <row r="33" spans="1:8" ht="41.25" customHeight="1">
      <c r="A33" s="75" t="s">
        <v>36</v>
      </c>
      <c r="B33" s="79" t="s">
        <v>14</v>
      </c>
      <c r="C33" s="53" t="s">
        <v>157</v>
      </c>
      <c r="D33" s="81" t="s">
        <v>40</v>
      </c>
      <c r="E33" s="62"/>
      <c r="F33" s="80">
        <v>6.6</v>
      </c>
      <c r="G33" s="96"/>
      <c r="H33" s="222"/>
    </row>
    <row r="34" spans="1:8" ht="24" customHeight="1">
      <c r="A34" s="57"/>
      <c r="B34" s="60" t="s">
        <v>14</v>
      </c>
      <c r="C34" s="52" t="s">
        <v>52</v>
      </c>
      <c r="D34" s="58" t="str">
        <f>D33</f>
        <v>kv.m</v>
      </c>
      <c r="E34" s="58">
        <v>1</v>
      </c>
      <c r="F34" s="59">
        <f>F33*E34</f>
        <v>6.6</v>
      </c>
      <c r="G34" s="114"/>
      <c r="H34" s="122"/>
    </row>
    <row r="35" spans="1:8" ht="35.25" customHeight="1">
      <c r="A35" s="75" t="s">
        <v>73</v>
      </c>
      <c r="B35" s="79" t="s">
        <v>14</v>
      </c>
      <c r="C35" s="53" t="s">
        <v>351</v>
      </c>
      <c r="D35" s="81" t="s">
        <v>40</v>
      </c>
      <c r="E35" s="62"/>
      <c r="F35" s="80">
        <v>31.1</v>
      </c>
      <c r="G35" s="96"/>
      <c r="H35" s="222"/>
    </row>
    <row r="36" spans="1:8" ht="28.5" customHeight="1">
      <c r="A36" s="57"/>
      <c r="B36" s="60" t="s">
        <v>14</v>
      </c>
      <c r="C36" s="52" t="s">
        <v>52</v>
      </c>
      <c r="D36" s="58" t="str">
        <f>D35</f>
        <v>kv.m</v>
      </c>
      <c r="E36" s="58">
        <v>1</v>
      </c>
      <c r="F36" s="59">
        <f>F35*E36</f>
        <v>31.1</v>
      </c>
      <c r="G36" s="114"/>
      <c r="H36" s="122"/>
    </row>
    <row r="37" spans="1:8" ht="32.25" customHeight="1">
      <c r="A37" s="95" t="s">
        <v>117</v>
      </c>
      <c r="B37" s="123" t="s">
        <v>343</v>
      </c>
      <c r="C37" s="92" t="s">
        <v>344</v>
      </c>
      <c r="D37" s="53" t="s">
        <v>40</v>
      </c>
      <c r="E37" s="92"/>
      <c r="F37" s="129">
        <v>256.25</v>
      </c>
      <c r="G37" s="92"/>
      <c r="H37" s="221"/>
    </row>
    <row r="38" spans="1:8" ht="32.25" customHeight="1">
      <c r="A38" s="57"/>
      <c r="B38" s="57" t="s">
        <v>16</v>
      </c>
      <c r="C38" s="204" t="s">
        <v>365</v>
      </c>
      <c r="D38" s="52" t="s">
        <v>17</v>
      </c>
      <c r="E38" s="204">
        <f>1.154*0.252</f>
        <v>0.29080799999999996</v>
      </c>
      <c r="F38" s="104">
        <f>E38*F37</f>
        <v>74.51955</v>
      </c>
      <c r="G38" s="204"/>
      <c r="H38" s="104"/>
    </row>
    <row r="39" spans="1:8" ht="19.5" customHeight="1">
      <c r="A39" s="57"/>
      <c r="B39" s="57" t="s">
        <v>16</v>
      </c>
      <c r="C39" s="204" t="s">
        <v>366</v>
      </c>
      <c r="D39" s="204" t="s">
        <v>28</v>
      </c>
      <c r="E39" s="204">
        <f>1.15*0.017</f>
        <v>0.01955</v>
      </c>
      <c r="F39" s="104">
        <f>E39*F37</f>
        <v>5.0096875</v>
      </c>
      <c r="G39" s="204"/>
      <c r="H39" s="158"/>
    </row>
    <row r="40" spans="1:8" ht="22.5" customHeight="1">
      <c r="A40" s="57"/>
      <c r="B40" s="57" t="s">
        <v>14</v>
      </c>
      <c r="C40" s="204" t="s">
        <v>345</v>
      </c>
      <c r="D40" s="204" t="s">
        <v>32</v>
      </c>
      <c r="E40" s="204">
        <v>0.1</v>
      </c>
      <c r="F40" s="104">
        <f>E40*F37</f>
        <v>25.625</v>
      </c>
      <c r="G40" s="204"/>
      <c r="H40" s="158"/>
    </row>
    <row r="41" spans="1:8" ht="28.5" customHeight="1">
      <c r="A41" s="57"/>
      <c r="B41" s="57" t="s">
        <v>14</v>
      </c>
      <c r="C41" s="204" t="s">
        <v>346</v>
      </c>
      <c r="D41" s="204" t="s">
        <v>32</v>
      </c>
      <c r="E41" s="204">
        <v>0.1</v>
      </c>
      <c r="F41" s="104">
        <f>E41*F37</f>
        <v>25.625</v>
      </c>
      <c r="G41" s="204"/>
      <c r="H41" s="158"/>
    </row>
    <row r="42" spans="1:8" ht="59.25" customHeight="1">
      <c r="A42" s="95" t="s">
        <v>60</v>
      </c>
      <c r="B42" s="61" t="s">
        <v>347</v>
      </c>
      <c r="C42" s="53" t="s">
        <v>348</v>
      </c>
      <c r="D42" s="126" t="s">
        <v>46</v>
      </c>
      <c r="E42" s="53"/>
      <c r="F42" s="109">
        <f>F37</f>
        <v>256.25</v>
      </c>
      <c r="G42" s="53"/>
      <c r="H42" s="221"/>
    </row>
    <row r="43" spans="1:8" ht="27" customHeight="1">
      <c r="A43" s="57"/>
      <c r="B43" s="94" t="s">
        <v>16</v>
      </c>
      <c r="C43" s="52" t="s">
        <v>367</v>
      </c>
      <c r="D43" s="52" t="s">
        <v>17</v>
      </c>
      <c r="E43" s="125">
        <f>1.15*0.741</f>
        <v>0.85215</v>
      </c>
      <c r="F43" s="100">
        <f>E43*F42</f>
        <v>218.3634375</v>
      </c>
      <c r="G43" s="204"/>
      <c r="H43" s="104"/>
    </row>
    <row r="44" spans="1:8" ht="27" customHeight="1">
      <c r="A44" s="57"/>
      <c r="B44" s="94" t="s">
        <v>16</v>
      </c>
      <c r="C44" s="52" t="s">
        <v>368</v>
      </c>
      <c r="D44" s="52" t="s">
        <v>28</v>
      </c>
      <c r="E44" s="125">
        <f>1.15*0.001</f>
        <v>0.00115</v>
      </c>
      <c r="F44" s="100">
        <f>F42*E44</f>
        <v>0.2946875</v>
      </c>
      <c r="G44" s="204"/>
      <c r="H44" s="100"/>
    </row>
    <row r="45" spans="1:11" ht="25.5" customHeight="1">
      <c r="A45" s="57"/>
      <c r="B45" s="57" t="s">
        <v>14</v>
      </c>
      <c r="C45" s="52" t="s">
        <v>341</v>
      </c>
      <c r="D45" s="52" t="s">
        <v>27</v>
      </c>
      <c r="E45" s="125">
        <v>0.255</v>
      </c>
      <c r="F45" s="100">
        <f>F42*E45</f>
        <v>65.34375</v>
      </c>
      <c r="G45" s="204"/>
      <c r="H45" s="100"/>
      <c r="J45" s="84"/>
      <c r="K45" s="84"/>
    </row>
    <row r="46" spans="1:11" ht="24.75" customHeight="1">
      <c r="A46" s="57"/>
      <c r="B46" s="57" t="s">
        <v>14</v>
      </c>
      <c r="C46" s="52" t="s">
        <v>349</v>
      </c>
      <c r="D46" s="52" t="s">
        <v>27</v>
      </c>
      <c r="E46" s="125">
        <v>0.82</v>
      </c>
      <c r="F46" s="100">
        <f>F42*E46</f>
        <v>210.125</v>
      </c>
      <c r="G46" s="52"/>
      <c r="H46" s="100"/>
      <c r="J46" s="84"/>
      <c r="K46" s="84"/>
    </row>
    <row r="47" spans="1:11" s="50" customFormat="1" ht="24.75" customHeight="1">
      <c r="A47" s="57"/>
      <c r="B47" s="57" t="s">
        <v>14</v>
      </c>
      <c r="C47" s="52" t="s">
        <v>342</v>
      </c>
      <c r="D47" s="52" t="s">
        <v>27</v>
      </c>
      <c r="E47" s="125">
        <v>0.127</v>
      </c>
      <c r="F47" s="100">
        <f>F42*E47</f>
        <v>32.54375</v>
      </c>
      <c r="G47" s="204"/>
      <c r="H47" s="100"/>
      <c r="I47" s="87" t="e">
        <f>#REF!/#REF!</f>
        <v>#REF!</v>
      </c>
      <c r="J47" s="84" t="e">
        <f>#REF!</f>
        <v>#REF!</v>
      </c>
      <c r="K47" s="84"/>
    </row>
    <row r="48" spans="1:11" s="49" customFormat="1" ht="29.25" customHeight="1">
      <c r="A48" s="57"/>
      <c r="B48" s="94" t="s">
        <v>16</v>
      </c>
      <c r="C48" s="52" t="s">
        <v>163</v>
      </c>
      <c r="D48" s="52" t="s">
        <v>28</v>
      </c>
      <c r="E48" s="125">
        <v>0.017</v>
      </c>
      <c r="F48" s="100">
        <f>F42*E48</f>
        <v>4.35625</v>
      </c>
      <c r="G48" s="204"/>
      <c r="H48" s="100"/>
      <c r="I48" s="83"/>
      <c r="J48" s="84" t="e">
        <f>#REF!</f>
        <v>#REF!</v>
      </c>
      <c r="K48" s="84"/>
    </row>
    <row r="49" spans="1:11" s="85" customFormat="1" ht="35.25" customHeight="1">
      <c r="A49" s="75" t="s">
        <v>340</v>
      </c>
      <c r="B49" s="130" t="s">
        <v>14</v>
      </c>
      <c r="C49" s="53" t="s">
        <v>392</v>
      </c>
      <c r="D49" s="53" t="s">
        <v>48</v>
      </c>
      <c r="E49" s="53"/>
      <c r="F49" s="151">
        <v>15</v>
      </c>
      <c r="G49" s="53"/>
      <c r="H49" s="221"/>
      <c r="I49" s="87"/>
      <c r="J49" s="84"/>
      <c r="K49" s="84"/>
    </row>
    <row r="50" spans="1:11" s="85" customFormat="1" ht="27" customHeight="1">
      <c r="A50" s="73"/>
      <c r="B50" s="57" t="s">
        <v>14</v>
      </c>
      <c r="C50" s="52" t="s">
        <v>52</v>
      </c>
      <c r="D50" s="52" t="str">
        <f>D49</f>
        <v>grZ.m</v>
      </c>
      <c r="E50" s="52">
        <v>1</v>
      </c>
      <c r="F50" s="103">
        <f>E50*F49</f>
        <v>15</v>
      </c>
      <c r="G50" s="52"/>
      <c r="H50" s="100"/>
      <c r="I50" s="83"/>
      <c r="J50" s="84"/>
      <c r="K50" s="84"/>
    </row>
    <row r="51" spans="1:8" ht="63" customHeight="1">
      <c r="A51" s="75" t="s">
        <v>104</v>
      </c>
      <c r="B51" s="79" t="s">
        <v>98</v>
      </c>
      <c r="C51" s="53" t="s">
        <v>374</v>
      </c>
      <c r="D51" s="62" t="s">
        <v>40</v>
      </c>
      <c r="E51" s="62"/>
      <c r="F51" s="127">
        <v>8.2</v>
      </c>
      <c r="G51" s="62"/>
      <c r="H51" s="222"/>
    </row>
    <row r="52" spans="1:8" ht="23.25" customHeight="1">
      <c r="A52" s="73"/>
      <c r="B52" s="120" t="s">
        <v>16</v>
      </c>
      <c r="C52" s="58" t="s">
        <v>370</v>
      </c>
      <c r="D52" s="58" t="s">
        <v>17</v>
      </c>
      <c r="E52" s="58">
        <f>1.15*(0.312+0.01)</f>
        <v>0.37029999999999996</v>
      </c>
      <c r="F52" s="59">
        <f>E52*F51</f>
        <v>3.0364599999999995</v>
      </c>
      <c r="G52" s="58"/>
      <c r="H52" s="122"/>
    </row>
    <row r="53" spans="1:8" ht="26.25" customHeight="1">
      <c r="A53" s="73"/>
      <c r="B53" s="120" t="s">
        <v>16</v>
      </c>
      <c r="C53" s="58" t="s">
        <v>371</v>
      </c>
      <c r="D53" s="58" t="s">
        <v>28</v>
      </c>
      <c r="E53" s="58">
        <f>1.15*(0.0138+0.009)</f>
        <v>0.02622</v>
      </c>
      <c r="F53" s="59">
        <f>F51*E53</f>
        <v>0.21500399999999997</v>
      </c>
      <c r="G53" s="97"/>
      <c r="H53" s="122"/>
    </row>
    <row r="54" spans="1:8" ht="21" customHeight="1">
      <c r="A54" s="73"/>
      <c r="B54" s="60" t="s">
        <v>14</v>
      </c>
      <c r="C54" s="58" t="s">
        <v>99</v>
      </c>
      <c r="D54" s="58" t="s">
        <v>27</v>
      </c>
      <c r="E54" s="58">
        <v>0.76</v>
      </c>
      <c r="F54" s="59">
        <f>F51*E54</f>
        <v>6.231999999999999</v>
      </c>
      <c r="G54" s="59"/>
      <c r="H54" s="122"/>
    </row>
    <row r="55" spans="1:8" ht="24.75" customHeight="1">
      <c r="A55" s="73"/>
      <c r="B55" s="60" t="s">
        <v>14</v>
      </c>
      <c r="C55" s="58" t="s">
        <v>100</v>
      </c>
      <c r="D55" s="58" t="s">
        <v>27</v>
      </c>
      <c r="E55" s="58">
        <v>0.3</v>
      </c>
      <c r="F55" s="59">
        <f>F51*E55</f>
        <v>2.4599999999999995</v>
      </c>
      <c r="G55" s="90"/>
      <c r="H55" s="122"/>
    </row>
    <row r="56" spans="1:8" ht="24" customHeight="1">
      <c r="A56" s="73"/>
      <c r="B56" s="60" t="s">
        <v>14</v>
      </c>
      <c r="C56" s="58" t="s">
        <v>369</v>
      </c>
      <c r="D56" s="58" t="s">
        <v>32</v>
      </c>
      <c r="E56" s="58">
        <v>2.24</v>
      </c>
      <c r="F56" s="59">
        <f>F51*E56</f>
        <v>18.368</v>
      </c>
      <c r="G56" s="58"/>
      <c r="H56" s="122"/>
    </row>
    <row r="57" spans="1:8" ht="30" customHeight="1">
      <c r="A57" s="73"/>
      <c r="B57" s="120" t="s">
        <v>16</v>
      </c>
      <c r="C57" s="58" t="s">
        <v>30</v>
      </c>
      <c r="D57" s="58" t="s">
        <v>28</v>
      </c>
      <c r="E57" s="58">
        <v>0.0019</v>
      </c>
      <c r="F57" s="59">
        <f>F51*E57</f>
        <v>0.015579999999999998</v>
      </c>
      <c r="G57" s="58"/>
      <c r="H57" s="122"/>
    </row>
    <row r="58" spans="1:8" ht="63" customHeight="1">
      <c r="A58" s="75" t="s">
        <v>407</v>
      </c>
      <c r="B58" s="61" t="s">
        <v>101</v>
      </c>
      <c r="C58" s="53" t="s">
        <v>375</v>
      </c>
      <c r="D58" s="211" t="s">
        <v>46</v>
      </c>
      <c r="E58" s="62"/>
      <c r="F58" s="127">
        <v>8.2</v>
      </c>
      <c r="G58" s="62"/>
      <c r="H58" s="222"/>
    </row>
    <row r="59" spans="1:8" ht="30" customHeight="1">
      <c r="A59" s="73"/>
      <c r="B59" s="57" t="s">
        <v>16</v>
      </c>
      <c r="C59" s="52" t="s">
        <v>87</v>
      </c>
      <c r="D59" s="58" t="s">
        <v>40</v>
      </c>
      <c r="E59" s="58">
        <v>1</v>
      </c>
      <c r="F59" s="59">
        <f>E59*F58</f>
        <v>8.2</v>
      </c>
      <c r="G59" s="58"/>
      <c r="H59" s="122"/>
    </row>
    <row r="60" spans="1:8" ht="26.25" customHeight="1">
      <c r="A60" s="73"/>
      <c r="B60" s="57" t="s">
        <v>16</v>
      </c>
      <c r="C60" s="52" t="s">
        <v>382</v>
      </c>
      <c r="D60" s="58" t="s">
        <v>28</v>
      </c>
      <c r="E60" s="58">
        <f>1.15*(0.95+6*0.23)/100</f>
        <v>0.026795</v>
      </c>
      <c r="F60" s="59">
        <f>E60*F58</f>
        <v>0.21971899999999997</v>
      </c>
      <c r="G60" s="58"/>
      <c r="H60" s="122"/>
    </row>
    <row r="61" spans="1:8" ht="28.5" customHeight="1">
      <c r="A61" s="73"/>
      <c r="B61" s="57" t="s">
        <v>14</v>
      </c>
      <c r="C61" s="52" t="s">
        <v>373</v>
      </c>
      <c r="D61" s="58" t="s">
        <v>26</v>
      </c>
      <c r="E61" s="113">
        <f>(2.04+6*0.51)/100</f>
        <v>0.051</v>
      </c>
      <c r="F61" s="59">
        <f>E61*F58</f>
        <v>0.41819999999999996</v>
      </c>
      <c r="G61" s="58"/>
      <c r="H61" s="122"/>
    </row>
    <row r="62" spans="1:8" ht="27.75" customHeight="1">
      <c r="A62" s="73"/>
      <c r="B62" s="57" t="s">
        <v>14</v>
      </c>
      <c r="C62" s="52" t="s">
        <v>372</v>
      </c>
      <c r="D62" s="58" t="s">
        <v>40</v>
      </c>
      <c r="E62" s="113">
        <v>1.02</v>
      </c>
      <c r="F62" s="59">
        <f>E62*F58</f>
        <v>8.363999999999999</v>
      </c>
      <c r="G62" s="58"/>
      <c r="H62" s="122"/>
    </row>
    <row r="63" spans="1:8" ht="24" customHeight="1">
      <c r="A63" s="73"/>
      <c r="B63" s="57" t="s">
        <v>16</v>
      </c>
      <c r="C63" s="52" t="s">
        <v>30</v>
      </c>
      <c r="D63" s="58" t="s">
        <v>28</v>
      </c>
      <c r="E63" s="58">
        <v>0.0636</v>
      </c>
      <c r="F63" s="59">
        <f>E63*F58</f>
        <v>0.52152</v>
      </c>
      <c r="G63" s="58"/>
      <c r="H63" s="122"/>
    </row>
    <row r="64" spans="1:11" s="85" customFormat="1" ht="42.75" customHeight="1">
      <c r="A64" s="75" t="s">
        <v>86</v>
      </c>
      <c r="B64" s="61" t="s">
        <v>90</v>
      </c>
      <c r="C64" s="53" t="s">
        <v>376</v>
      </c>
      <c r="D64" s="53" t="s">
        <v>40</v>
      </c>
      <c r="E64" s="62"/>
      <c r="F64" s="128">
        <v>8.2</v>
      </c>
      <c r="G64" s="62"/>
      <c r="H64" s="222"/>
      <c r="I64" s="137"/>
      <c r="J64" s="84"/>
      <c r="K64" s="84"/>
    </row>
    <row r="65" spans="1:11" s="49" customFormat="1" ht="23.25" customHeight="1">
      <c r="A65" s="73"/>
      <c r="B65" s="45" t="s">
        <v>16</v>
      </c>
      <c r="C65" s="52" t="s">
        <v>91</v>
      </c>
      <c r="D65" s="52" t="s">
        <v>17</v>
      </c>
      <c r="E65" s="58">
        <f>1.15*1.08</f>
        <v>1.242</v>
      </c>
      <c r="F65" s="59">
        <f>E65*F64</f>
        <v>10.184399999999998</v>
      </c>
      <c r="G65" s="58"/>
      <c r="H65" s="122"/>
      <c r="I65" s="137"/>
      <c r="J65" s="84"/>
      <c r="K65" s="84"/>
    </row>
    <row r="66" spans="1:11" s="49" customFormat="1" ht="24" customHeight="1">
      <c r="A66" s="73"/>
      <c r="B66" s="45" t="s">
        <v>16</v>
      </c>
      <c r="C66" s="52" t="s">
        <v>92</v>
      </c>
      <c r="D66" s="52" t="s">
        <v>28</v>
      </c>
      <c r="E66" s="58">
        <f>1.15*0.0452</f>
        <v>0.05197999999999999</v>
      </c>
      <c r="F66" s="59">
        <f>E66*F64</f>
        <v>0.4262359999999999</v>
      </c>
      <c r="G66" s="58"/>
      <c r="H66" s="122"/>
      <c r="I66" s="137"/>
      <c r="J66" s="84"/>
      <c r="K66" s="84"/>
    </row>
    <row r="67" spans="1:11" s="131" customFormat="1" ht="24.75" customHeight="1">
      <c r="A67" s="73"/>
      <c r="B67" s="57" t="s">
        <v>14</v>
      </c>
      <c r="C67" s="52" t="s">
        <v>93</v>
      </c>
      <c r="D67" s="52" t="s">
        <v>32</v>
      </c>
      <c r="E67" s="58">
        <v>1.02</v>
      </c>
      <c r="F67" s="59">
        <f>E67*F64</f>
        <v>8.363999999999999</v>
      </c>
      <c r="G67" s="58"/>
      <c r="H67" s="122"/>
      <c r="I67" s="137"/>
      <c r="J67" s="84" t="e">
        <f>#REF!</f>
        <v>#REF!</v>
      </c>
      <c r="K67" s="84"/>
    </row>
    <row r="68" spans="1:14" s="144" customFormat="1" ht="21.75" customHeight="1">
      <c r="A68" s="73"/>
      <c r="B68" s="60" t="s">
        <v>14</v>
      </c>
      <c r="C68" s="52" t="s">
        <v>94</v>
      </c>
      <c r="D68" s="52" t="s">
        <v>27</v>
      </c>
      <c r="E68" s="58">
        <v>8</v>
      </c>
      <c r="F68" s="59">
        <f>E68*F64</f>
        <v>65.6</v>
      </c>
      <c r="G68" s="58"/>
      <c r="H68" s="122"/>
      <c r="I68" s="137"/>
      <c r="J68" s="84" t="e">
        <f>#REF!</f>
        <v>#REF!</v>
      </c>
      <c r="K68" s="84"/>
      <c r="L68" s="131"/>
      <c r="M68" s="131"/>
      <c r="N68" s="131"/>
    </row>
    <row r="69" spans="1:14" s="89" customFormat="1" ht="30.75" customHeight="1">
      <c r="A69" s="73"/>
      <c r="B69" s="57" t="s">
        <v>16</v>
      </c>
      <c r="C69" s="52" t="s">
        <v>30</v>
      </c>
      <c r="D69" s="52" t="s">
        <v>28</v>
      </c>
      <c r="E69" s="58">
        <v>0.0466</v>
      </c>
      <c r="F69" s="59">
        <f>E69*F64</f>
        <v>0.38212</v>
      </c>
      <c r="G69" s="58"/>
      <c r="H69" s="122"/>
      <c r="I69" s="88"/>
      <c r="J69" s="84" t="e">
        <f>#REF!</f>
        <v>#REF!</v>
      </c>
      <c r="K69" s="84"/>
      <c r="L69" s="50"/>
      <c r="M69" s="50"/>
      <c r="N69" s="50"/>
    </row>
    <row r="70" spans="1:14" s="89" customFormat="1" ht="53.25" customHeight="1">
      <c r="A70" s="78">
        <v>15</v>
      </c>
      <c r="B70" s="79" t="s">
        <v>130</v>
      </c>
      <c r="C70" s="53" t="s">
        <v>131</v>
      </c>
      <c r="D70" s="53" t="s">
        <v>48</v>
      </c>
      <c r="E70" s="62"/>
      <c r="F70" s="128">
        <v>1.5</v>
      </c>
      <c r="G70" s="62"/>
      <c r="H70" s="222"/>
      <c r="I70" s="88"/>
      <c r="J70" s="84"/>
      <c r="K70" s="84"/>
      <c r="L70" s="50"/>
      <c r="M70" s="50"/>
      <c r="N70" s="50"/>
    </row>
    <row r="71" spans="1:14" s="89" customFormat="1" ht="28.5" customHeight="1">
      <c r="A71" s="57"/>
      <c r="B71" s="45" t="s">
        <v>16</v>
      </c>
      <c r="C71" s="52" t="s">
        <v>132</v>
      </c>
      <c r="D71" s="52" t="s">
        <v>17</v>
      </c>
      <c r="E71" s="58">
        <f>1.15*0.206</f>
        <v>0.23689999999999997</v>
      </c>
      <c r="F71" s="59">
        <f>E71*F70</f>
        <v>0.35534999999999994</v>
      </c>
      <c r="G71" s="58"/>
      <c r="H71" s="122"/>
      <c r="I71" s="88"/>
      <c r="J71" s="84"/>
      <c r="K71" s="84"/>
      <c r="L71" s="50"/>
      <c r="M71" s="50"/>
      <c r="N71" s="50"/>
    </row>
    <row r="72" spans="1:11" s="49" customFormat="1" ht="30" customHeight="1">
      <c r="A72" s="57"/>
      <c r="B72" s="57" t="s">
        <v>14</v>
      </c>
      <c r="C72" s="52" t="s">
        <v>133</v>
      </c>
      <c r="D72" s="52" t="s">
        <v>48</v>
      </c>
      <c r="E72" s="58">
        <v>1.1</v>
      </c>
      <c r="F72" s="59">
        <f>F70*E72</f>
        <v>1.6500000000000001</v>
      </c>
      <c r="G72" s="58"/>
      <c r="H72" s="122"/>
      <c r="J72" s="84"/>
      <c r="K72" s="84"/>
    </row>
    <row r="73" spans="1:17" s="140" customFormat="1" ht="26.25" customHeight="1">
      <c r="A73" s="57"/>
      <c r="B73" s="60" t="s">
        <v>14</v>
      </c>
      <c r="C73" s="52" t="s">
        <v>123</v>
      </c>
      <c r="D73" s="52" t="s">
        <v>124</v>
      </c>
      <c r="E73" s="58">
        <v>0.1</v>
      </c>
      <c r="F73" s="59">
        <f>F70*E73</f>
        <v>0.15000000000000002</v>
      </c>
      <c r="G73" s="58"/>
      <c r="H73" s="122"/>
      <c r="I73" s="87"/>
      <c r="J73" s="84"/>
      <c r="K73" s="84"/>
      <c r="L73" s="205"/>
      <c r="M73" s="205"/>
      <c r="N73" s="205"/>
      <c r="Q73" s="215"/>
    </row>
    <row r="74" spans="1:11" s="205" customFormat="1" ht="39.75" customHeight="1">
      <c r="A74" s="75" t="s">
        <v>311</v>
      </c>
      <c r="B74" s="130" t="s">
        <v>14</v>
      </c>
      <c r="C74" s="53" t="s">
        <v>383</v>
      </c>
      <c r="D74" s="53" t="s">
        <v>40</v>
      </c>
      <c r="E74" s="53"/>
      <c r="F74" s="115">
        <v>55.7</v>
      </c>
      <c r="G74" s="53"/>
      <c r="H74" s="221"/>
      <c r="I74" s="206"/>
      <c r="J74" s="84"/>
      <c r="K74" s="84"/>
    </row>
    <row r="75" spans="1:14" s="140" customFormat="1" ht="24.75" customHeight="1">
      <c r="A75" s="73"/>
      <c r="B75" s="57" t="s">
        <v>14</v>
      </c>
      <c r="C75" s="52" t="s">
        <v>52</v>
      </c>
      <c r="D75" s="52" t="str">
        <f>D74</f>
        <v>kv.m</v>
      </c>
      <c r="E75" s="52">
        <v>1</v>
      </c>
      <c r="F75" s="103">
        <f>E75*F74</f>
        <v>55.7</v>
      </c>
      <c r="G75" s="204"/>
      <c r="H75" s="100"/>
      <c r="I75" s="206"/>
      <c r="J75" s="84" t="e">
        <f>#REF!</f>
        <v>#REF!</v>
      </c>
      <c r="K75" s="84"/>
      <c r="L75" s="205"/>
      <c r="M75" s="205"/>
      <c r="N75" s="205"/>
    </row>
    <row r="76" spans="1:14" s="140" customFormat="1" ht="59.25" customHeight="1">
      <c r="A76" s="75" t="s">
        <v>120</v>
      </c>
      <c r="B76" s="61" t="s">
        <v>95</v>
      </c>
      <c r="C76" s="53" t="s">
        <v>377</v>
      </c>
      <c r="D76" s="62" t="s">
        <v>40</v>
      </c>
      <c r="E76" s="62"/>
      <c r="F76" s="127">
        <f>F74+0</f>
        <v>55.7</v>
      </c>
      <c r="G76" s="62"/>
      <c r="H76" s="222"/>
      <c r="I76" s="206"/>
      <c r="J76" s="84" t="e">
        <f>#REF!</f>
        <v>#REF!</v>
      </c>
      <c r="K76" s="84"/>
      <c r="L76" s="205"/>
      <c r="M76" s="205"/>
      <c r="N76" s="205"/>
    </row>
    <row r="77" spans="1:14" ht="24" customHeight="1">
      <c r="A77" s="106"/>
      <c r="B77" s="120" t="s">
        <v>16</v>
      </c>
      <c r="C77" s="58" t="s">
        <v>96</v>
      </c>
      <c r="D77" s="58" t="s">
        <v>17</v>
      </c>
      <c r="E77" s="58">
        <f>1.15*2.19</f>
        <v>2.5185</v>
      </c>
      <c r="F77" s="59">
        <f>E77*F76</f>
        <v>140.28045</v>
      </c>
      <c r="G77" s="97"/>
      <c r="H77" s="122"/>
      <c r="I77" s="83"/>
      <c r="J77" s="84" t="e">
        <f>#REF!</f>
        <v>#REF!</v>
      </c>
      <c r="K77" s="84"/>
      <c r="L77" s="50"/>
      <c r="M77" s="50"/>
      <c r="N77" s="50"/>
    </row>
    <row r="78" spans="1:14" ht="27" customHeight="1">
      <c r="A78" s="106"/>
      <c r="B78" s="60" t="s">
        <v>16</v>
      </c>
      <c r="C78" s="58" t="s">
        <v>61</v>
      </c>
      <c r="D78" s="58" t="s">
        <v>28</v>
      </c>
      <c r="E78" s="112">
        <f>1.15*0.02</f>
        <v>0.023</v>
      </c>
      <c r="F78" s="59">
        <f>E78*F76</f>
        <v>1.2811000000000001</v>
      </c>
      <c r="G78" s="58"/>
      <c r="H78" s="122"/>
      <c r="I78" s="87" t="e">
        <f>#REF!/#REF!</f>
        <v>#REF!</v>
      </c>
      <c r="J78" s="84" t="e">
        <f>#REF!</f>
        <v>#REF!</v>
      </c>
      <c r="K78" s="84"/>
      <c r="L78" s="50"/>
      <c r="M78" s="50"/>
      <c r="N78" s="50"/>
    </row>
    <row r="79" spans="1:14" ht="27" customHeight="1">
      <c r="A79" s="106"/>
      <c r="B79" s="60" t="s">
        <v>14</v>
      </c>
      <c r="C79" s="58" t="s">
        <v>94</v>
      </c>
      <c r="D79" s="58" t="s">
        <v>27</v>
      </c>
      <c r="E79" s="58">
        <v>8</v>
      </c>
      <c r="F79" s="59">
        <f>E79*F76</f>
        <v>445.6</v>
      </c>
      <c r="G79" s="58"/>
      <c r="H79" s="122"/>
      <c r="I79" s="134"/>
      <c r="J79" s="84" t="e">
        <f>#REF!</f>
        <v>#REF!</v>
      </c>
      <c r="K79" s="84"/>
      <c r="L79" s="50"/>
      <c r="M79" s="50"/>
      <c r="N79" s="50"/>
    </row>
    <row r="80" spans="1:11" s="50" customFormat="1" ht="21.75" customHeight="1">
      <c r="A80" s="106"/>
      <c r="B80" s="60" t="s">
        <v>14</v>
      </c>
      <c r="C80" s="58" t="s">
        <v>97</v>
      </c>
      <c r="D80" s="58" t="s">
        <v>32</v>
      </c>
      <c r="E80" s="58">
        <v>1.03</v>
      </c>
      <c r="F80" s="59">
        <f>E80*F76</f>
        <v>57.371</v>
      </c>
      <c r="G80" s="58"/>
      <c r="H80" s="122"/>
      <c r="I80" s="134"/>
      <c r="J80" s="84" t="e">
        <f>#REF!</f>
        <v>#REF!</v>
      </c>
      <c r="K80" s="84"/>
    </row>
    <row r="81" spans="1:11" s="50" customFormat="1" ht="27" customHeight="1">
      <c r="A81" s="106"/>
      <c r="B81" s="60" t="s">
        <v>16</v>
      </c>
      <c r="C81" s="58" t="s">
        <v>30</v>
      </c>
      <c r="D81" s="58" t="s">
        <v>28</v>
      </c>
      <c r="E81" s="58">
        <v>0.006999999999999999</v>
      </c>
      <c r="F81" s="59">
        <f>E81*F76</f>
        <v>0.38989999999999997</v>
      </c>
      <c r="G81" s="58"/>
      <c r="H81" s="122"/>
      <c r="I81" s="134"/>
      <c r="J81" s="84" t="e">
        <f>#REF!</f>
        <v>#REF!</v>
      </c>
      <c r="K81" s="84"/>
    </row>
    <row r="82" spans="1:11" s="50" customFormat="1" ht="60.75" customHeight="1">
      <c r="A82" s="75" t="s">
        <v>408</v>
      </c>
      <c r="B82" s="61" t="s">
        <v>56</v>
      </c>
      <c r="C82" s="53" t="s">
        <v>318</v>
      </c>
      <c r="D82" s="62" t="s">
        <v>40</v>
      </c>
      <c r="E82" s="62"/>
      <c r="F82" s="128">
        <v>8.2</v>
      </c>
      <c r="G82" s="62"/>
      <c r="H82" s="222"/>
      <c r="I82" s="83"/>
      <c r="J82" s="84" t="e">
        <f>#REF!</f>
        <v>#REF!</v>
      </c>
      <c r="K82" s="84"/>
    </row>
    <row r="83" spans="1:11" s="50" customFormat="1" ht="23.25" customHeight="1">
      <c r="A83" s="73"/>
      <c r="B83" s="45" t="s">
        <v>16</v>
      </c>
      <c r="C83" s="52" t="s">
        <v>57</v>
      </c>
      <c r="D83" s="58" t="s">
        <v>17</v>
      </c>
      <c r="E83" s="58">
        <f>1.15*1.14</f>
        <v>1.3109999999999997</v>
      </c>
      <c r="F83" s="59">
        <f>E83*F82</f>
        <v>10.750199999999996</v>
      </c>
      <c r="G83" s="58"/>
      <c r="H83" s="122"/>
      <c r="J83" s="84" t="e">
        <f>#REF!</f>
        <v>#REF!</v>
      </c>
      <c r="K83" s="84"/>
    </row>
    <row r="84" spans="1:11" ht="27" customHeight="1">
      <c r="A84" s="73"/>
      <c r="B84" s="57" t="s">
        <v>16</v>
      </c>
      <c r="C84" s="52" t="s">
        <v>58</v>
      </c>
      <c r="D84" s="58" t="s">
        <v>28</v>
      </c>
      <c r="E84" s="58">
        <v>0.0166</v>
      </c>
      <c r="F84" s="59">
        <f>E84*F82</f>
        <v>0.13612</v>
      </c>
      <c r="G84" s="58"/>
      <c r="H84" s="122"/>
      <c r="I84" s="87" t="e">
        <f>#REF!/#REF!</f>
        <v>#REF!</v>
      </c>
      <c r="J84" s="84" t="e">
        <f>#REF!</f>
        <v>#REF!</v>
      </c>
      <c r="K84" s="84"/>
    </row>
    <row r="85" spans="1:11" s="50" customFormat="1" ht="27" customHeight="1">
      <c r="A85" s="73"/>
      <c r="B85" s="57" t="s">
        <v>14</v>
      </c>
      <c r="C85" s="52" t="s">
        <v>151</v>
      </c>
      <c r="D85" s="58" t="s">
        <v>26</v>
      </c>
      <c r="E85" s="58">
        <v>0.0086</v>
      </c>
      <c r="F85" s="59">
        <f>E85*F82</f>
        <v>0.07052</v>
      </c>
      <c r="G85" s="58"/>
      <c r="H85" s="122"/>
      <c r="I85" s="137"/>
      <c r="J85" s="84" t="e">
        <f>#REF!</f>
        <v>#REF!</v>
      </c>
      <c r="K85" s="84"/>
    </row>
    <row r="86" spans="1:11" s="50" customFormat="1" ht="26.25" customHeight="1">
      <c r="A86" s="73"/>
      <c r="B86" s="57" t="s">
        <v>14</v>
      </c>
      <c r="C86" s="52" t="s">
        <v>59</v>
      </c>
      <c r="D86" s="58" t="s">
        <v>27</v>
      </c>
      <c r="E86" s="58">
        <v>0.124</v>
      </c>
      <c r="F86" s="59">
        <f>E86*F82</f>
        <v>1.0168</v>
      </c>
      <c r="G86" s="58"/>
      <c r="H86" s="122"/>
      <c r="I86" s="137"/>
      <c r="J86" s="84"/>
      <c r="K86" s="84"/>
    </row>
    <row r="87" spans="1:11" s="50" customFormat="1" ht="28.5" customHeight="1">
      <c r="A87" s="73"/>
      <c r="B87" s="57" t="s">
        <v>14</v>
      </c>
      <c r="C87" s="52" t="s">
        <v>103</v>
      </c>
      <c r="D87" s="58" t="s">
        <v>32</v>
      </c>
      <c r="E87" s="58">
        <v>1.05</v>
      </c>
      <c r="F87" s="59">
        <f>E87*F82</f>
        <v>8.61</v>
      </c>
      <c r="G87" s="58"/>
      <c r="H87" s="122"/>
      <c r="I87" s="135"/>
      <c r="J87" s="84"/>
      <c r="K87" s="84"/>
    </row>
    <row r="88" spans="1:11" s="50" customFormat="1" ht="25.5" customHeight="1">
      <c r="A88" s="73"/>
      <c r="B88" s="57" t="s">
        <v>14</v>
      </c>
      <c r="C88" s="52" t="s">
        <v>134</v>
      </c>
      <c r="D88" s="58" t="s">
        <v>50</v>
      </c>
      <c r="E88" s="58">
        <v>1.07</v>
      </c>
      <c r="F88" s="59">
        <f>E88*F82</f>
        <v>8.774</v>
      </c>
      <c r="G88" s="58"/>
      <c r="H88" s="122"/>
      <c r="I88" s="137"/>
      <c r="J88" s="84"/>
      <c r="K88" s="84"/>
    </row>
    <row r="89" spans="1:11" s="50" customFormat="1" ht="27" customHeight="1">
      <c r="A89" s="73"/>
      <c r="B89" s="57" t="s">
        <v>16</v>
      </c>
      <c r="C89" s="52" t="s">
        <v>51</v>
      </c>
      <c r="D89" s="58" t="s">
        <v>28</v>
      </c>
      <c r="E89" s="58">
        <v>0.03</v>
      </c>
      <c r="F89" s="59">
        <f>E89*F82</f>
        <v>0.24599999999999997</v>
      </c>
      <c r="G89" s="58"/>
      <c r="H89" s="122"/>
      <c r="I89" s="135"/>
      <c r="J89" s="84"/>
      <c r="K89" s="84"/>
    </row>
    <row r="90" spans="1:11" s="50" customFormat="1" ht="64.5" customHeight="1">
      <c r="A90" s="75" t="s">
        <v>380</v>
      </c>
      <c r="B90" s="91" t="s">
        <v>350</v>
      </c>
      <c r="C90" s="92" t="s">
        <v>385</v>
      </c>
      <c r="D90" s="126" t="s">
        <v>46</v>
      </c>
      <c r="E90" s="92"/>
      <c r="F90" s="115">
        <v>10</v>
      </c>
      <c r="G90" s="92"/>
      <c r="H90" s="221"/>
      <c r="I90" s="135"/>
      <c r="J90" s="84"/>
      <c r="K90" s="84"/>
    </row>
    <row r="91" spans="1:10" s="136" customFormat="1" ht="24.75" customHeight="1">
      <c r="A91" s="73"/>
      <c r="B91" s="94" t="s">
        <v>16</v>
      </c>
      <c r="C91" s="204" t="s">
        <v>354</v>
      </c>
      <c r="D91" s="52" t="s">
        <v>17</v>
      </c>
      <c r="E91" s="204">
        <f>1.15*0.236</f>
        <v>0.2714</v>
      </c>
      <c r="F91" s="104">
        <f>E91*F90</f>
        <v>2.7139999999999995</v>
      </c>
      <c r="G91" s="204"/>
      <c r="H91" s="104"/>
      <c r="J91" s="135" t="e">
        <f>#REF!</f>
        <v>#REF!</v>
      </c>
    </row>
    <row r="92" spans="1:14" s="85" customFormat="1" ht="27.75" customHeight="1">
      <c r="A92" s="73"/>
      <c r="B92" s="94" t="s">
        <v>16</v>
      </c>
      <c r="C92" s="204" t="s">
        <v>355</v>
      </c>
      <c r="D92" s="204" t="s">
        <v>28</v>
      </c>
      <c r="E92" s="204">
        <f>1.15*0.0225</f>
        <v>0.025875</v>
      </c>
      <c r="F92" s="104">
        <f>E92*F90</f>
        <v>0.25875</v>
      </c>
      <c r="G92" s="204"/>
      <c r="H92" s="104"/>
      <c r="I92" s="83" t="e">
        <f>#REF!/#REF!</f>
        <v>#REF!</v>
      </c>
      <c r="J92" s="135" t="e">
        <f>#REF!</f>
        <v>#REF!</v>
      </c>
      <c r="K92" s="49"/>
      <c r="L92" s="49"/>
      <c r="M92" s="49"/>
      <c r="N92" s="49"/>
    </row>
    <row r="93" spans="1:14" s="85" customFormat="1" ht="24" customHeight="1">
      <c r="A93" s="73"/>
      <c r="B93" s="60" t="s">
        <v>14</v>
      </c>
      <c r="C93" s="204" t="s">
        <v>384</v>
      </c>
      <c r="D93" s="204" t="s">
        <v>40</v>
      </c>
      <c r="E93" s="204">
        <v>1.02</v>
      </c>
      <c r="F93" s="104">
        <f>E93*F90</f>
        <v>10.2</v>
      </c>
      <c r="G93" s="133"/>
      <c r="H93" s="104"/>
      <c r="I93" s="49"/>
      <c r="J93" s="135" t="e">
        <f>#REF!</f>
        <v>#REF!</v>
      </c>
      <c r="K93" s="87" t="e">
        <f>#REF!</f>
        <v>#REF!</v>
      </c>
      <c r="L93" s="50" t="e">
        <f>#REF!/#REF!*0.8</f>
        <v>#REF!</v>
      </c>
      <c r="M93" s="49"/>
      <c r="N93" s="49"/>
    </row>
    <row r="94" spans="1:11" s="205" customFormat="1" ht="24.75" customHeight="1">
      <c r="A94" s="73"/>
      <c r="B94" s="94" t="s">
        <v>16</v>
      </c>
      <c r="C94" s="52" t="s">
        <v>163</v>
      </c>
      <c r="D94" s="204" t="s">
        <v>28</v>
      </c>
      <c r="E94" s="204">
        <v>0.0128</v>
      </c>
      <c r="F94" s="104">
        <f>E94*F90</f>
        <v>0.128</v>
      </c>
      <c r="G94" s="204"/>
      <c r="H94" s="104"/>
      <c r="I94" s="141"/>
      <c r="J94" s="84" t="e">
        <f>#REF!</f>
        <v>#REF!</v>
      </c>
      <c r="K94" s="84"/>
    </row>
    <row r="95" spans="1:8" ht="63" customHeight="1">
      <c r="A95" s="75" t="s">
        <v>381</v>
      </c>
      <c r="B95" s="123" t="s">
        <v>353</v>
      </c>
      <c r="C95" s="92" t="s">
        <v>399</v>
      </c>
      <c r="D95" s="53" t="s">
        <v>40</v>
      </c>
      <c r="E95" s="92"/>
      <c r="F95" s="115">
        <v>402</v>
      </c>
      <c r="G95" s="92"/>
      <c r="H95" s="221"/>
    </row>
    <row r="96" spans="1:8" ht="24" customHeight="1">
      <c r="A96" s="73"/>
      <c r="B96" s="45" t="s">
        <v>16</v>
      </c>
      <c r="C96" s="204" t="s">
        <v>378</v>
      </c>
      <c r="D96" s="52" t="s">
        <v>17</v>
      </c>
      <c r="E96" s="204">
        <f>1.15*0.268</f>
        <v>0.3082</v>
      </c>
      <c r="F96" s="104">
        <f>E96*F95</f>
        <v>123.89639999999999</v>
      </c>
      <c r="G96" s="204"/>
      <c r="H96" s="104"/>
    </row>
    <row r="97" spans="1:8" ht="28.5" customHeight="1">
      <c r="A97" s="73"/>
      <c r="B97" s="45" t="s">
        <v>16</v>
      </c>
      <c r="C97" s="204" t="s">
        <v>379</v>
      </c>
      <c r="D97" s="204" t="s">
        <v>28</v>
      </c>
      <c r="E97" s="204">
        <f>0.5/100*1.15</f>
        <v>0.00575</v>
      </c>
      <c r="F97" s="104">
        <f>E97*F95</f>
        <v>2.3115</v>
      </c>
      <c r="G97" s="204"/>
      <c r="H97" s="100"/>
    </row>
    <row r="98" spans="1:8" ht="21" customHeight="1">
      <c r="A98" s="73"/>
      <c r="B98" s="197" t="s">
        <v>14</v>
      </c>
      <c r="C98" s="204" t="s">
        <v>398</v>
      </c>
      <c r="D98" s="204" t="s">
        <v>27</v>
      </c>
      <c r="E98" s="204">
        <f>35.4/100</f>
        <v>0.354</v>
      </c>
      <c r="F98" s="104">
        <f>E98*F95</f>
        <v>142.308</v>
      </c>
      <c r="G98" s="204"/>
      <c r="H98" s="100"/>
    </row>
    <row r="99" spans="1:8" ht="26.25" customHeight="1">
      <c r="A99" s="73"/>
      <c r="B99" s="197" t="s">
        <v>16</v>
      </c>
      <c r="C99" s="204" t="s">
        <v>51</v>
      </c>
      <c r="D99" s="204" t="s">
        <v>28</v>
      </c>
      <c r="E99" s="204">
        <v>0.002</v>
      </c>
      <c r="F99" s="104">
        <f>E99*F95</f>
        <v>0.804</v>
      </c>
      <c r="G99" s="204"/>
      <c r="H99" s="100"/>
    </row>
    <row r="100" spans="1:8" ht="52.5" customHeight="1">
      <c r="A100" s="78">
        <v>21</v>
      </c>
      <c r="B100" s="61" t="s">
        <v>105</v>
      </c>
      <c r="C100" s="53" t="s">
        <v>386</v>
      </c>
      <c r="D100" s="53" t="s">
        <v>31</v>
      </c>
      <c r="E100" s="150"/>
      <c r="F100" s="115">
        <v>0.7</v>
      </c>
      <c r="G100" s="53"/>
      <c r="H100" s="221"/>
    </row>
    <row r="101" spans="1:8" ht="28.5" customHeight="1">
      <c r="A101" s="73"/>
      <c r="B101" s="57" t="s">
        <v>16</v>
      </c>
      <c r="C101" s="52" t="s">
        <v>106</v>
      </c>
      <c r="D101" s="52" t="s">
        <v>17</v>
      </c>
      <c r="E101" s="52">
        <f>1.15*2.06</f>
        <v>2.3689999999999998</v>
      </c>
      <c r="F101" s="100">
        <f>F100*E101</f>
        <v>1.6582999999999997</v>
      </c>
      <c r="G101" s="52"/>
      <c r="H101" s="104"/>
    </row>
    <row r="102" spans="1:8" ht="51" customHeight="1">
      <c r="A102" s="75" t="s">
        <v>404</v>
      </c>
      <c r="B102" s="79" t="s">
        <v>313</v>
      </c>
      <c r="C102" s="53" t="s">
        <v>387</v>
      </c>
      <c r="D102" s="53" t="s">
        <v>31</v>
      </c>
      <c r="E102" s="53"/>
      <c r="F102" s="129">
        <v>0.5</v>
      </c>
      <c r="G102" s="53"/>
      <c r="H102" s="221"/>
    </row>
    <row r="103" spans="1:8" ht="27.75" customHeight="1">
      <c r="A103" s="73"/>
      <c r="B103" s="45" t="s">
        <v>16</v>
      </c>
      <c r="C103" s="52" t="s">
        <v>314</v>
      </c>
      <c r="D103" s="52" t="s">
        <v>17</v>
      </c>
      <c r="E103" s="52">
        <f>1.15*6.66</f>
        <v>7.659</v>
      </c>
      <c r="F103" s="100">
        <f>E103*F102</f>
        <v>3.8295</v>
      </c>
      <c r="G103" s="58"/>
      <c r="H103" s="104"/>
    </row>
    <row r="104" spans="1:8" ht="27.75" customHeight="1">
      <c r="A104" s="73"/>
      <c r="B104" s="57" t="s">
        <v>16</v>
      </c>
      <c r="C104" s="52" t="s">
        <v>315</v>
      </c>
      <c r="D104" s="52" t="s">
        <v>28</v>
      </c>
      <c r="E104" s="52">
        <f>1.15*0.59</f>
        <v>0.6784999999999999</v>
      </c>
      <c r="F104" s="100">
        <f>F102*E104</f>
        <v>0.33924999999999994</v>
      </c>
      <c r="G104" s="52"/>
      <c r="H104" s="100"/>
    </row>
    <row r="105" spans="1:8" ht="27.75" customHeight="1">
      <c r="A105" s="73"/>
      <c r="B105" s="57" t="s">
        <v>14</v>
      </c>
      <c r="C105" s="52" t="s">
        <v>388</v>
      </c>
      <c r="D105" s="52" t="s">
        <v>26</v>
      </c>
      <c r="E105" s="52">
        <v>1.015</v>
      </c>
      <c r="F105" s="100">
        <f>E105*F102</f>
        <v>0.5075</v>
      </c>
      <c r="G105" s="52"/>
      <c r="H105" s="100"/>
    </row>
    <row r="106" spans="1:8" ht="25.5" customHeight="1">
      <c r="A106" s="73"/>
      <c r="B106" s="57" t="s">
        <v>14</v>
      </c>
      <c r="C106" s="52" t="s">
        <v>303</v>
      </c>
      <c r="D106" s="52" t="s">
        <v>32</v>
      </c>
      <c r="E106" s="52">
        <v>1.6</v>
      </c>
      <c r="F106" s="100">
        <f>F102*E106</f>
        <v>0.8</v>
      </c>
      <c r="G106" s="52"/>
      <c r="H106" s="100"/>
    </row>
    <row r="107" spans="1:8" ht="27.75" customHeight="1">
      <c r="A107" s="73"/>
      <c r="B107" s="106" t="s">
        <v>411</v>
      </c>
      <c r="C107" s="52" t="s">
        <v>304</v>
      </c>
      <c r="D107" s="52" t="s">
        <v>26</v>
      </c>
      <c r="E107" s="52">
        <v>0.0183</v>
      </c>
      <c r="F107" s="100">
        <f>F102*E107</f>
        <v>0.00915</v>
      </c>
      <c r="G107" s="52"/>
      <c r="H107" s="100"/>
    </row>
    <row r="108" spans="1:8" ht="24" customHeight="1">
      <c r="A108" s="73"/>
      <c r="B108" s="45" t="s">
        <v>16</v>
      </c>
      <c r="C108" s="204" t="s">
        <v>33</v>
      </c>
      <c r="D108" s="52" t="s">
        <v>28</v>
      </c>
      <c r="E108" s="52">
        <v>0.4</v>
      </c>
      <c r="F108" s="100">
        <f>E108*F102</f>
        <v>0.2</v>
      </c>
      <c r="G108" s="52"/>
      <c r="H108" s="100"/>
    </row>
    <row r="109" spans="1:20" ht="92.25" customHeight="1">
      <c r="A109" s="75" t="s">
        <v>405</v>
      </c>
      <c r="B109" s="61" t="s">
        <v>14</v>
      </c>
      <c r="C109" s="92" t="s">
        <v>400</v>
      </c>
      <c r="D109" s="96" t="s">
        <v>76</v>
      </c>
      <c r="E109" s="96"/>
      <c r="F109" s="210">
        <v>6</v>
      </c>
      <c r="G109" s="62"/>
      <c r="H109" s="222"/>
      <c r="T109" s="216"/>
    </row>
    <row r="110" spans="1:8" ht="25.5" customHeight="1">
      <c r="A110" s="73"/>
      <c r="B110" s="45" t="s">
        <v>16</v>
      </c>
      <c r="C110" s="52" t="s">
        <v>53</v>
      </c>
      <c r="D110" s="58" t="s">
        <v>76</v>
      </c>
      <c r="E110" s="59">
        <v>1</v>
      </c>
      <c r="F110" s="59">
        <f>F109*E110</f>
        <v>6</v>
      </c>
      <c r="G110" s="58"/>
      <c r="H110" s="122"/>
    </row>
    <row r="111" spans="1:8" ht="39.75" customHeight="1">
      <c r="A111" s="73"/>
      <c r="B111" s="60" t="s">
        <v>14</v>
      </c>
      <c r="C111" s="52" t="s">
        <v>401</v>
      </c>
      <c r="D111" s="58" t="s">
        <v>76</v>
      </c>
      <c r="E111" s="58">
        <v>1</v>
      </c>
      <c r="F111" s="111">
        <f>F109*E111</f>
        <v>6</v>
      </c>
      <c r="G111" s="58"/>
      <c r="H111" s="59"/>
    </row>
    <row r="112" spans="1:8" ht="48.75" customHeight="1">
      <c r="A112" s="213">
        <v>24</v>
      </c>
      <c r="B112" s="123" t="s">
        <v>107</v>
      </c>
      <c r="C112" s="92" t="s">
        <v>337</v>
      </c>
      <c r="D112" s="92" t="s">
        <v>26</v>
      </c>
      <c r="E112" s="92"/>
      <c r="F112" s="115">
        <f>F100</f>
        <v>0.7</v>
      </c>
      <c r="G112" s="92"/>
      <c r="H112" s="221"/>
    </row>
    <row r="113" spans="1:8" ht="30.75" customHeight="1">
      <c r="A113" s="203"/>
      <c r="B113" s="197" t="s">
        <v>16</v>
      </c>
      <c r="C113" s="204" t="s">
        <v>102</v>
      </c>
      <c r="D113" s="204" t="s">
        <v>17</v>
      </c>
      <c r="E113" s="204">
        <f>1.15*1.21</f>
        <v>1.3915</v>
      </c>
      <c r="F113" s="104">
        <f>F112*E113</f>
        <v>0.9740499999999999</v>
      </c>
      <c r="G113" s="204"/>
      <c r="H113" s="104"/>
    </row>
    <row r="114" spans="1:8" ht="75.75" customHeight="1">
      <c r="A114" s="78">
        <v>25</v>
      </c>
      <c r="B114" s="61" t="s">
        <v>137</v>
      </c>
      <c r="C114" s="92" t="s">
        <v>389</v>
      </c>
      <c r="D114" s="96" t="s">
        <v>37</v>
      </c>
      <c r="E114" s="96"/>
      <c r="F114" s="210">
        <f>F109</f>
        <v>6</v>
      </c>
      <c r="G114" s="62"/>
      <c r="H114" s="222"/>
    </row>
    <row r="115" spans="1:8" ht="32.25" customHeight="1">
      <c r="A115" s="57"/>
      <c r="B115" s="57" t="s">
        <v>16</v>
      </c>
      <c r="C115" s="52" t="s">
        <v>138</v>
      </c>
      <c r="D115" s="58" t="s">
        <v>17</v>
      </c>
      <c r="E115" s="58">
        <f>1.15*6.03</f>
        <v>6.9345</v>
      </c>
      <c r="F115" s="59">
        <f>E115*F114</f>
        <v>41.607</v>
      </c>
      <c r="G115" s="58"/>
      <c r="H115" s="122"/>
    </row>
    <row r="116" spans="1:8" ht="29.25" customHeight="1">
      <c r="A116" s="57"/>
      <c r="B116" s="57" t="s">
        <v>16</v>
      </c>
      <c r="C116" s="52" t="s">
        <v>139</v>
      </c>
      <c r="D116" s="58" t="s">
        <v>28</v>
      </c>
      <c r="E116" s="58">
        <f>1.15*0.33</f>
        <v>0.3795</v>
      </c>
      <c r="F116" s="59">
        <f>E116*F114</f>
        <v>2.277</v>
      </c>
      <c r="G116" s="58"/>
      <c r="H116" s="122"/>
    </row>
    <row r="117" spans="1:8" ht="24" customHeight="1">
      <c r="A117" s="57"/>
      <c r="B117" s="106" t="s">
        <v>411</v>
      </c>
      <c r="C117" s="52" t="s">
        <v>135</v>
      </c>
      <c r="D117" s="58" t="s">
        <v>26</v>
      </c>
      <c r="E117" s="58">
        <f>0.06+0.6+0.1</f>
        <v>0.7599999999999999</v>
      </c>
      <c r="F117" s="59">
        <f>E117*F114</f>
        <v>4.56</v>
      </c>
      <c r="G117" s="90"/>
      <c r="H117" s="122"/>
    </row>
    <row r="118" spans="1:8" ht="25.5" customHeight="1">
      <c r="A118" s="57"/>
      <c r="B118" s="45" t="s">
        <v>16</v>
      </c>
      <c r="C118" s="52" t="s">
        <v>30</v>
      </c>
      <c r="D118" s="58" t="s">
        <v>28</v>
      </c>
      <c r="E118" s="58">
        <v>0.5</v>
      </c>
      <c r="F118" s="59">
        <f>E118*F114</f>
        <v>3</v>
      </c>
      <c r="G118" s="58"/>
      <c r="H118" s="122"/>
    </row>
    <row r="119" spans="1:8" ht="63" customHeight="1">
      <c r="A119" s="75" t="s">
        <v>409</v>
      </c>
      <c r="B119" s="61" t="s">
        <v>88</v>
      </c>
      <c r="C119" s="53" t="s">
        <v>390</v>
      </c>
      <c r="D119" s="53" t="s">
        <v>40</v>
      </c>
      <c r="E119" s="53"/>
      <c r="F119" s="115">
        <v>17.2</v>
      </c>
      <c r="G119" s="53"/>
      <c r="H119" s="221"/>
    </row>
    <row r="120" spans="1:8" ht="39.75" customHeight="1">
      <c r="A120" s="73"/>
      <c r="B120" s="57" t="s">
        <v>16</v>
      </c>
      <c r="C120" s="52" t="s">
        <v>89</v>
      </c>
      <c r="D120" s="52" t="s">
        <v>17</v>
      </c>
      <c r="E120" s="52">
        <f>1.15*0.388</f>
        <v>0.4462</v>
      </c>
      <c r="F120" s="100">
        <f>E120*F119</f>
        <v>7.674639999999999</v>
      </c>
      <c r="G120" s="52"/>
      <c r="H120" s="104"/>
    </row>
    <row r="121" spans="1:8" ht="25.5" customHeight="1">
      <c r="A121" s="73"/>
      <c r="B121" s="57" t="s">
        <v>16</v>
      </c>
      <c r="C121" s="52" t="s">
        <v>54</v>
      </c>
      <c r="D121" s="52" t="s">
        <v>28</v>
      </c>
      <c r="E121" s="52">
        <f>1.15*0.003</f>
        <v>0.00345</v>
      </c>
      <c r="F121" s="100">
        <f>E121*F119</f>
        <v>0.05934</v>
      </c>
      <c r="G121" s="52"/>
      <c r="H121" s="100"/>
    </row>
    <row r="122" spans="1:8" ht="39.75" customHeight="1">
      <c r="A122" s="73"/>
      <c r="B122" s="57" t="s">
        <v>14</v>
      </c>
      <c r="C122" s="52" t="s">
        <v>391</v>
      </c>
      <c r="D122" s="52" t="s">
        <v>27</v>
      </c>
      <c r="E122" s="52">
        <v>0.24600000000000002</v>
      </c>
      <c r="F122" s="100">
        <f>E122*F119</f>
        <v>4.2312</v>
      </c>
      <c r="G122" s="52"/>
      <c r="H122" s="100"/>
    </row>
    <row r="123" spans="1:8" ht="27" customHeight="1">
      <c r="A123" s="73"/>
      <c r="B123" s="57" t="s">
        <v>14</v>
      </c>
      <c r="C123" s="52" t="s">
        <v>342</v>
      </c>
      <c r="D123" s="52" t="s">
        <v>27</v>
      </c>
      <c r="E123" s="52">
        <v>0.027000000000000003</v>
      </c>
      <c r="F123" s="100">
        <f>E123*F119</f>
        <v>0.46440000000000003</v>
      </c>
      <c r="G123" s="52"/>
      <c r="H123" s="100"/>
    </row>
    <row r="124" spans="1:8" ht="26.25" customHeight="1">
      <c r="A124" s="73"/>
      <c r="B124" s="57" t="s">
        <v>16</v>
      </c>
      <c r="C124" s="52" t="s">
        <v>72</v>
      </c>
      <c r="D124" s="52" t="s">
        <v>28</v>
      </c>
      <c r="E124" s="52">
        <v>0.0019</v>
      </c>
      <c r="F124" s="100">
        <f>E124*F119</f>
        <v>0.03268</v>
      </c>
      <c r="G124" s="52"/>
      <c r="H124" s="100"/>
    </row>
    <row r="125" spans="1:8" ht="78.75" customHeight="1">
      <c r="A125" s="75" t="s">
        <v>410</v>
      </c>
      <c r="B125" s="61" t="s">
        <v>14</v>
      </c>
      <c r="C125" s="53" t="s">
        <v>406</v>
      </c>
      <c r="D125" s="53" t="s">
        <v>202</v>
      </c>
      <c r="E125" s="53"/>
      <c r="F125" s="115">
        <v>9</v>
      </c>
      <c r="G125" s="53"/>
      <c r="H125" s="221"/>
    </row>
    <row r="126" spans="1:8" ht="33" customHeight="1">
      <c r="A126" s="73"/>
      <c r="B126" s="57" t="s">
        <v>14</v>
      </c>
      <c r="C126" s="52" t="s">
        <v>305</v>
      </c>
      <c r="D126" s="52" t="s">
        <v>202</v>
      </c>
      <c r="E126" s="52">
        <v>1</v>
      </c>
      <c r="F126" s="100">
        <f>E126*F125</f>
        <v>9</v>
      </c>
      <c r="G126" s="52"/>
      <c r="H126" s="104"/>
    </row>
    <row r="127" spans="1:8" ht="32.25" customHeight="1">
      <c r="A127" s="82"/>
      <c r="B127" s="57"/>
      <c r="C127" s="53" t="s">
        <v>39</v>
      </c>
      <c r="D127" s="58" t="s">
        <v>28</v>
      </c>
      <c r="E127" s="58"/>
      <c r="F127" s="59"/>
      <c r="G127" s="58"/>
      <c r="H127" s="128">
        <f>H8+H13+H15+H20+H24+H29+H33+H35+H37+H42+H49+H51+H58+H64+H70+H74+H76+H82+H90+H95+H100+H102+H109+H112+H114+H119+H125</f>
        <v>0</v>
      </c>
    </row>
    <row r="128" spans="1:8" ht="29.25" customHeight="1">
      <c r="A128" s="82"/>
      <c r="B128" s="57"/>
      <c r="C128" s="52" t="s">
        <v>42</v>
      </c>
      <c r="D128" s="58" t="s">
        <v>28</v>
      </c>
      <c r="E128" s="58"/>
      <c r="F128" s="63">
        <v>0.1</v>
      </c>
      <c r="G128" s="58"/>
      <c r="H128" s="122">
        <f>H127*F128</f>
        <v>0</v>
      </c>
    </row>
    <row r="129" spans="1:8" ht="32.25" customHeight="1">
      <c r="A129" s="78"/>
      <c r="B129" s="61"/>
      <c r="C129" s="53" t="s">
        <v>38</v>
      </c>
      <c r="D129" s="62" t="s">
        <v>28</v>
      </c>
      <c r="E129" s="62"/>
      <c r="F129" s="62"/>
      <c r="G129" s="62"/>
      <c r="H129" s="128">
        <f>SUM(H127:H128)</f>
        <v>0</v>
      </c>
    </row>
    <row r="130" spans="1:8" ht="31.5" customHeight="1">
      <c r="A130" s="82"/>
      <c r="B130" s="57"/>
      <c r="C130" s="52" t="s">
        <v>29</v>
      </c>
      <c r="D130" s="58" t="s">
        <v>28</v>
      </c>
      <c r="E130" s="58"/>
      <c r="F130" s="63">
        <v>0.08</v>
      </c>
      <c r="G130" s="58"/>
      <c r="H130" s="122">
        <f>H129*F130</f>
        <v>0</v>
      </c>
    </row>
    <row r="131" spans="1:8" ht="27.75" customHeight="1">
      <c r="A131" s="73"/>
      <c r="B131" s="73"/>
      <c r="C131" s="53" t="s">
        <v>41</v>
      </c>
      <c r="D131" s="81" t="s">
        <v>28</v>
      </c>
      <c r="E131" s="58"/>
      <c r="F131" s="58"/>
      <c r="G131" s="58"/>
      <c r="H131" s="128">
        <f>SUM(H129:H130)</f>
        <v>0</v>
      </c>
    </row>
    <row r="132" spans="1:8" ht="15">
      <c r="A132" s="46"/>
      <c r="B132" s="64"/>
      <c r="C132" s="65"/>
      <c r="D132" s="47"/>
      <c r="E132" s="47"/>
      <c r="F132" s="47"/>
      <c r="G132" s="47"/>
      <c r="H132" s="70"/>
    </row>
    <row r="133" spans="1:8" ht="29.25" customHeight="1">
      <c r="A133" s="66"/>
      <c r="B133" s="67"/>
      <c r="C133" s="49"/>
      <c r="D133" s="232"/>
      <c r="E133" s="232"/>
      <c r="F133" s="232"/>
      <c r="G133" s="232"/>
      <c r="H133" s="71"/>
    </row>
    <row r="134" spans="1:8" ht="15">
      <c r="A134" s="46"/>
      <c r="C134" s="49"/>
      <c r="D134" s="49"/>
      <c r="E134" s="49"/>
      <c r="F134" s="49"/>
      <c r="G134" s="49"/>
      <c r="H134" s="71"/>
    </row>
  </sheetData>
  <sheetProtection/>
  <mergeCells count="11">
    <mergeCell ref="A3:H3"/>
    <mergeCell ref="D133:G133"/>
    <mergeCell ref="A1:H1"/>
    <mergeCell ref="A2:H2"/>
    <mergeCell ref="E5:F5"/>
    <mergeCell ref="G5:H5"/>
    <mergeCell ref="A5:A6"/>
    <mergeCell ref="A4:H4"/>
    <mergeCell ref="B5:B6"/>
    <mergeCell ref="C5:C6"/>
    <mergeCell ref="D5:D6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&amp;C&amp;A&amp;R&amp;8-&amp;P--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87"/>
  <sheetViews>
    <sheetView zoomScalePageLayoutView="0" workbookViewId="0" topLeftCell="A72">
      <selection activeCell="H78" sqref="G8:H78"/>
    </sheetView>
  </sheetViews>
  <sheetFormatPr defaultColWidth="9.140625" defaultRowHeight="12.75"/>
  <cols>
    <col min="1" max="1" width="4.140625" style="8" customWidth="1"/>
    <col min="2" max="2" width="10.57421875" style="9" customWidth="1"/>
    <col min="3" max="3" width="43.28125" style="1" customWidth="1"/>
    <col min="4" max="5" width="6.7109375" style="1" customWidth="1"/>
    <col min="6" max="6" width="8.8515625" style="1" customWidth="1"/>
    <col min="7" max="7" width="6.8515625" style="1" customWidth="1"/>
    <col min="8" max="8" width="9.57421875" style="7" customWidth="1"/>
    <col min="9" max="9" width="16.140625" style="7" hidden="1" customWidth="1"/>
    <col min="10" max="10" width="13.8515625" style="6" hidden="1" customWidth="1"/>
    <col min="11" max="11" width="22.140625" style="3" hidden="1" customWidth="1"/>
    <col min="12" max="12" width="17.57421875" style="3" customWidth="1"/>
    <col min="13" max="13" width="12.8515625" style="3" customWidth="1"/>
    <col min="14" max="14" width="9.140625" style="3" customWidth="1"/>
    <col min="15" max="16384" width="9.140625" style="1" customWidth="1"/>
  </cols>
  <sheetData>
    <row r="1" spans="1:10" ht="33.75" customHeight="1">
      <c r="A1" s="242" t="s">
        <v>421</v>
      </c>
      <c r="B1" s="237"/>
      <c r="C1" s="237"/>
      <c r="D1" s="237"/>
      <c r="E1" s="237"/>
      <c r="F1" s="237"/>
      <c r="G1" s="237"/>
      <c r="H1" s="237"/>
      <c r="I1" s="3"/>
      <c r="J1" s="2"/>
    </row>
    <row r="2" spans="1:10" ht="24.75" customHeight="1">
      <c r="A2" s="243" t="s">
        <v>143</v>
      </c>
      <c r="B2" s="243"/>
      <c r="C2" s="243"/>
      <c r="D2" s="243"/>
      <c r="E2" s="243"/>
      <c r="F2" s="243"/>
      <c r="G2" s="243"/>
      <c r="H2" s="243"/>
      <c r="I2" s="3"/>
      <c r="J2" s="2"/>
    </row>
    <row r="3" spans="1:10" ht="4.5" customHeight="1">
      <c r="A3" s="243"/>
      <c r="B3" s="243"/>
      <c r="C3" s="243"/>
      <c r="D3" s="243"/>
      <c r="E3" s="243"/>
      <c r="F3" s="243"/>
      <c r="G3" s="243"/>
      <c r="H3" s="243"/>
      <c r="I3" s="28"/>
      <c r="J3" s="3"/>
    </row>
    <row r="4" spans="1:10" ht="17.25" customHeight="1">
      <c r="A4" s="260" t="s">
        <v>164</v>
      </c>
      <c r="B4" s="260"/>
      <c r="C4" s="260"/>
      <c r="D4" s="260"/>
      <c r="E4" s="260"/>
      <c r="F4" s="260"/>
      <c r="G4" s="260"/>
      <c r="H4" s="260"/>
      <c r="I4" s="3"/>
      <c r="J4" s="2"/>
    </row>
    <row r="5" spans="1:11" ht="28.5" customHeight="1">
      <c r="A5" s="228" t="s">
        <v>19</v>
      </c>
      <c r="B5" s="234" t="s">
        <v>20</v>
      </c>
      <c r="C5" s="240" t="s">
        <v>21</v>
      </c>
      <c r="D5" s="241" t="s">
        <v>18</v>
      </c>
      <c r="E5" s="239" t="s">
        <v>22</v>
      </c>
      <c r="F5" s="239"/>
      <c r="G5" s="239" t="s">
        <v>13</v>
      </c>
      <c r="H5" s="239"/>
      <c r="I5" s="42"/>
      <c r="J5" s="10"/>
      <c r="K5" s="42"/>
    </row>
    <row r="6" spans="1:11" ht="51.75" customHeight="1">
      <c r="A6" s="228"/>
      <c r="B6" s="234"/>
      <c r="C6" s="240"/>
      <c r="D6" s="241"/>
      <c r="E6" s="56" t="s">
        <v>23</v>
      </c>
      <c r="F6" s="56" t="s">
        <v>24</v>
      </c>
      <c r="G6" s="56" t="s">
        <v>23</v>
      </c>
      <c r="H6" s="149" t="s">
        <v>24</v>
      </c>
      <c r="I6" s="44"/>
      <c r="J6" s="37"/>
      <c r="K6" s="42"/>
    </row>
    <row r="7" spans="1:14" s="5" customFormat="1" ht="18" customHeight="1">
      <c r="A7" s="75" t="s">
        <v>25</v>
      </c>
      <c r="B7" s="75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8">
        <v>8</v>
      </c>
      <c r="I7" s="14"/>
      <c r="J7" s="14"/>
      <c r="K7" s="17"/>
      <c r="L7" s="13"/>
      <c r="M7" s="13"/>
      <c r="N7" s="13"/>
    </row>
    <row r="8" spans="1:8" s="5" customFormat="1" ht="19.5" customHeight="1">
      <c r="A8" s="152"/>
      <c r="B8" s="61"/>
      <c r="C8" s="153" t="s">
        <v>108</v>
      </c>
      <c r="D8" s="76"/>
      <c r="E8" s="76"/>
      <c r="F8" s="76"/>
      <c r="G8" s="76"/>
      <c r="H8" s="78"/>
    </row>
    <row r="9" spans="1:9" s="5" customFormat="1" ht="74.25" customHeight="1">
      <c r="A9" s="75" t="s">
        <v>25</v>
      </c>
      <c r="B9" s="61" t="s">
        <v>165</v>
      </c>
      <c r="C9" s="53" t="s">
        <v>166</v>
      </c>
      <c r="D9" s="53" t="s">
        <v>48</v>
      </c>
      <c r="E9" s="53"/>
      <c r="F9" s="151">
        <v>8</v>
      </c>
      <c r="G9" s="53"/>
      <c r="H9" s="221"/>
      <c r="I9" s="6">
        <f>H9</f>
        <v>0</v>
      </c>
    </row>
    <row r="10" spans="1:10" s="20" customFormat="1" ht="30" customHeight="1">
      <c r="A10" s="73"/>
      <c r="B10" s="73" t="s">
        <v>16</v>
      </c>
      <c r="C10" s="52" t="s">
        <v>167</v>
      </c>
      <c r="D10" s="52" t="s">
        <v>17</v>
      </c>
      <c r="E10" s="125">
        <f>1.43*1.15</f>
        <v>1.6444999999999999</v>
      </c>
      <c r="F10" s="59">
        <f>F9*E10</f>
        <v>13.155999999999999</v>
      </c>
      <c r="G10" s="52"/>
      <c r="H10" s="122"/>
      <c r="I10" s="6">
        <f>H10</f>
        <v>0</v>
      </c>
      <c r="J10" s="19">
        <f>H10</f>
        <v>0</v>
      </c>
    </row>
    <row r="11" spans="1:10" s="20" customFormat="1" ht="24.75" customHeight="1">
      <c r="A11" s="73"/>
      <c r="B11" s="73" t="s">
        <v>16</v>
      </c>
      <c r="C11" s="52" t="s">
        <v>168</v>
      </c>
      <c r="D11" s="52" t="s">
        <v>28</v>
      </c>
      <c r="E11" s="125">
        <f>1.15*0.0257</f>
        <v>0.029554999999999998</v>
      </c>
      <c r="F11" s="59">
        <f>F9*E11</f>
        <v>0.23643999999999998</v>
      </c>
      <c r="G11" s="58"/>
      <c r="H11" s="122"/>
      <c r="I11" s="6">
        <f>H11</f>
        <v>0</v>
      </c>
      <c r="J11" s="21"/>
    </row>
    <row r="12" spans="1:10" s="18" customFormat="1" ht="27.75" customHeight="1">
      <c r="A12" s="73"/>
      <c r="B12" s="73" t="s">
        <v>14</v>
      </c>
      <c r="C12" s="52" t="s">
        <v>169</v>
      </c>
      <c r="D12" s="52" t="s">
        <v>48</v>
      </c>
      <c r="E12" s="100">
        <v>1</v>
      </c>
      <c r="F12" s="59">
        <f>E12*F9</f>
        <v>8</v>
      </c>
      <c r="G12" s="58"/>
      <c r="H12" s="122"/>
      <c r="I12" s="6">
        <f>H13</f>
        <v>0</v>
      </c>
      <c r="J12" s="16"/>
    </row>
    <row r="13" spans="1:10" s="22" customFormat="1" ht="25.5" customHeight="1">
      <c r="A13" s="73"/>
      <c r="B13" s="58" t="s">
        <v>16</v>
      </c>
      <c r="C13" s="52" t="s">
        <v>30</v>
      </c>
      <c r="D13" s="52" t="s">
        <v>28</v>
      </c>
      <c r="E13" s="113">
        <v>0.0457</v>
      </c>
      <c r="F13" s="59">
        <f>F9*E13</f>
        <v>0.3656</v>
      </c>
      <c r="G13" s="58"/>
      <c r="H13" s="122"/>
      <c r="I13" s="6" t="e">
        <f>#REF!</f>
        <v>#REF!</v>
      </c>
      <c r="J13" s="26"/>
    </row>
    <row r="14" spans="1:10" s="20" customFormat="1" ht="69.75" customHeight="1">
      <c r="A14" s="75" t="s">
        <v>43</v>
      </c>
      <c r="B14" s="61" t="s">
        <v>170</v>
      </c>
      <c r="C14" s="53" t="s">
        <v>171</v>
      </c>
      <c r="D14" s="53" t="s">
        <v>48</v>
      </c>
      <c r="E14" s="53"/>
      <c r="F14" s="151">
        <v>4</v>
      </c>
      <c r="G14" s="53"/>
      <c r="H14" s="221"/>
      <c r="I14" s="6">
        <f>H26</f>
        <v>0</v>
      </c>
      <c r="J14" s="19">
        <f>H26</f>
        <v>0</v>
      </c>
    </row>
    <row r="15" spans="1:10" s="20" customFormat="1" ht="30" customHeight="1">
      <c r="A15" s="73"/>
      <c r="B15" s="73" t="s">
        <v>16</v>
      </c>
      <c r="C15" s="52" t="s">
        <v>172</v>
      </c>
      <c r="D15" s="52" t="s">
        <v>17</v>
      </c>
      <c r="E15" s="125">
        <f>1.17*1.15</f>
        <v>1.3455</v>
      </c>
      <c r="F15" s="59">
        <f>F14*E15</f>
        <v>5.382</v>
      </c>
      <c r="G15" s="52"/>
      <c r="H15" s="122"/>
      <c r="I15" s="6">
        <f>H27</f>
        <v>0</v>
      </c>
      <c r="J15" s="21"/>
    </row>
    <row r="16" spans="1:12" s="5" customFormat="1" ht="24" customHeight="1">
      <c r="A16" s="73"/>
      <c r="B16" s="73" t="s">
        <v>16</v>
      </c>
      <c r="C16" s="52" t="s">
        <v>173</v>
      </c>
      <c r="D16" s="52" t="s">
        <v>28</v>
      </c>
      <c r="E16" s="125">
        <f>1.15*0.0172</f>
        <v>0.01978</v>
      </c>
      <c r="F16" s="59">
        <f>F14*E16</f>
        <v>0.07912</v>
      </c>
      <c r="G16" s="58"/>
      <c r="H16" s="122"/>
      <c r="I16" s="6" t="e">
        <f>#REF!</f>
        <v>#REF!</v>
      </c>
      <c r="J16" s="30"/>
      <c r="K16" s="29"/>
      <c r="L16" s="29"/>
    </row>
    <row r="17" spans="1:12" s="5" customFormat="1" ht="25.5" customHeight="1">
      <c r="A17" s="73"/>
      <c r="B17" s="73" t="s">
        <v>14</v>
      </c>
      <c r="C17" s="52" t="s">
        <v>174</v>
      </c>
      <c r="D17" s="52" t="s">
        <v>48</v>
      </c>
      <c r="E17" s="100">
        <v>1</v>
      </c>
      <c r="F17" s="59">
        <f>E17*F14</f>
        <v>4</v>
      </c>
      <c r="G17" s="59"/>
      <c r="H17" s="122"/>
      <c r="I17" s="6">
        <f>H30</f>
        <v>0</v>
      </c>
      <c r="J17" s="16"/>
      <c r="K17" s="18"/>
      <c r="L17" s="18"/>
    </row>
    <row r="18" spans="1:10" s="20" customFormat="1" ht="30.75" customHeight="1">
      <c r="A18" s="73"/>
      <c r="B18" s="58" t="s">
        <v>16</v>
      </c>
      <c r="C18" s="52" t="s">
        <v>30</v>
      </c>
      <c r="D18" s="52" t="s">
        <v>28</v>
      </c>
      <c r="E18" s="113">
        <v>0.0393</v>
      </c>
      <c r="F18" s="59">
        <f>F14*E18</f>
        <v>0.1572</v>
      </c>
      <c r="G18" s="58"/>
      <c r="H18" s="122"/>
      <c r="I18" s="6" t="e">
        <f>#REF!</f>
        <v>#REF!</v>
      </c>
      <c r="J18" s="19" t="e">
        <f>#REF!</f>
        <v>#REF!</v>
      </c>
    </row>
    <row r="19" spans="1:13" s="20" customFormat="1" ht="46.5" customHeight="1">
      <c r="A19" s="95" t="s">
        <v>44</v>
      </c>
      <c r="B19" s="123" t="s">
        <v>64</v>
      </c>
      <c r="C19" s="92" t="s">
        <v>306</v>
      </c>
      <c r="D19" s="96" t="s">
        <v>37</v>
      </c>
      <c r="E19" s="92"/>
      <c r="F19" s="77">
        <v>2</v>
      </c>
      <c r="G19" s="92"/>
      <c r="H19" s="221"/>
      <c r="I19" s="26"/>
      <c r="J19" s="22"/>
      <c r="K19" s="22"/>
      <c r="L19" s="22"/>
      <c r="M19" s="18"/>
    </row>
    <row r="20" spans="1:13" s="5" customFormat="1" ht="36" customHeight="1">
      <c r="A20" s="200"/>
      <c r="B20" s="200" t="s">
        <v>16</v>
      </c>
      <c r="C20" s="201" t="s">
        <v>65</v>
      </c>
      <c r="D20" s="201" t="s">
        <v>17</v>
      </c>
      <c r="E20" s="201">
        <f>1.15*1.51</f>
        <v>1.7365</v>
      </c>
      <c r="F20" s="122">
        <f>F19*E20</f>
        <v>3.473</v>
      </c>
      <c r="G20" s="201"/>
      <c r="H20" s="122"/>
      <c r="I20" s="22"/>
      <c r="J20" s="26"/>
      <c r="K20" s="22"/>
      <c r="L20" s="22"/>
      <c r="M20" s="22"/>
    </row>
    <row r="21" spans="1:13" s="20" customFormat="1" ht="33.75" customHeight="1">
      <c r="A21" s="200"/>
      <c r="B21" s="200" t="s">
        <v>16</v>
      </c>
      <c r="C21" s="201" t="s">
        <v>66</v>
      </c>
      <c r="D21" s="201" t="s">
        <v>28</v>
      </c>
      <c r="E21" s="148">
        <f>1.15*0.13</f>
        <v>0.1495</v>
      </c>
      <c r="F21" s="122">
        <f>F19*E21</f>
        <v>0.299</v>
      </c>
      <c r="G21" s="97"/>
      <c r="H21" s="122"/>
      <c r="I21" s="22"/>
      <c r="J21" s="26"/>
      <c r="K21" s="22"/>
      <c r="L21" s="22"/>
      <c r="M21" s="22"/>
    </row>
    <row r="22" spans="1:13" s="20" customFormat="1" ht="29.25" customHeight="1">
      <c r="A22" s="200"/>
      <c r="B22" s="200" t="s">
        <v>307</v>
      </c>
      <c r="C22" s="201" t="s">
        <v>308</v>
      </c>
      <c r="D22" s="201" t="s">
        <v>37</v>
      </c>
      <c r="E22" s="133">
        <v>1</v>
      </c>
      <c r="F22" s="122">
        <f>E22*F19</f>
        <v>2</v>
      </c>
      <c r="G22" s="97"/>
      <c r="H22" s="122"/>
      <c r="I22" s="24"/>
      <c r="J22" s="23"/>
      <c r="K22" s="23"/>
      <c r="L22" s="23"/>
      <c r="M22" s="2"/>
    </row>
    <row r="23" spans="1:13" s="5" customFormat="1" ht="27" customHeight="1">
      <c r="A23" s="200"/>
      <c r="B23" s="97" t="s">
        <v>16</v>
      </c>
      <c r="C23" s="201" t="s">
        <v>30</v>
      </c>
      <c r="D23" s="201" t="s">
        <v>28</v>
      </c>
      <c r="E23" s="97">
        <v>0.07</v>
      </c>
      <c r="F23" s="122">
        <f>F19*E23</f>
        <v>0.14</v>
      </c>
      <c r="G23" s="97"/>
      <c r="H23" s="122"/>
      <c r="I23" s="26"/>
      <c r="J23" s="22"/>
      <c r="K23" s="22"/>
      <c r="L23" s="22"/>
      <c r="M23" s="2"/>
    </row>
    <row r="24" spans="1:13" s="23" customFormat="1" ht="53.25" customHeight="1">
      <c r="A24" s="95" t="s">
        <v>45</v>
      </c>
      <c r="B24" s="123" t="s">
        <v>64</v>
      </c>
      <c r="C24" s="92" t="s">
        <v>175</v>
      </c>
      <c r="D24" s="96" t="s">
        <v>37</v>
      </c>
      <c r="E24" s="92"/>
      <c r="F24" s="77">
        <v>5</v>
      </c>
      <c r="G24" s="92"/>
      <c r="H24" s="221"/>
      <c r="I24" s="7"/>
      <c r="J24" s="6"/>
      <c r="K24" s="3"/>
      <c r="L24" s="3"/>
      <c r="M24" s="3"/>
    </row>
    <row r="25" spans="1:13" s="23" customFormat="1" ht="30" customHeight="1">
      <c r="A25" s="200"/>
      <c r="B25" s="200" t="s">
        <v>16</v>
      </c>
      <c r="C25" s="201" t="s">
        <v>65</v>
      </c>
      <c r="D25" s="201" t="s">
        <v>17</v>
      </c>
      <c r="E25" s="201">
        <f>1.15*1.51</f>
        <v>1.7365</v>
      </c>
      <c r="F25" s="122">
        <f>F24*E25</f>
        <v>8.6825</v>
      </c>
      <c r="G25" s="201"/>
      <c r="H25" s="122"/>
      <c r="I25" s="7"/>
      <c r="J25" s="6"/>
      <c r="K25" s="3"/>
      <c r="L25" s="3"/>
      <c r="M25" s="28"/>
    </row>
    <row r="26" spans="1:13" s="23" customFormat="1" ht="33" customHeight="1">
      <c r="A26" s="200"/>
      <c r="B26" s="200" t="s">
        <v>16</v>
      </c>
      <c r="C26" s="201" t="s">
        <v>66</v>
      </c>
      <c r="D26" s="201" t="s">
        <v>28</v>
      </c>
      <c r="E26" s="148">
        <f>1.15*0.13</f>
        <v>0.1495</v>
      </c>
      <c r="F26" s="122">
        <f>F24*E26</f>
        <v>0.7474999999999999</v>
      </c>
      <c r="G26" s="97"/>
      <c r="H26" s="122"/>
      <c r="I26" s="7"/>
      <c r="J26" s="6"/>
      <c r="K26" s="3"/>
      <c r="L26" s="3"/>
      <c r="M26" s="3"/>
    </row>
    <row r="27" spans="1:13" s="22" customFormat="1" ht="29.25" customHeight="1">
      <c r="A27" s="200"/>
      <c r="B27" s="200" t="s">
        <v>14</v>
      </c>
      <c r="C27" s="201" t="s">
        <v>176</v>
      </c>
      <c r="D27" s="201" t="s">
        <v>37</v>
      </c>
      <c r="E27" s="148">
        <v>1</v>
      </c>
      <c r="F27" s="122">
        <f>E27*F24</f>
        <v>5</v>
      </c>
      <c r="G27" s="97"/>
      <c r="H27" s="122"/>
      <c r="I27" s="7"/>
      <c r="J27" s="6"/>
      <c r="K27" s="3"/>
      <c r="L27" s="3"/>
      <c r="M27" s="3"/>
    </row>
    <row r="28" spans="1:8" ht="26.25" customHeight="1">
      <c r="A28" s="200"/>
      <c r="B28" s="97" t="s">
        <v>16</v>
      </c>
      <c r="C28" s="201" t="s">
        <v>30</v>
      </c>
      <c r="D28" s="201" t="s">
        <v>28</v>
      </c>
      <c r="E28" s="97">
        <v>0.07</v>
      </c>
      <c r="F28" s="122">
        <f>F24*E28</f>
        <v>0.35000000000000003</v>
      </c>
      <c r="G28" s="97"/>
      <c r="H28" s="122"/>
    </row>
    <row r="29" spans="1:8" ht="51" customHeight="1">
      <c r="A29" s="95" t="s">
        <v>47</v>
      </c>
      <c r="B29" s="123" t="s">
        <v>109</v>
      </c>
      <c r="C29" s="92" t="s">
        <v>149</v>
      </c>
      <c r="D29" s="96" t="s">
        <v>37</v>
      </c>
      <c r="E29" s="92"/>
      <c r="F29" s="77">
        <v>3</v>
      </c>
      <c r="G29" s="92"/>
      <c r="H29" s="129"/>
    </row>
    <row r="30" spans="1:8" ht="27.75" customHeight="1">
      <c r="A30" s="73"/>
      <c r="B30" s="52" t="s">
        <v>16</v>
      </c>
      <c r="C30" s="52" t="s">
        <v>110</v>
      </c>
      <c r="D30" s="52" t="s">
        <v>17</v>
      </c>
      <c r="E30" s="125">
        <f>1.15*0.82</f>
        <v>0.9429999999999998</v>
      </c>
      <c r="F30" s="59">
        <f>F29*E30</f>
        <v>2.8289999999999997</v>
      </c>
      <c r="G30" s="52"/>
      <c r="H30" s="122"/>
    </row>
    <row r="31" spans="1:8" ht="30.75" customHeight="1">
      <c r="A31" s="73"/>
      <c r="B31" s="52" t="s">
        <v>16</v>
      </c>
      <c r="C31" s="52" t="s">
        <v>63</v>
      </c>
      <c r="D31" s="52" t="s">
        <v>28</v>
      </c>
      <c r="E31" s="125">
        <f>1.15*0.01</f>
        <v>0.0115</v>
      </c>
      <c r="F31" s="59">
        <f>F29*E31</f>
        <v>0.0345</v>
      </c>
      <c r="G31" s="58"/>
      <c r="H31" s="59"/>
    </row>
    <row r="32" spans="1:8" ht="30" customHeight="1">
      <c r="A32" s="200"/>
      <c r="B32" s="201" t="s">
        <v>14</v>
      </c>
      <c r="C32" s="201" t="s">
        <v>177</v>
      </c>
      <c r="D32" s="201" t="s">
        <v>37</v>
      </c>
      <c r="E32" s="104">
        <v>1</v>
      </c>
      <c r="F32" s="122">
        <f>E32*F29</f>
        <v>3</v>
      </c>
      <c r="G32" s="97"/>
      <c r="H32" s="122"/>
    </row>
    <row r="33" spans="1:8" ht="24" customHeight="1">
      <c r="A33" s="73"/>
      <c r="B33" s="52" t="s">
        <v>16</v>
      </c>
      <c r="C33" s="52" t="s">
        <v>30</v>
      </c>
      <c r="D33" s="52" t="s">
        <v>28</v>
      </c>
      <c r="E33" s="113">
        <v>0.07</v>
      </c>
      <c r="F33" s="59">
        <f>F29*E33</f>
        <v>0.21000000000000002</v>
      </c>
      <c r="G33" s="58"/>
      <c r="H33" s="59"/>
    </row>
    <row r="34" spans="1:8" ht="36" customHeight="1">
      <c r="A34" s="154"/>
      <c r="B34" s="155"/>
      <c r="C34" s="156" t="s">
        <v>178</v>
      </c>
      <c r="D34" s="157"/>
      <c r="E34" s="157"/>
      <c r="F34" s="157"/>
      <c r="G34" s="157"/>
      <c r="H34" s="223"/>
    </row>
    <row r="35" spans="1:8" ht="51.75" customHeight="1">
      <c r="A35" s="75" t="s">
        <v>25</v>
      </c>
      <c r="B35" s="61" t="s">
        <v>111</v>
      </c>
      <c r="C35" s="53" t="s">
        <v>179</v>
      </c>
      <c r="D35" s="53" t="s">
        <v>48</v>
      </c>
      <c r="E35" s="53"/>
      <c r="F35" s="115">
        <v>6</v>
      </c>
      <c r="G35" s="53"/>
      <c r="H35" s="221"/>
    </row>
    <row r="36" spans="1:8" ht="30" customHeight="1">
      <c r="A36" s="73"/>
      <c r="B36" s="73" t="s">
        <v>16</v>
      </c>
      <c r="C36" s="52" t="s">
        <v>112</v>
      </c>
      <c r="D36" s="52" t="s">
        <v>17</v>
      </c>
      <c r="E36" s="125">
        <f>1.15*0.609</f>
        <v>0.7003499999999999</v>
      </c>
      <c r="F36" s="59">
        <f>F35*E36</f>
        <v>4.2021</v>
      </c>
      <c r="G36" s="52"/>
      <c r="H36" s="122"/>
    </row>
    <row r="37" spans="1:8" ht="27" customHeight="1">
      <c r="A37" s="73"/>
      <c r="B37" s="73" t="s">
        <v>16</v>
      </c>
      <c r="C37" s="52" t="s">
        <v>113</v>
      </c>
      <c r="D37" s="52" t="s">
        <v>28</v>
      </c>
      <c r="E37" s="125">
        <f>1.15*0.0021</f>
        <v>0.0024149999999999996</v>
      </c>
      <c r="F37" s="59">
        <f>F35*E37</f>
        <v>0.014489999999999998</v>
      </c>
      <c r="G37" s="58"/>
      <c r="H37" s="122"/>
    </row>
    <row r="38" spans="1:8" ht="26.25" customHeight="1">
      <c r="A38" s="73"/>
      <c r="B38" s="73" t="s">
        <v>14</v>
      </c>
      <c r="C38" s="52" t="s">
        <v>180</v>
      </c>
      <c r="D38" s="52" t="s">
        <v>48</v>
      </c>
      <c r="E38" s="100">
        <v>1</v>
      </c>
      <c r="F38" s="59">
        <f>E38*F35</f>
        <v>6</v>
      </c>
      <c r="G38" s="58"/>
      <c r="H38" s="122"/>
    </row>
    <row r="39" spans="1:8" ht="30.75" customHeight="1">
      <c r="A39" s="73"/>
      <c r="B39" s="73" t="s">
        <v>14</v>
      </c>
      <c r="C39" s="52" t="s">
        <v>181</v>
      </c>
      <c r="D39" s="52" t="s">
        <v>37</v>
      </c>
      <c r="E39" s="100"/>
      <c r="F39" s="59">
        <v>36</v>
      </c>
      <c r="G39" s="58"/>
      <c r="H39" s="122"/>
    </row>
    <row r="40" spans="1:8" ht="22.5" customHeight="1">
      <c r="A40" s="73"/>
      <c r="B40" s="58" t="s">
        <v>16</v>
      </c>
      <c r="C40" s="52" t="s">
        <v>30</v>
      </c>
      <c r="D40" s="52" t="s">
        <v>28</v>
      </c>
      <c r="E40" s="58">
        <v>0.156</v>
      </c>
      <c r="F40" s="59">
        <f>F35*E40</f>
        <v>0.9359999999999999</v>
      </c>
      <c r="G40" s="58"/>
      <c r="H40" s="59"/>
    </row>
    <row r="41" spans="1:8" ht="51" customHeight="1">
      <c r="A41" s="75" t="s">
        <v>43</v>
      </c>
      <c r="B41" s="61" t="s">
        <v>114</v>
      </c>
      <c r="C41" s="53" t="s">
        <v>182</v>
      </c>
      <c r="D41" s="53" t="s">
        <v>48</v>
      </c>
      <c r="E41" s="53"/>
      <c r="F41" s="151">
        <v>14</v>
      </c>
      <c r="G41" s="53"/>
      <c r="H41" s="221"/>
    </row>
    <row r="42" spans="1:8" ht="30" customHeight="1">
      <c r="A42" s="73"/>
      <c r="B42" s="73" t="s">
        <v>16</v>
      </c>
      <c r="C42" s="52" t="s">
        <v>115</v>
      </c>
      <c r="D42" s="52" t="s">
        <v>17</v>
      </c>
      <c r="E42" s="125">
        <f>1.15*0.583</f>
        <v>0.6704499999999999</v>
      </c>
      <c r="F42" s="59">
        <f>F41*E42</f>
        <v>9.386299999999999</v>
      </c>
      <c r="G42" s="52"/>
      <c r="H42" s="122"/>
    </row>
    <row r="43" spans="1:8" ht="24.75" customHeight="1">
      <c r="A43" s="73"/>
      <c r="B43" s="73" t="s">
        <v>16</v>
      </c>
      <c r="C43" s="52" t="s">
        <v>116</v>
      </c>
      <c r="D43" s="52" t="s">
        <v>28</v>
      </c>
      <c r="E43" s="125">
        <f>1.15*0.0046</f>
        <v>0.0052899999999999996</v>
      </c>
      <c r="F43" s="59">
        <f>F41*E43</f>
        <v>0.07405999999999999</v>
      </c>
      <c r="G43" s="58"/>
      <c r="H43" s="122"/>
    </row>
    <row r="44" spans="1:8" ht="24" customHeight="1">
      <c r="A44" s="73"/>
      <c r="B44" s="73" t="s">
        <v>14</v>
      </c>
      <c r="C44" s="52" t="s">
        <v>183</v>
      </c>
      <c r="D44" s="52" t="s">
        <v>48</v>
      </c>
      <c r="E44" s="100">
        <v>1</v>
      </c>
      <c r="F44" s="59">
        <f>E44*F41</f>
        <v>14</v>
      </c>
      <c r="G44" s="58"/>
      <c r="H44" s="122"/>
    </row>
    <row r="45" spans="1:8" ht="28.5" customHeight="1">
      <c r="A45" s="73"/>
      <c r="B45" s="73" t="s">
        <v>14</v>
      </c>
      <c r="C45" s="52" t="s">
        <v>184</v>
      </c>
      <c r="D45" s="52" t="s">
        <v>37</v>
      </c>
      <c r="E45" s="100"/>
      <c r="F45" s="59">
        <v>40</v>
      </c>
      <c r="G45" s="58"/>
      <c r="H45" s="122"/>
    </row>
    <row r="46" spans="1:8" ht="28.5" customHeight="1">
      <c r="A46" s="73"/>
      <c r="B46" s="58" t="s">
        <v>16</v>
      </c>
      <c r="C46" s="52" t="s">
        <v>30</v>
      </c>
      <c r="D46" s="52" t="s">
        <v>28</v>
      </c>
      <c r="E46" s="58">
        <v>0.208</v>
      </c>
      <c r="F46" s="59">
        <f>F41*E46</f>
        <v>2.912</v>
      </c>
      <c r="G46" s="58"/>
      <c r="H46" s="59"/>
    </row>
    <row r="47" spans="1:11" s="136" customFormat="1" ht="49.5" customHeight="1">
      <c r="A47" s="78">
        <v>3</v>
      </c>
      <c r="B47" s="61" t="s">
        <v>69</v>
      </c>
      <c r="C47" s="53" t="s">
        <v>338</v>
      </c>
      <c r="D47" s="62" t="s">
        <v>85</v>
      </c>
      <c r="E47" s="62"/>
      <c r="F47" s="210">
        <v>1</v>
      </c>
      <c r="G47" s="62"/>
      <c r="H47" s="222"/>
      <c r="I47" s="83">
        <f>H52/F52</f>
        <v>0</v>
      </c>
      <c r="J47" s="84">
        <f>H52</f>
        <v>0</v>
      </c>
      <c r="K47" s="142"/>
    </row>
    <row r="48" spans="1:12" s="85" customFormat="1" ht="38.25" customHeight="1">
      <c r="A48" s="73"/>
      <c r="B48" s="45" t="s">
        <v>16</v>
      </c>
      <c r="C48" s="52" t="s">
        <v>70</v>
      </c>
      <c r="D48" s="58" t="s">
        <v>17</v>
      </c>
      <c r="E48" s="58">
        <f>1.15*17</f>
        <v>19.549999999999997</v>
      </c>
      <c r="F48" s="59">
        <f>E48*F47</f>
        <v>19.549999999999997</v>
      </c>
      <c r="G48" s="58"/>
      <c r="H48" s="122"/>
      <c r="I48" s="137"/>
      <c r="J48" s="84">
        <f>H53</f>
        <v>0</v>
      </c>
      <c r="K48" s="143">
        <f>H53</f>
        <v>0</v>
      </c>
      <c r="L48" s="50"/>
    </row>
    <row r="49" spans="1:11" s="69" customFormat="1" ht="32.25" customHeight="1">
      <c r="A49" s="73"/>
      <c r="B49" s="60" t="s">
        <v>14</v>
      </c>
      <c r="C49" s="52" t="s">
        <v>301</v>
      </c>
      <c r="D49" s="58" t="s">
        <v>26</v>
      </c>
      <c r="E49" s="58">
        <v>1.02</v>
      </c>
      <c r="F49" s="58">
        <f>F47*E49</f>
        <v>1.02</v>
      </c>
      <c r="G49" s="58"/>
      <c r="H49" s="122"/>
      <c r="I49" s="88"/>
      <c r="J49" s="138" t="e">
        <f>SUM(J16:J48)/2</f>
        <v>#REF!</v>
      </c>
      <c r="K49" s="137"/>
    </row>
    <row r="50" spans="1:11" s="69" customFormat="1" ht="29.25" customHeight="1">
      <c r="A50" s="73"/>
      <c r="B50" s="60" t="s">
        <v>14</v>
      </c>
      <c r="C50" s="52" t="s">
        <v>68</v>
      </c>
      <c r="D50" s="58" t="s">
        <v>71</v>
      </c>
      <c r="E50" s="58">
        <v>0.2</v>
      </c>
      <c r="F50" s="59">
        <f>F47*E50</f>
        <v>0.2</v>
      </c>
      <c r="G50" s="58"/>
      <c r="H50" s="122"/>
      <c r="I50" s="88"/>
      <c r="J50" s="51"/>
      <c r="K50" s="50"/>
    </row>
    <row r="51" spans="1:11" s="69" customFormat="1" ht="34.5" customHeight="1">
      <c r="A51" s="73"/>
      <c r="B51" s="45" t="s">
        <v>16</v>
      </c>
      <c r="C51" s="52" t="s">
        <v>72</v>
      </c>
      <c r="D51" s="58" t="s">
        <v>28</v>
      </c>
      <c r="E51" s="58">
        <v>1.08</v>
      </c>
      <c r="F51" s="59">
        <f>E51*F47</f>
        <v>1.08</v>
      </c>
      <c r="G51" s="58"/>
      <c r="H51" s="122"/>
      <c r="I51" s="88"/>
      <c r="J51" s="138"/>
      <c r="K51" s="50"/>
    </row>
    <row r="52" spans="1:8" ht="54" customHeight="1">
      <c r="A52" s="75" t="s">
        <v>45</v>
      </c>
      <c r="B52" s="61" t="s">
        <v>118</v>
      </c>
      <c r="C52" s="53" t="s">
        <v>185</v>
      </c>
      <c r="D52" s="62" t="s">
        <v>62</v>
      </c>
      <c r="E52" s="53"/>
      <c r="F52" s="78">
        <v>3</v>
      </c>
      <c r="G52" s="53"/>
      <c r="H52" s="221"/>
    </row>
    <row r="53" spans="1:8" ht="24.75" customHeight="1">
      <c r="A53" s="73"/>
      <c r="B53" s="57" t="s">
        <v>16</v>
      </c>
      <c r="C53" s="52" t="s">
        <v>119</v>
      </c>
      <c r="D53" s="52" t="s">
        <v>17</v>
      </c>
      <c r="E53" s="52">
        <f>1.15*1.56</f>
        <v>1.7939999999999998</v>
      </c>
      <c r="F53" s="59">
        <f>F52*E53</f>
        <v>5.382</v>
      </c>
      <c r="G53" s="52"/>
      <c r="H53" s="122"/>
    </row>
    <row r="54" spans="1:8" ht="24" customHeight="1">
      <c r="A54" s="73"/>
      <c r="B54" s="57" t="s">
        <v>16</v>
      </c>
      <c r="C54" s="52" t="s">
        <v>67</v>
      </c>
      <c r="D54" s="52" t="s">
        <v>28</v>
      </c>
      <c r="E54" s="100">
        <f>1.15*0.06</f>
        <v>0.06899999999999999</v>
      </c>
      <c r="F54" s="59">
        <f>F52*E54</f>
        <v>0.20699999999999996</v>
      </c>
      <c r="G54" s="58"/>
      <c r="H54" s="59"/>
    </row>
    <row r="55" spans="1:8" ht="28.5" customHeight="1">
      <c r="A55" s="73"/>
      <c r="B55" s="119" t="s">
        <v>14</v>
      </c>
      <c r="C55" s="52" t="s">
        <v>186</v>
      </c>
      <c r="D55" s="58" t="s">
        <v>62</v>
      </c>
      <c r="E55" s="58">
        <v>1</v>
      </c>
      <c r="F55" s="111">
        <f>F52*E55</f>
        <v>3</v>
      </c>
      <c r="G55" s="58"/>
      <c r="H55" s="59"/>
    </row>
    <row r="56" spans="1:8" ht="29.25" customHeight="1">
      <c r="A56" s="73"/>
      <c r="B56" s="120" t="s">
        <v>16</v>
      </c>
      <c r="C56" s="52" t="s">
        <v>30</v>
      </c>
      <c r="D56" s="52" t="s">
        <v>28</v>
      </c>
      <c r="E56" s="58">
        <v>0.29</v>
      </c>
      <c r="F56" s="59">
        <f>F52*E56</f>
        <v>0.8699999999999999</v>
      </c>
      <c r="G56" s="58"/>
      <c r="H56" s="59"/>
    </row>
    <row r="57" spans="1:9" s="5" customFormat="1" ht="58.5" customHeight="1">
      <c r="A57" s="95" t="s">
        <v>47</v>
      </c>
      <c r="B57" s="123" t="s">
        <v>125</v>
      </c>
      <c r="C57" s="92" t="s">
        <v>187</v>
      </c>
      <c r="D57" s="96" t="s">
        <v>62</v>
      </c>
      <c r="E57" s="92"/>
      <c r="F57" s="77">
        <v>2</v>
      </c>
      <c r="G57" s="53"/>
      <c r="H57" s="221"/>
      <c r="I57" s="6"/>
    </row>
    <row r="58" spans="1:8" ht="27.75" customHeight="1">
      <c r="A58" s="200"/>
      <c r="B58" s="93" t="s">
        <v>16</v>
      </c>
      <c r="C58" s="201" t="s">
        <v>126</v>
      </c>
      <c r="D58" s="201" t="s">
        <v>17</v>
      </c>
      <c r="E58" s="201">
        <f>1.15*2.44</f>
        <v>2.8059999999999996</v>
      </c>
      <c r="F58" s="122">
        <f>F57*E58</f>
        <v>5.611999999999999</v>
      </c>
      <c r="G58" s="52"/>
      <c r="H58" s="122"/>
    </row>
    <row r="59" spans="1:8" ht="26.25" customHeight="1">
      <c r="A59" s="200"/>
      <c r="B59" s="93" t="s">
        <v>16</v>
      </c>
      <c r="C59" s="201" t="s">
        <v>66</v>
      </c>
      <c r="D59" s="201" t="s">
        <v>28</v>
      </c>
      <c r="E59" s="148">
        <f>1.15*0.13</f>
        <v>0.1495</v>
      </c>
      <c r="F59" s="122">
        <f>F57*E59</f>
        <v>0.299</v>
      </c>
      <c r="G59" s="58"/>
      <c r="H59" s="59"/>
    </row>
    <row r="60" spans="1:8" ht="28.5" customHeight="1">
      <c r="A60" s="200"/>
      <c r="B60" s="119" t="s">
        <v>14</v>
      </c>
      <c r="C60" s="201" t="s">
        <v>188</v>
      </c>
      <c r="D60" s="97" t="s">
        <v>62</v>
      </c>
      <c r="E60" s="97">
        <v>1</v>
      </c>
      <c r="F60" s="124">
        <f>E60*F57</f>
        <v>2</v>
      </c>
      <c r="G60" s="58"/>
      <c r="H60" s="59"/>
    </row>
    <row r="61" spans="1:8" ht="26.25" customHeight="1">
      <c r="A61" s="200"/>
      <c r="B61" s="119" t="s">
        <v>16</v>
      </c>
      <c r="C61" s="201" t="s">
        <v>55</v>
      </c>
      <c r="D61" s="201" t="s">
        <v>28</v>
      </c>
      <c r="E61" s="97">
        <v>0.94</v>
      </c>
      <c r="F61" s="122">
        <f>F57*E61</f>
        <v>1.88</v>
      </c>
      <c r="G61" s="58"/>
      <c r="H61" s="59"/>
    </row>
    <row r="62" spans="1:8" ht="54.75" customHeight="1">
      <c r="A62" s="92">
        <v>6</v>
      </c>
      <c r="B62" s="92" t="s">
        <v>189</v>
      </c>
      <c r="C62" s="92" t="s">
        <v>190</v>
      </c>
      <c r="D62" s="92" t="s">
        <v>37</v>
      </c>
      <c r="E62" s="204"/>
      <c r="F62" s="92">
        <v>3</v>
      </c>
      <c r="G62" s="132"/>
      <c r="H62" s="221"/>
    </row>
    <row r="63" spans="1:8" ht="33.75" customHeight="1">
      <c r="A63" s="132"/>
      <c r="B63" s="132" t="s">
        <v>16</v>
      </c>
      <c r="C63" s="201" t="s">
        <v>191</v>
      </c>
      <c r="D63" s="132" t="s">
        <v>192</v>
      </c>
      <c r="E63" s="132">
        <f>1.15*1.85</f>
        <v>2.1275</v>
      </c>
      <c r="F63" s="158">
        <f>F62*E63</f>
        <v>6.3825</v>
      </c>
      <c r="G63" s="132"/>
      <c r="H63" s="104"/>
    </row>
    <row r="64" spans="1:8" ht="28.5" customHeight="1">
      <c r="A64" s="132"/>
      <c r="B64" s="132" t="s">
        <v>16</v>
      </c>
      <c r="C64" s="201" t="s">
        <v>193</v>
      </c>
      <c r="D64" s="132" t="s">
        <v>194</v>
      </c>
      <c r="E64" s="132">
        <f>0.03*1.15</f>
        <v>0.034499999999999996</v>
      </c>
      <c r="F64" s="158">
        <f>E64*F62</f>
        <v>0.10349999999999998</v>
      </c>
      <c r="G64" s="132"/>
      <c r="H64" s="104"/>
    </row>
    <row r="65" spans="1:8" ht="27.75" customHeight="1">
      <c r="A65" s="132"/>
      <c r="B65" s="132" t="s">
        <v>14</v>
      </c>
      <c r="C65" s="201" t="s">
        <v>195</v>
      </c>
      <c r="D65" s="132" t="s">
        <v>196</v>
      </c>
      <c r="E65" s="132">
        <v>1</v>
      </c>
      <c r="F65" s="132">
        <f>F62*E65</f>
        <v>3</v>
      </c>
      <c r="G65" s="132"/>
      <c r="H65" s="104"/>
    </row>
    <row r="66" spans="1:8" ht="28.5" customHeight="1">
      <c r="A66" s="132"/>
      <c r="B66" s="132" t="s">
        <v>16</v>
      </c>
      <c r="C66" s="132" t="s">
        <v>197</v>
      </c>
      <c r="D66" s="132" t="s">
        <v>194</v>
      </c>
      <c r="E66" s="132">
        <v>0.18</v>
      </c>
      <c r="F66" s="159">
        <f>E66*F62</f>
        <v>0.54</v>
      </c>
      <c r="G66" s="132"/>
      <c r="H66" s="104"/>
    </row>
    <row r="67" spans="1:8" ht="29.25" customHeight="1">
      <c r="A67" s="132"/>
      <c r="B67" s="132"/>
      <c r="C67" s="160" t="s">
        <v>198</v>
      </c>
      <c r="D67" s="132"/>
      <c r="E67" s="132"/>
      <c r="F67" s="159"/>
      <c r="G67" s="132"/>
      <c r="H67" s="104"/>
    </row>
    <row r="68" spans="1:8" ht="53.25" customHeight="1">
      <c r="A68" s="95" t="s">
        <v>25</v>
      </c>
      <c r="B68" s="123" t="s">
        <v>114</v>
      </c>
      <c r="C68" s="92" t="s">
        <v>199</v>
      </c>
      <c r="D68" s="92" t="s">
        <v>50</v>
      </c>
      <c r="E68" s="92"/>
      <c r="F68" s="115">
        <v>4</v>
      </c>
      <c r="G68" s="92"/>
      <c r="H68" s="221"/>
    </row>
    <row r="69" spans="1:8" ht="36" customHeight="1">
      <c r="A69" s="200"/>
      <c r="B69" s="93" t="s">
        <v>16</v>
      </c>
      <c r="C69" s="201" t="s">
        <v>115</v>
      </c>
      <c r="D69" s="201" t="s">
        <v>17</v>
      </c>
      <c r="E69" s="201">
        <f>1.15*0.583</f>
        <v>0.6704499999999999</v>
      </c>
      <c r="F69" s="122">
        <f>F68*E69</f>
        <v>2.6817999999999995</v>
      </c>
      <c r="G69" s="201"/>
      <c r="H69" s="122"/>
    </row>
    <row r="70" spans="1:8" ht="39" customHeight="1">
      <c r="A70" s="200"/>
      <c r="B70" s="93" t="s">
        <v>16</v>
      </c>
      <c r="C70" s="201" t="s">
        <v>116</v>
      </c>
      <c r="D70" s="201" t="s">
        <v>28</v>
      </c>
      <c r="E70" s="161">
        <f>1.15*0.0046</f>
        <v>0.0052899999999999996</v>
      </c>
      <c r="F70" s="122">
        <f>F68*E70</f>
        <v>0.021159999999999998</v>
      </c>
      <c r="G70" s="97"/>
      <c r="H70" s="122"/>
    </row>
    <row r="71" spans="1:8" ht="33.75" customHeight="1">
      <c r="A71" s="200"/>
      <c r="B71" s="162" t="s">
        <v>14</v>
      </c>
      <c r="C71" s="201" t="s">
        <v>200</v>
      </c>
      <c r="D71" s="201" t="s">
        <v>50</v>
      </c>
      <c r="E71" s="201">
        <v>1</v>
      </c>
      <c r="F71" s="104">
        <f>F68*E71</f>
        <v>4</v>
      </c>
      <c r="G71" s="201"/>
      <c r="H71" s="104"/>
    </row>
    <row r="72" spans="1:8" ht="33.75" customHeight="1">
      <c r="A72" s="73"/>
      <c r="B72" s="73" t="s">
        <v>14</v>
      </c>
      <c r="C72" s="52" t="s">
        <v>184</v>
      </c>
      <c r="D72" s="52" t="s">
        <v>37</v>
      </c>
      <c r="E72" s="100"/>
      <c r="F72" s="59">
        <v>5</v>
      </c>
      <c r="G72" s="58"/>
      <c r="H72" s="122"/>
    </row>
    <row r="73" spans="1:8" ht="30" customHeight="1">
      <c r="A73" s="200"/>
      <c r="B73" s="119" t="s">
        <v>16</v>
      </c>
      <c r="C73" s="201" t="s">
        <v>30</v>
      </c>
      <c r="D73" s="201" t="s">
        <v>28</v>
      </c>
      <c r="E73" s="97">
        <v>0.208</v>
      </c>
      <c r="F73" s="122">
        <f>F68*E73</f>
        <v>0.832</v>
      </c>
      <c r="G73" s="97"/>
      <c r="H73" s="122"/>
    </row>
    <row r="74" spans="1:8" ht="42" customHeight="1">
      <c r="A74" s="95" t="s">
        <v>43</v>
      </c>
      <c r="B74" s="123" t="s">
        <v>146</v>
      </c>
      <c r="C74" s="92" t="s">
        <v>201</v>
      </c>
      <c r="D74" s="96" t="s">
        <v>202</v>
      </c>
      <c r="E74" s="92"/>
      <c r="F74" s="77">
        <v>2</v>
      </c>
      <c r="G74" s="92"/>
      <c r="H74" s="221"/>
    </row>
    <row r="75" spans="1:8" ht="35.25" customHeight="1">
      <c r="A75" s="200"/>
      <c r="B75" s="93" t="s">
        <v>16</v>
      </c>
      <c r="C75" s="201" t="s">
        <v>147</v>
      </c>
      <c r="D75" s="201" t="s">
        <v>17</v>
      </c>
      <c r="E75" s="201">
        <f>1.15*1.52</f>
        <v>1.7479999999999998</v>
      </c>
      <c r="F75" s="122">
        <f>F74*E75</f>
        <v>3.4959999999999996</v>
      </c>
      <c r="G75" s="201"/>
      <c r="H75" s="122"/>
    </row>
    <row r="76" spans="1:8" ht="26.25" customHeight="1">
      <c r="A76" s="200"/>
      <c r="B76" s="119" t="s">
        <v>14</v>
      </c>
      <c r="C76" s="201" t="s">
        <v>203</v>
      </c>
      <c r="D76" s="97" t="s">
        <v>37</v>
      </c>
      <c r="E76" s="97">
        <v>1</v>
      </c>
      <c r="F76" s="124">
        <f>E76*F74</f>
        <v>2</v>
      </c>
      <c r="G76" s="97"/>
      <c r="H76" s="122"/>
    </row>
    <row r="77" spans="1:8" ht="32.25" customHeight="1">
      <c r="A77" s="200"/>
      <c r="B77" s="119" t="s">
        <v>14</v>
      </c>
      <c r="C77" s="201" t="s">
        <v>204</v>
      </c>
      <c r="D77" s="97" t="s">
        <v>37</v>
      </c>
      <c r="E77" s="97">
        <v>1</v>
      </c>
      <c r="F77" s="124">
        <f>E77*F74</f>
        <v>2</v>
      </c>
      <c r="G77" s="97"/>
      <c r="H77" s="122"/>
    </row>
    <row r="78" spans="1:8" ht="29.25" customHeight="1">
      <c r="A78" s="200"/>
      <c r="B78" s="119" t="s">
        <v>16</v>
      </c>
      <c r="C78" s="201" t="s">
        <v>30</v>
      </c>
      <c r="D78" s="201" t="s">
        <v>28</v>
      </c>
      <c r="E78" s="97">
        <v>0.82</v>
      </c>
      <c r="F78" s="122">
        <f>F74*E78</f>
        <v>1.64</v>
      </c>
      <c r="G78" s="97"/>
      <c r="H78" s="122"/>
    </row>
    <row r="79" spans="1:8" ht="29.25" customHeight="1">
      <c r="A79" s="82"/>
      <c r="B79" s="57"/>
      <c r="C79" s="53" t="s">
        <v>3</v>
      </c>
      <c r="D79" s="52" t="s">
        <v>28</v>
      </c>
      <c r="E79" s="52"/>
      <c r="F79" s="100"/>
      <c r="G79" s="52"/>
      <c r="H79" s="80">
        <f>H9+H19+H24+H29+H35+H41+H52+H57+H62+H68+H74+H14+H47</f>
        <v>0</v>
      </c>
    </row>
    <row r="80" spans="1:8" ht="30.75" customHeight="1">
      <c r="A80" s="82"/>
      <c r="B80" s="57"/>
      <c r="C80" s="52" t="s">
        <v>136</v>
      </c>
      <c r="D80" s="52" t="s">
        <v>28</v>
      </c>
      <c r="E80" s="52"/>
      <c r="F80" s="147">
        <v>0.12</v>
      </c>
      <c r="G80" s="52"/>
      <c r="H80" s="59">
        <f>H79*F80</f>
        <v>0</v>
      </c>
    </row>
    <row r="81" spans="1:8" ht="34.5" customHeight="1">
      <c r="A81" s="78"/>
      <c r="B81" s="61"/>
      <c r="C81" s="53" t="s">
        <v>75</v>
      </c>
      <c r="D81" s="53" t="s">
        <v>28</v>
      </c>
      <c r="E81" s="53"/>
      <c r="F81" s="53"/>
      <c r="G81" s="53"/>
      <c r="H81" s="80">
        <f>SUM(H79:H80)</f>
        <v>0</v>
      </c>
    </row>
    <row r="82" spans="1:8" ht="26.25" customHeight="1">
      <c r="A82" s="82"/>
      <c r="B82" s="57"/>
      <c r="C82" s="52" t="s">
        <v>29</v>
      </c>
      <c r="D82" s="52" t="s">
        <v>28</v>
      </c>
      <c r="E82" s="52"/>
      <c r="F82" s="147">
        <v>0.08</v>
      </c>
      <c r="G82" s="52"/>
      <c r="H82" s="59">
        <f>H81*F82</f>
        <v>0</v>
      </c>
    </row>
    <row r="83" spans="1:8" ht="32.25" customHeight="1">
      <c r="A83" s="78"/>
      <c r="B83" s="61"/>
      <c r="C83" s="53" t="s">
        <v>205</v>
      </c>
      <c r="D83" s="53" t="s">
        <v>28</v>
      </c>
      <c r="E83" s="53"/>
      <c r="F83" s="163"/>
      <c r="G83" s="53"/>
      <c r="H83" s="80">
        <f>SUM(H81:H82)</f>
        <v>0</v>
      </c>
    </row>
    <row r="84" spans="1:8" ht="15.75">
      <c r="A84" s="164"/>
      <c r="B84" s="68"/>
      <c r="C84" s="165"/>
      <c r="D84" s="69"/>
      <c r="E84" s="166"/>
      <c r="F84" s="166"/>
      <c r="G84" s="166"/>
      <c r="H84" s="88"/>
    </row>
    <row r="85" spans="1:8" ht="15.75">
      <c r="A85" s="164"/>
      <c r="B85" s="68"/>
      <c r="C85" s="165"/>
      <c r="D85" s="69"/>
      <c r="E85" s="166"/>
      <c r="F85" s="166"/>
      <c r="G85" s="166"/>
      <c r="H85" s="88"/>
    </row>
    <row r="86" spans="1:8" ht="15.75">
      <c r="A86" s="164"/>
      <c r="B86" s="68"/>
      <c r="C86" s="165"/>
      <c r="D86" s="69"/>
      <c r="E86" s="166"/>
      <c r="F86" s="166"/>
      <c r="G86" s="166"/>
      <c r="H86" s="88"/>
    </row>
    <row r="87" spans="1:8" ht="15.75">
      <c r="A87" s="46"/>
      <c r="B87" s="68"/>
      <c r="C87" s="49"/>
      <c r="D87" s="230"/>
      <c r="E87" s="230"/>
      <c r="F87" s="230"/>
      <c r="G87" s="167"/>
      <c r="H87" s="138"/>
    </row>
  </sheetData>
  <sheetProtection/>
  <mergeCells count="11">
    <mergeCell ref="A5:A6"/>
    <mergeCell ref="B5:B6"/>
    <mergeCell ref="C5:C6"/>
    <mergeCell ref="D5:D6"/>
    <mergeCell ref="E5:F5"/>
    <mergeCell ref="G5:H5"/>
    <mergeCell ref="D87:F87"/>
    <mergeCell ref="A1:H1"/>
    <mergeCell ref="A2:H2"/>
    <mergeCell ref="A3:H3"/>
    <mergeCell ref="A4:H4"/>
  </mergeCells>
  <printOptions/>
  <pageMargins left="0.48" right="0.32" top="0.4" bottom="0.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01"/>
  <sheetViews>
    <sheetView zoomScalePageLayoutView="0" workbookViewId="0" topLeftCell="A1">
      <selection activeCell="H91" sqref="G8:H91"/>
    </sheetView>
  </sheetViews>
  <sheetFormatPr defaultColWidth="9.140625" defaultRowHeight="12.75"/>
  <cols>
    <col min="1" max="1" width="4.140625" style="8" customWidth="1"/>
    <col min="2" max="2" width="11.00390625" style="9" customWidth="1"/>
    <col min="3" max="3" width="39.28125" style="1" customWidth="1"/>
    <col min="4" max="4" width="7.421875" style="1" customWidth="1"/>
    <col min="5" max="5" width="6.7109375" style="1" customWidth="1"/>
    <col min="6" max="6" width="7.421875" style="1" customWidth="1"/>
    <col min="7" max="7" width="6.8515625" style="1" customWidth="1"/>
    <col min="8" max="8" width="8.7109375" style="7" customWidth="1"/>
    <col min="9" max="9" width="9.00390625" style="7" hidden="1" customWidth="1"/>
    <col min="10" max="10" width="10.57421875" style="6" hidden="1" customWidth="1"/>
    <col min="11" max="11" width="7.57421875" style="3" hidden="1" customWidth="1"/>
    <col min="12" max="12" width="9.140625" style="3" hidden="1" customWidth="1"/>
    <col min="13" max="14" width="0" style="3" hidden="1" customWidth="1"/>
    <col min="15" max="16384" width="9.140625" style="1" customWidth="1"/>
  </cols>
  <sheetData>
    <row r="1" spans="1:10" ht="34.5" customHeight="1">
      <c r="A1" s="242" t="s">
        <v>421</v>
      </c>
      <c r="B1" s="237"/>
      <c r="C1" s="237"/>
      <c r="D1" s="237"/>
      <c r="E1" s="237"/>
      <c r="F1" s="237"/>
      <c r="G1" s="237"/>
      <c r="H1" s="237"/>
      <c r="I1" s="3"/>
      <c r="J1" s="2"/>
    </row>
    <row r="2" spans="1:10" ht="19.5" customHeight="1">
      <c r="A2" s="245" t="s">
        <v>144</v>
      </c>
      <c r="B2" s="245"/>
      <c r="C2" s="245"/>
      <c r="D2" s="245"/>
      <c r="E2" s="245"/>
      <c r="F2" s="245"/>
      <c r="G2" s="245"/>
      <c r="H2" s="245"/>
      <c r="I2" s="3"/>
      <c r="J2" s="2"/>
    </row>
    <row r="3" spans="1:10" ht="16.5" customHeight="1">
      <c r="A3" s="246" t="s">
        <v>206</v>
      </c>
      <c r="B3" s="246"/>
      <c r="C3" s="246"/>
      <c r="D3" s="246"/>
      <c r="E3" s="246"/>
      <c r="F3" s="246"/>
      <c r="G3" s="246"/>
      <c r="H3" s="246"/>
      <c r="I3" s="3"/>
      <c r="J3" s="2"/>
    </row>
    <row r="4" spans="1:11" ht="27" customHeight="1">
      <c r="A4" s="228" t="s">
        <v>19</v>
      </c>
      <c r="B4" s="234" t="s">
        <v>20</v>
      </c>
      <c r="C4" s="240" t="s">
        <v>21</v>
      </c>
      <c r="D4" s="241" t="s">
        <v>18</v>
      </c>
      <c r="E4" s="239" t="s">
        <v>22</v>
      </c>
      <c r="F4" s="239"/>
      <c r="G4" s="239" t="s">
        <v>13</v>
      </c>
      <c r="H4" s="239"/>
      <c r="I4" s="42"/>
      <c r="J4" s="10"/>
      <c r="K4" s="42"/>
    </row>
    <row r="5" spans="1:19" ht="58.5" customHeight="1">
      <c r="A5" s="228"/>
      <c r="B5" s="234"/>
      <c r="C5" s="240"/>
      <c r="D5" s="241"/>
      <c r="E5" s="56" t="s">
        <v>23</v>
      </c>
      <c r="F5" s="56" t="s">
        <v>24</v>
      </c>
      <c r="G5" s="56" t="s">
        <v>23</v>
      </c>
      <c r="H5" s="149" t="s">
        <v>24</v>
      </c>
      <c r="I5" s="44"/>
      <c r="J5" s="37"/>
      <c r="K5" s="42"/>
      <c r="S5" s="1" t="s">
        <v>15</v>
      </c>
    </row>
    <row r="6" spans="1:14" s="5" customFormat="1" ht="21.75" customHeight="1">
      <c r="A6" s="75" t="s">
        <v>25</v>
      </c>
      <c r="B6" s="75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8">
        <v>8</v>
      </c>
      <c r="I6" s="14"/>
      <c r="J6" s="14"/>
      <c r="K6" s="17"/>
      <c r="L6" s="13"/>
      <c r="M6" s="13"/>
      <c r="N6" s="13"/>
    </row>
    <row r="7" spans="1:8" s="5" customFormat="1" ht="20.25" customHeight="1" hidden="1">
      <c r="A7" s="152"/>
      <c r="B7" s="61"/>
      <c r="C7" s="76"/>
      <c r="D7" s="76"/>
      <c r="E7" s="76"/>
      <c r="F7" s="76"/>
      <c r="G7" s="76"/>
      <c r="H7" s="78"/>
    </row>
    <row r="8" spans="1:14" ht="43.5" customHeight="1">
      <c r="A8" s="78">
        <v>1</v>
      </c>
      <c r="B8" s="61" t="s">
        <v>10</v>
      </c>
      <c r="C8" s="53" t="s">
        <v>207</v>
      </c>
      <c r="D8" s="53" t="s">
        <v>62</v>
      </c>
      <c r="E8" s="53"/>
      <c r="F8" s="78">
        <v>1</v>
      </c>
      <c r="G8" s="53"/>
      <c r="H8" s="221"/>
      <c r="I8" s="1"/>
      <c r="J8" s="40" t="e">
        <f>#REF!</f>
        <v>#REF!</v>
      </c>
      <c r="K8" s="1"/>
      <c r="L8" s="1"/>
      <c r="M8" s="1"/>
      <c r="N8" s="1"/>
    </row>
    <row r="9" spans="1:14" ht="30" customHeight="1">
      <c r="A9" s="73"/>
      <c r="B9" s="57" t="s">
        <v>16</v>
      </c>
      <c r="C9" s="52" t="s">
        <v>11</v>
      </c>
      <c r="D9" s="52" t="s">
        <v>17</v>
      </c>
      <c r="E9" s="52">
        <f>1.15*7</f>
        <v>8.049999999999999</v>
      </c>
      <c r="F9" s="82">
        <f>E9*F8</f>
        <v>8.049999999999999</v>
      </c>
      <c r="G9" s="52"/>
      <c r="H9" s="104"/>
      <c r="I9" s="1"/>
      <c r="J9" s="40" t="e">
        <f>#REF!</f>
        <v>#REF!</v>
      </c>
      <c r="K9" s="37" t="e">
        <f>#REF!</f>
        <v>#REF!</v>
      </c>
      <c r="L9" s="1"/>
      <c r="M9" s="1"/>
      <c r="N9" s="1"/>
    </row>
    <row r="10" spans="1:14" ht="28.5" customHeight="1">
      <c r="A10" s="73"/>
      <c r="B10" s="57" t="s">
        <v>16</v>
      </c>
      <c r="C10" s="52" t="s">
        <v>12</v>
      </c>
      <c r="D10" s="52" t="s">
        <v>28</v>
      </c>
      <c r="E10" s="52">
        <f>1.15*0.74</f>
        <v>0.851</v>
      </c>
      <c r="F10" s="100">
        <f>E10*F8</f>
        <v>0.851</v>
      </c>
      <c r="G10" s="52"/>
      <c r="H10" s="104"/>
      <c r="I10" s="1"/>
      <c r="J10" s="40"/>
      <c r="K10" s="1"/>
      <c r="L10" s="1"/>
      <c r="M10" s="1"/>
      <c r="N10" s="1"/>
    </row>
    <row r="11" spans="1:14" ht="27" customHeight="1">
      <c r="A11" s="73"/>
      <c r="B11" s="60" t="s">
        <v>14</v>
      </c>
      <c r="C11" s="58" t="s">
        <v>208</v>
      </c>
      <c r="D11" s="52" t="s">
        <v>76</v>
      </c>
      <c r="E11" s="58">
        <v>1</v>
      </c>
      <c r="F11" s="111">
        <v>1</v>
      </c>
      <c r="G11" s="58"/>
      <c r="H11" s="122"/>
      <c r="I11" s="1"/>
      <c r="J11" s="40" t="e">
        <f>#REF!</f>
        <v>#REF!</v>
      </c>
      <c r="K11" s="1"/>
      <c r="L11" s="1"/>
      <c r="M11" s="1"/>
      <c r="N11" s="1"/>
    </row>
    <row r="12" spans="1:8" ht="27.75" customHeight="1">
      <c r="A12" s="73"/>
      <c r="B12" s="57" t="s">
        <v>16</v>
      </c>
      <c r="C12" s="52" t="s">
        <v>30</v>
      </c>
      <c r="D12" s="52" t="s">
        <v>28</v>
      </c>
      <c r="E12" s="52">
        <v>9.67</v>
      </c>
      <c r="F12" s="100">
        <f>F8*E12</f>
        <v>9.67</v>
      </c>
      <c r="G12" s="52"/>
      <c r="H12" s="104"/>
    </row>
    <row r="13" spans="1:11" s="18" customFormat="1" ht="59.25" customHeight="1">
      <c r="A13" s="78">
        <v>2</v>
      </c>
      <c r="B13" s="61" t="s">
        <v>209</v>
      </c>
      <c r="C13" s="53" t="s">
        <v>211</v>
      </c>
      <c r="D13" s="53" t="s">
        <v>202</v>
      </c>
      <c r="E13" s="53"/>
      <c r="F13" s="78">
        <v>1</v>
      </c>
      <c r="G13" s="53"/>
      <c r="H13" s="221"/>
      <c r="J13" s="40" t="e">
        <f>#REF!</f>
        <v>#REF!</v>
      </c>
      <c r="K13" s="15" t="e">
        <f>#REF!</f>
        <v>#REF!</v>
      </c>
    </row>
    <row r="14" spans="1:10" s="18" customFormat="1" ht="30" customHeight="1">
      <c r="A14" s="73"/>
      <c r="B14" s="57" t="s">
        <v>16</v>
      </c>
      <c r="C14" s="52" t="s">
        <v>210</v>
      </c>
      <c r="D14" s="52" t="s">
        <v>17</v>
      </c>
      <c r="E14" s="52">
        <v>2.289</v>
      </c>
      <c r="F14" s="100">
        <f>E14*F13</f>
        <v>2.289</v>
      </c>
      <c r="G14" s="52"/>
      <c r="H14" s="104"/>
      <c r="J14" s="40" t="e">
        <f>#REF!</f>
        <v>#REF!</v>
      </c>
    </row>
    <row r="15" spans="1:8" ht="29.25" customHeight="1">
      <c r="A15" s="73"/>
      <c r="B15" s="57" t="s">
        <v>418</v>
      </c>
      <c r="C15" s="52" t="s">
        <v>300</v>
      </c>
      <c r="D15" s="52" t="s">
        <v>37</v>
      </c>
      <c r="E15" s="58">
        <v>1</v>
      </c>
      <c r="F15" s="111">
        <f>F13*E15</f>
        <v>1</v>
      </c>
      <c r="G15" s="58"/>
      <c r="H15" s="59"/>
    </row>
    <row r="16" spans="1:16" s="4" customFormat="1" ht="27.75" customHeight="1">
      <c r="A16" s="73"/>
      <c r="B16" s="57" t="s">
        <v>16</v>
      </c>
      <c r="C16" s="52" t="s">
        <v>30</v>
      </c>
      <c r="D16" s="52" t="s">
        <v>28</v>
      </c>
      <c r="E16" s="52">
        <v>1.39</v>
      </c>
      <c r="F16" s="100">
        <f>E16*F13</f>
        <v>1.39</v>
      </c>
      <c r="G16" s="52"/>
      <c r="H16" s="104"/>
      <c r="I16" s="2"/>
      <c r="J16" s="2"/>
      <c r="K16" s="2"/>
      <c r="L16" s="2"/>
      <c r="M16" s="2"/>
      <c r="N16" s="2"/>
      <c r="O16" s="2"/>
      <c r="P16" s="18"/>
    </row>
    <row r="17" spans="1:16" s="2" customFormat="1" ht="57.75" customHeight="1">
      <c r="A17" s="78">
        <v>3</v>
      </c>
      <c r="B17" s="61" t="s">
        <v>209</v>
      </c>
      <c r="C17" s="53" t="s">
        <v>319</v>
      </c>
      <c r="D17" s="53" t="s">
        <v>202</v>
      </c>
      <c r="E17" s="53"/>
      <c r="F17" s="78">
        <v>5</v>
      </c>
      <c r="G17" s="53"/>
      <c r="H17" s="221"/>
      <c r="I17" s="18"/>
      <c r="J17" s="18"/>
      <c r="K17" s="18"/>
      <c r="L17" s="18"/>
      <c r="M17" s="18"/>
      <c r="N17" s="18"/>
      <c r="O17" s="18"/>
      <c r="P17" s="1"/>
    </row>
    <row r="18" spans="1:8" ht="30.75" customHeight="1">
      <c r="A18" s="73"/>
      <c r="B18" s="57" t="s">
        <v>16</v>
      </c>
      <c r="C18" s="52" t="s">
        <v>210</v>
      </c>
      <c r="D18" s="52" t="s">
        <v>17</v>
      </c>
      <c r="E18" s="52">
        <v>2.289</v>
      </c>
      <c r="F18" s="100">
        <f>E18*F17</f>
        <v>11.445</v>
      </c>
      <c r="G18" s="52"/>
      <c r="H18" s="104"/>
    </row>
    <row r="19" spans="1:16" s="2" customFormat="1" ht="27.75" customHeight="1">
      <c r="A19" s="73"/>
      <c r="B19" s="57" t="s">
        <v>419</v>
      </c>
      <c r="C19" s="52" t="s">
        <v>299</v>
      </c>
      <c r="D19" s="52" t="s">
        <v>37</v>
      </c>
      <c r="E19" s="58">
        <v>1</v>
      </c>
      <c r="F19" s="111">
        <f>F17*E19</f>
        <v>5</v>
      </c>
      <c r="G19" s="58"/>
      <c r="H19" s="59"/>
      <c r="I19" s="7"/>
      <c r="J19" s="6"/>
      <c r="K19" s="37"/>
      <c r="L19" s="3"/>
      <c r="M19" s="3"/>
      <c r="N19" s="3"/>
      <c r="O19" s="1"/>
      <c r="P19" s="1"/>
    </row>
    <row r="20" spans="1:16" s="18" customFormat="1" ht="27.75" customHeight="1">
      <c r="A20" s="73"/>
      <c r="B20" s="57" t="s">
        <v>16</v>
      </c>
      <c r="C20" s="52" t="s">
        <v>30</v>
      </c>
      <c r="D20" s="52" t="s">
        <v>28</v>
      </c>
      <c r="E20" s="52">
        <v>1.39</v>
      </c>
      <c r="F20" s="100">
        <f>E20*F17</f>
        <v>6.949999999999999</v>
      </c>
      <c r="G20" s="52"/>
      <c r="H20" s="104"/>
      <c r="I20" s="7"/>
      <c r="J20" s="6"/>
      <c r="K20" s="3"/>
      <c r="L20" s="3"/>
      <c r="M20" s="3"/>
      <c r="N20" s="3"/>
      <c r="O20" s="1"/>
      <c r="P20" s="1"/>
    </row>
    <row r="21" spans="1:8" ht="51.75" customHeight="1">
      <c r="A21" s="75" t="s">
        <v>45</v>
      </c>
      <c r="B21" s="61" t="s">
        <v>121</v>
      </c>
      <c r="C21" s="53" t="s">
        <v>212</v>
      </c>
      <c r="D21" s="53" t="s">
        <v>202</v>
      </c>
      <c r="E21" s="53"/>
      <c r="F21" s="78">
        <v>11</v>
      </c>
      <c r="G21" s="53"/>
      <c r="H21" s="221"/>
    </row>
    <row r="22" spans="1:8" ht="23.25" customHeight="1">
      <c r="A22" s="73"/>
      <c r="B22" s="57" t="s">
        <v>16</v>
      </c>
      <c r="C22" s="52" t="s">
        <v>122</v>
      </c>
      <c r="D22" s="52" t="s">
        <v>17</v>
      </c>
      <c r="E22" s="52">
        <f>1.15*0.566</f>
        <v>0.6508999999999999</v>
      </c>
      <c r="F22" s="59">
        <f>F21*E22</f>
        <v>7.1598999999999995</v>
      </c>
      <c r="G22" s="52"/>
      <c r="H22" s="122"/>
    </row>
    <row r="23" spans="1:8" ht="24" customHeight="1">
      <c r="A23" s="73"/>
      <c r="B23" s="57" t="s">
        <v>14</v>
      </c>
      <c r="C23" s="52" t="s">
        <v>213</v>
      </c>
      <c r="D23" s="52" t="s">
        <v>76</v>
      </c>
      <c r="E23" s="58">
        <v>1</v>
      </c>
      <c r="F23" s="111">
        <f>F21*E23</f>
        <v>11</v>
      </c>
      <c r="G23" s="58"/>
      <c r="H23" s="59"/>
    </row>
    <row r="24" spans="1:8" ht="30.75" customHeight="1">
      <c r="A24" s="73"/>
      <c r="B24" s="57" t="s">
        <v>16</v>
      </c>
      <c r="C24" s="52" t="s">
        <v>30</v>
      </c>
      <c r="D24" s="52" t="s">
        <v>28</v>
      </c>
      <c r="E24" s="58">
        <v>0.524</v>
      </c>
      <c r="F24" s="59">
        <f>F21*E24</f>
        <v>5.764</v>
      </c>
      <c r="G24" s="58"/>
      <c r="H24" s="59"/>
    </row>
    <row r="25" spans="1:8" ht="51.75" customHeight="1">
      <c r="A25" s="75" t="s">
        <v>47</v>
      </c>
      <c r="B25" s="61" t="s">
        <v>121</v>
      </c>
      <c r="C25" s="53" t="s">
        <v>214</v>
      </c>
      <c r="D25" s="53" t="s">
        <v>202</v>
      </c>
      <c r="E25" s="53"/>
      <c r="F25" s="78">
        <v>4</v>
      </c>
      <c r="G25" s="53"/>
      <c r="H25" s="221"/>
    </row>
    <row r="26" spans="1:8" ht="25.5" customHeight="1">
      <c r="A26" s="73"/>
      <c r="B26" s="57" t="s">
        <v>16</v>
      </c>
      <c r="C26" s="52" t="s">
        <v>122</v>
      </c>
      <c r="D26" s="52" t="s">
        <v>17</v>
      </c>
      <c r="E26" s="52">
        <f>1.15*0.566</f>
        <v>0.6508999999999999</v>
      </c>
      <c r="F26" s="59">
        <f>F25*E26</f>
        <v>2.6035999999999997</v>
      </c>
      <c r="G26" s="52"/>
      <c r="H26" s="122"/>
    </row>
    <row r="27" spans="1:8" ht="27" customHeight="1">
      <c r="A27" s="73"/>
      <c r="B27" s="57" t="s">
        <v>14</v>
      </c>
      <c r="C27" s="52" t="s">
        <v>213</v>
      </c>
      <c r="D27" s="52" t="s">
        <v>76</v>
      </c>
      <c r="E27" s="58">
        <v>1</v>
      </c>
      <c r="F27" s="111">
        <f>E27*F25</f>
        <v>4</v>
      </c>
      <c r="G27" s="58"/>
      <c r="H27" s="59"/>
    </row>
    <row r="28" spans="1:8" ht="30" customHeight="1">
      <c r="A28" s="116"/>
      <c r="B28" s="57" t="s">
        <v>16</v>
      </c>
      <c r="C28" s="52" t="s">
        <v>30</v>
      </c>
      <c r="D28" s="52" t="s">
        <v>28</v>
      </c>
      <c r="E28" s="58">
        <v>0.524</v>
      </c>
      <c r="F28" s="108">
        <f>F25*E28</f>
        <v>2.096</v>
      </c>
      <c r="G28" s="107"/>
      <c r="H28" s="108"/>
    </row>
    <row r="29" spans="1:10" s="5" customFormat="1" ht="48" customHeight="1">
      <c r="A29" s="75" t="s">
        <v>74</v>
      </c>
      <c r="B29" s="99" t="s">
        <v>121</v>
      </c>
      <c r="C29" s="53" t="s">
        <v>215</v>
      </c>
      <c r="D29" s="53" t="s">
        <v>62</v>
      </c>
      <c r="E29" s="53"/>
      <c r="F29" s="78">
        <v>4</v>
      </c>
      <c r="G29" s="53"/>
      <c r="H29" s="221"/>
      <c r="J29" s="40">
        <f aca="true" t="shared" si="0" ref="J29:J44">H29</f>
        <v>0</v>
      </c>
    </row>
    <row r="30" spans="1:11" s="18" customFormat="1" ht="24" customHeight="1">
      <c r="A30" s="73"/>
      <c r="B30" s="57" t="s">
        <v>16</v>
      </c>
      <c r="C30" s="52" t="s">
        <v>122</v>
      </c>
      <c r="D30" s="52" t="s">
        <v>17</v>
      </c>
      <c r="E30" s="52">
        <f>1.15*0.566</f>
        <v>0.6508999999999999</v>
      </c>
      <c r="F30" s="59">
        <f>F29*E30</f>
        <v>2.6035999999999997</v>
      </c>
      <c r="G30" s="52"/>
      <c r="H30" s="122"/>
      <c r="J30" s="40">
        <f t="shared" si="0"/>
        <v>0</v>
      </c>
      <c r="K30" s="15">
        <f>H30</f>
        <v>0</v>
      </c>
    </row>
    <row r="31" spans="1:10" s="4" customFormat="1" ht="27" customHeight="1">
      <c r="A31" s="73"/>
      <c r="B31" s="60" t="s">
        <v>14</v>
      </c>
      <c r="C31" s="170" t="s">
        <v>0</v>
      </c>
      <c r="D31" s="52" t="s">
        <v>76</v>
      </c>
      <c r="E31" s="58">
        <v>1</v>
      </c>
      <c r="F31" s="111">
        <f>F29*E31</f>
        <v>4</v>
      </c>
      <c r="G31" s="59"/>
      <c r="H31" s="122"/>
      <c r="J31" s="40">
        <f t="shared" si="0"/>
        <v>0</v>
      </c>
    </row>
    <row r="32" spans="1:10" s="18" customFormat="1" ht="30" customHeight="1">
      <c r="A32" s="73"/>
      <c r="B32" s="57" t="s">
        <v>16</v>
      </c>
      <c r="C32" s="52" t="s">
        <v>30</v>
      </c>
      <c r="D32" s="52" t="s">
        <v>28</v>
      </c>
      <c r="E32" s="58">
        <v>0.524</v>
      </c>
      <c r="F32" s="59">
        <f>F29*E32</f>
        <v>2.096</v>
      </c>
      <c r="G32" s="58"/>
      <c r="H32" s="122"/>
      <c r="J32" s="40">
        <f t="shared" si="0"/>
        <v>0</v>
      </c>
    </row>
    <row r="33" spans="1:10" s="5" customFormat="1" ht="48.75" customHeight="1">
      <c r="A33" s="75" t="s">
        <v>36</v>
      </c>
      <c r="B33" s="61" t="s">
        <v>121</v>
      </c>
      <c r="C33" s="53" t="s">
        <v>320</v>
      </c>
      <c r="D33" s="62" t="s">
        <v>62</v>
      </c>
      <c r="E33" s="62"/>
      <c r="F33" s="105">
        <v>32</v>
      </c>
      <c r="G33" s="62"/>
      <c r="H33" s="222"/>
      <c r="J33" s="40">
        <f t="shared" si="0"/>
        <v>0</v>
      </c>
    </row>
    <row r="34" spans="1:11" s="20" customFormat="1" ht="24.75" customHeight="1">
      <c r="A34" s="73"/>
      <c r="B34" s="57" t="s">
        <v>16</v>
      </c>
      <c r="C34" s="52" t="s">
        <v>122</v>
      </c>
      <c r="D34" s="52" t="s">
        <v>17</v>
      </c>
      <c r="E34" s="52">
        <f>1.15*0.566</f>
        <v>0.6508999999999999</v>
      </c>
      <c r="F34" s="59">
        <f>F33*E34</f>
        <v>20.828799999999998</v>
      </c>
      <c r="G34" s="58"/>
      <c r="H34" s="122"/>
      <c r="J34" s="40">
        <f t="shared" si="0"/>
        <v>0</v>
      </c>
      <c r="K34" s="15">
        <f>H34</f>
        <v>0</v>
      </c>
    </row>
    <row r="35" spans="1:10" s="4" customFormat="1" ht="25.5" customHeight="1">
      <c r="A35" s="73"/>
      <c r="B35" s="60" t="s">
        <v>14</v>
      </c>
      <c r="C35" s="52" t="s">
        <v>213</v>
      </c>
      <c r="D35" s="52" t="s">
        <v>76</v>
      </c>
      <c r="E35" s="58">
        <v>1</v>
      </c>
      <c r="F35" s="111">
        <f>F33*E35</f>
        <v>32</v>
      </c>
      <c r="G35" s="59"/>
      <c r="H35" s="122"/>
      <c r="J35" s="40">
        <f t="shared" si="0"/>
        <v>0</v>
      </c>
    </row>
    <row r="36" spans="1:10" s="18" customFormat="1" ht="21" customHeight="1">
      <c r="A36" s="73"/>
      <c r="B36" s="57" t="s">
        <v>16</v>
      </c>
      <c r="C36" s="52" t="s">
        <v>30</v>
      </c>
      <c r="D36" s="52" t="s">
        <v>28</v>
      </c>
      <c r="E36" s="58">
        <v>0.524</v>
      </c>
      <c r="F36" s="59">
        <f>F33*E36</f>
        <v>16.768</v>
      </c>
      <c r="G36" s="58"/>
      <c r="H36" s="122"/>
      <c r="J36" s="40">
        <f t="shared" si="0"/>
        <v>0</v>
      </c>
    </row>
    <row r="37" spans="1:10" s="5" customFormat="1" ht="54.75" customHeight="1">
      <c r="A37" s="75" t="s">
        <v>73</v>
      </c>
      <c r="B37" s="61" t="s">
        <v>216</v>
      </c>
      <c r="C37" s="53" t="s">
        <v>217</v>
      </c>
      <c r="D37" s="62" t="s">
        <v>62</v>
      </c>
      <c r="E37" s="62"/>
      <c r="F37" s="105">
        <v>4</v>
      </c>
      <c r="G37" s="62"/>
      <c r="H37" s="222"/>
      <c r="J37" s="40">
        <f t="shared" si="0"/>
        <v>0</v>
      </c>
    </row>
    <row r="38" spans="1:11" s="18" customFormat="1" ht="36" customHeight="1">
      <c r="A38" s="73"/>
      <c r="B38" s="57" t="s">
        <v>16</v>
      </c>
      <c r="C38" s="52" t="s">
        <v>218</v>
      </c>
      <c r="D38" s="52" t="s">
        <v>17</v>
      </c>
      <c r="E38" s="58">
        <f>1.15*1.23</f>
        <v>1.4144999999999999</v>
      </c>
      <c r="F38" s="59">
        <f>F37*E38</f>
        <v>5.6579999999999995</v>
      </c>
      <c r="G38" s="58"/>
      <c r="H38" s="122"/>
      <c r="J38" s="40">
        <f t="shared" si="0"/>
        <v>0</v>
      </c>
      <c r="K38" s="15">
        <f>H38</f>
        <v>0</v>
      </c>
    </row>
    <row r="39" spans="1:11" s="18" customFormat="1" ht="30" customHeight="1">
      <c r="A39" s="73"/>
      <c r="B39" s="57" t="s">
        <v>14</v>
      </c>
      <c r="C39" s="52" t="s">
        <v>219</v>
      </c>
      <c r="D39" s="52" t="s">
        <v>84</v>
      </c>
      <c r="E39" s="58">
        <v>1</v>
      </c>
      <c r="F39" s="111">
        <f>F37*E39</f>
        <v>4</v>
      </c>
      <c r="G39" s="58"/>
      <c r="H39" s="122"/>
      <c r="J39" s="40">
        <f t="shared" si="0"/>
        <v>0</v>
      </c>
      <c r="K39" s="15"/>
    </row>
    <row r="40" spans="1:10" s="18" customFormat="1" ht="30" customHeight="1">
      <c r="A40" s="73"/>
      <c r="B40" s="57" t="s">
        <v>16</v>
      </c>
      <c r="C40" s="52" t="s">
        <v>55</v>
      </c>
      <c r="D40" s="58" t="s">
        <v>28</v>
      </c>
      <c r="E40" s="58">
        <v>0.108</v>
      </c>
      <c r="F40" s="59">
        <v>0.27</v>
      </c>
      <c r="G40" s="58"/>
      <c r="H40" s="122"/>
      <c r="J40" s="40">
        <f t="shared" si="0"/>
        <v>0</v>
      </c>
    </row>
    <row r="41" spans="1:10" s="5" customFormat="1" ht="51.75" customHeight="1">
      <c r="A41" s="75" t="s">
        <v>117</v>
      </c>
      <c r="B41" s="61" t="s">
        <v>216</v>
      </c>
      <c r="C41" s="53" t="s">
        <v>309</v>
      </c>
      <c r="D41" s="62" t="s">
        <v>62</v>
      </c>
      <c r="E41" s="62"/>
      <c r="F41" s="105">
        <v>3</v>
      </c>
      <c r="G41" s="62"/>
      <c r="H41" s="222"/>
      <c r="J41" s="40">
        <f t="shared" si="0"/>
        <v>0</v>
      </c>
    </row>
    <row r="42" spans="1:11" s="18" customFormat="1" ht="26.25" customHeight="1">
      <c r="A42" s="73"/>
      <c r="B42" s="57" t="s">
        <v>16</v>
      </c>
      <c r="C42" s="52" t="s">
        <v>218</v>
      </c>
      <c r="D42" s="52" t="s">
        <v>17</v>
      </c>
      <c r="E42" s="58">
        <f>1.15*1.23</f>
        <v>1.4144999999999999</v>
      </c>
      <c r="F42" s="59">
        <f>F41*E42</f>
        <v>4.243499999999999</v>
      </c>
      <c r="G42" s="58"/>
      <c r="H42" s="122"/>
      <c r="J42" s="40">
        <f t="shared" si="0"/>
        <v>0</v>
      </c>
      <c r="K42" s="15">
        <f>H42</f>
        <v>0</v>
      </c>
    </row>
    <row r="43" spans="1:11" s="18" customFormat="1" ht="24" customHeight="1">
      <c r="A43" s="171"/>
      <c r="B43" s="117" t="s">
        <v>14</v>
      </c>
      <c r="C43" s="118" t="s">
        <v>310</v>
      </c>
      <c r="D43" s="118" t="s">
        <v>84</v>
      </c>
      <c r="E43" s="107">
        <v>1</v>
      </c>
      <c r="F43" s="168">
        <f>F41*E43</f>
        <v>3</v>
      </c>
      <c r="G43" s="107"/>
      <c r="H43" s="226"/>
      <c r="J43" s="40">
        <f t="shared" si="0"/>
        <v>0</v>
      </c>
      <c r="K43" s="15"/>
    </row>
    <row r="44" spans="1:10" s="18" customFormat="1" ht="27" customHeight="1">
      <c r="A44" s="172"/>
      <c r="B44" s="117" t="s">
        <v>16</v>
      </c>
      <c r="C44" s="118" t="s">
        <v>55</v>
      </c>
      <c r="D44" s="107" t="s">
        <v>28</v>
      </c>
      <c r="E44" s="107">
        <v>0.108</v>
      </c>
      <c r="F44" s="108">
        <v>0.27</v>
      </c>
      <c r="G44" s="107"/>
      <c r="H44" s="227"/>
      <c r="J44" s="40">
        <f t="shared" si="0"/>
        <v>0</v>
      </c>
    </row>
    <row r="45" spans="1:8" ht="49.5" customHeight="1">
      <c r="A45" s="75" t="s">
        <v>60</v>
      </c>
      <c r="B45" s="61" t="s">
        <v>220</v>
      </c>
      <c r="C45" s="53" t="s">
        <v>221</v>
      </c>
      <c r="D45" s="62" t="s">
        <v>62</v>
      </c>
      <c r="E45" s="62"/>
      <c r="F45" s="105">
        <v>1</v>
      </c>
      <c r="G45" s="62"/>
      <c r="H45" s="222"/>
    </row>
    <row r="46" spans="1:8" ht="27" customHeight="1">
      <c r="A46" s="73"/>
      <c r="B46" s="57" t="s">
        <v>16</v>
      </c>
      <c r="C46" s="52" t="s">
        <v>77</v>
      </c>
      <c r="D46" s="58" t="s">
        <v>17</v>
      </c>
      <c r="E46" s="112">
        <f>1.15*2</f>
        <v>2.3</v>
      </c>
      <c r="F46" s="59">
        <f>F45*E46</f>
        <v>2.3</v>
      </c>
      <c r="G46" s="58"/>
      <c r="H46" s="122"/>
    </row>
    <row r="47" spans="1:8" ht="24" customHeight="1">
      <c r="A47" s="73"/>
      <c r="B47" s="60" t="s">
        <v>14</v>
      </c>
      <c r="C47" s="58" t="s">
        <v>222</v>
      </c>
      <c r="D47" s="52" t="s">
        <v>76</v>
      </c>
      <c r="E47" s="58">
        <v>1</v>
      </c>
      <c r="F47" s="111">
        <f>F45*E47</f>
        <v>1</v>
      </c>
      <c r="G47" s="59"/>
      <c r="H47" s="59"/>
    </row>
    <row r="48" spans="1:8" ht="25.5" customHeight="1">
      <c r="A48" s="73"/>
      <c r="B48" s="57" t="s">
        <v>16</v>
      </c>
      <c r="C48" s="52" t="s">
        <v>55</v>
      </c>
      <c r="D48" s="58" t="s">
        <v>28</v>
      </c>
      <c r="E48" s="58">
        <v>0.14</v>
      </c>
      <c r="F48" s="59">
        <f>F45*E48</f>
        <v>0.14</v>
      </c>
      <c r="G48" s="58"/>
      <c r="H48" s="59"/>
    </row>
    <row r="49" spans="1:8" ht="48" customHeight="1">
      <c r="A49" s="78">
        <v>11</v>
      </c>
      <c r="B49" s="61" t="s">
        <v>83</v>
      </c>
      <c r="C49" s="53" t="s">
        <v>223</v>
      </c>
      <c r="D49" s="53" t="s">
        <v>37</v>
      </c>
      <c r="E49" s="53"/>
      <c r="F49" s="78">
        <v>10</v>
      </c>
      <c r="G49" s="53"/>
      <c r="H49" s="221"/>
    </row>
    <row r="50" spans="1:8" ht="30.75" customHeight="1">
      <c r="A50" s="73"/>
      <c r="B50" s="57" t="s">
        <v>16</v>
      </c>
      <c r="C50" s="52" t="s">
        <v>82</v>
      </c>
      <c r="D50" s="52" t="s">
        <v>17</v>
      </c>
      <c r="E50" s="52">
        <f>1.15*0.192</f>
        <v>0.2208</v>
      </c>
      <c r="F50" s="100">
        <f>F49*E50</f>
        <v>2.208</v>
      </c>
      <c r="G50" s="52"/>
      <c r="H50" s="104"/>
    </row>
    <row r="51" spans="1:8" ht="32.25" customHeight="1">
      <c r="A51" s="73"/>
      <c r="B51" s="57" t="s">
        <v>14</v>
      </c>
      <c r="C51" s="52" t="s">
        <v>224</v>
      </c>
      <c r="D51" s="52" t="s">
        <v>37</v>
      </c>
      <c r="E51" s="58">
        <v>1</v>
      </c>
      <c r="F51" s="111">
        <f>E51*F49</f>
        <v>10</v>
      </c>
      <c r="G51" s="97"/>
      <c r="H51" s="59"/>
    </row>
    <row r="52" spans="1:8" ht="29.25" customHeight="1">
      <c r="A52" s="73"/>
      <c r="B52" s="57" t="s">
        <v>16</v>
      </c>
      <c r="C52" s="52" t="s">
        <v>55</v>
      </c>
      <c r="D52" s="52" t="s">
        <v>28</v>
      </c>
      <c r="E52" s="125">
        <v>0.0234</v>
      </c>
      <c r="F52" s="100">
        <f>F49*E52</f>
        <v>0.234</v>
      </c>
      <c r="G52" s="52"/>
      <c r="H52" s="100"/>
    </row>
    <row r="53" spans="1:8" ht="52.5" customHeight="1">
      <c r="A53" s="78">
        <v>12</v>
      </c>
      <c r="B53" s="61" t="s">
        <v>83</v>
      </c>
      <c r="C53" s="53" t="s">
        <v>332</v>
      </c>
      <c r="D53" s="53" t="s">
        <v>37</v>
      </c>
      <c r="E53" s="53"/>
      <c r="F53" s="78">
        <v>11</v>
      </c>
      <c r="G53" s="53"/>
      <c r="H53" s="221"/>
    </row>
    <row r="54" spans="1:8" ht="25.5" customHeight="1">
      <c r="A54" s="73"/>
      <c r="B54" s="57" t="s">
        <v>16</v>
      </c>
      <c r="C54" s="52" t="s">
        <v>82</v>
      </c>
      <c r="D54" s="52" t="s">
        <v>17</v>
      </c>
      <c r="E54" s="52">
        <f>1.15*0.1</f>
        <v>0.11499999999999999</v>
      </c>
      <c r="F54" s="100">
        <f>F53*E54</f>
        <v>1.265</v>
      </c>
      <c r="G54" s="52"/>
      <c r="H54" s="104"/>
    </row>
    <row r="55" spans="1:8" ht="26.25" customHeight="1">
      <c r="A55" s="73"/>
      <c r="B55" s="57" t="s">
        <v>14</v>
      </c>
      <c r="C55" s="52" t="s">
        <v>335</v>
      </c>
      <c r="D55" s="52" t="s">
        <v>76</v>
      </c>
      <c r="E55" s="58">
        <v>1</v>
      </c>
      <c r="F55" s="111">
        <f>E55*F53</f>
        <v>11</v>
      </c>
      <c r="G55" s="58"/>
      <c r="H55" s="59"/>
    </row>
    <row r="56" spans="1:8" ht="22.5" customHeight="1">
      <c r="A56" s="73"/>
      <c r="B56" s="57" t="s">
        <v>16</v>
      </c>
      <c r="C56" s="52" t="s">
        <v>30</v>
      </c>
      <c r="D56" s="52" t="s">
        <v>28</v>
      </c>
      <c r="E56" s="125">
        <v>0.0234</v>
      </c>
      <c r="F56" s="100">
        <f>F53*E56</f>
        <v>0.2574</v>
      </c>
      <c r="G56" s="52"/>
      <c r="H56" s="100"/>
    </row>
    <row r="57" spans="1:8" ht="53.25" customHeight="1">
      <c r="A57" s="78">
        <v>13</v>
      </c>
      <c r="B57" s="61" t="s">
        <v>81</v>
      </c>
      <c r="C57" s="53" t="s">
        <v>333</v>
      </c>
      <c r="D57" s="53" t="s">
        <v>202</v>
      </c>
      <c r="E57" s="53"/>
      <c r="F57" s="78">
        <v>18</v>
      </c>
      <c r="G57" s="53"/>
      <c r="H57" s="221"/>
    </row>
    <row r="58" spans="1:8" ht="32.25" customHeight="1">
      <c r="A58" s="73"/>
      <c r="B58" s="57" t="s">
        <v>16</v>
      </c>
      <c r="C58" s="52" t="s">
        <v>82</v>
      </c>
      <c r="D58" s="52" t="s">
        <v>17</v>
      </c>
      <c r="E58" s="52">
        <f>1.15*0.192</f>
        <v>0.2208</v>
      </c>
      <c r="F58" s="100">
        <f>F57*E58</f>
        <v>3.9744</v>
      </c>
      <c r="G58" s="52"/>
      <c r="H58" s="104"/>
    </row>
    <row r="59" spans="1:8" ht="29.25" customHeight="1">
      <c r="A59" s="73"/>
      <c r="B59" s="57" t="s">
        <v>14</v>
      </c>
      <c r="C59" s="52" t="s">
        <v>334</v>
      </c>
      <c r="D59" s="52" t="s">
        <v>76</v>
      </c>
      <c r="E59" s="58">
        <v>1</v>
      </c>
      <c r="F59" s="111">
        <f>F57*E59</f>
        <v>18</v>
      </c>
      <c r="G59" s="58"/>
      <c r="H59" s="59"/>
    </row>
    <row r="60" spans="1:8" ht="26.25" customHeight="1">
      <c r="A60" s="73"/>
      <c r="B60" s="57" t="s">
        <v>16</v>
      </c>
      <c r="C60" s="52" t="s">
        <v>30</v>
      </c>
      <c r="D60" s="52" t="s">
        <v>28</v>
      </c>
      <c r="E60" s="125">
        <v>0.0266</v>
      </c>
      <c r="F60" s="100">
        <f>F57*E60</f>
        <v>0.4788</v>
      </c>
      <c r="G60" s="52"/>
      <c r="H60" s="100"/>
    </row>
    <row r="61" spans="1:16" s="23" customFormat="1" ht="44.25" customHeight="1">
      <c r="A61" s="75" t="s">
        <v>86</v>
      </c>
      <c r="B61" s="61" t="s">
        <v>14</v>
      </c>
      <c r="C61" s="53" t="s">
        <v>329</v>
      </c>
      <c r="D61" s="53" t="s">
        <v>37</v>
      </c>
      <c r="E61" s="53"/>
      <c r="F61" s="78">
        <v>10</v>
      </c>
      <c r="G61" s="53"/>
      <c r="H61" s="221"/>
      <c r="I61" s="7"/>
      <c r="J61" s="6"/>
      <c r="K61" s="37">
        <f>SUM(K21:K60)</f>
        <v>0</v>
      </c>
      <c r="L61" s="3"/>
      <c r="M61" s="3"/>
      <c r="N61" s="3"/>
      <c r="O61" s="1"/>
      <c r="P61" s="1"/>
    </row>
    <row r="62" spans="1:16" s="23" customFormat="1" ht="30" customHeight="1">
      <c r="A62" s="73"/>
      <c r="B62" s="57" t="s">
        <v>16</v>
      </c>
      <c r="C62" s="52" t="s">
        <v>87</v>
      </c>
      <c r="D62" s="53" t="s">
        <v>37</v>
      </c>
      <c r="E62" s="52">
        <v>1</v>
      </c>
      <c r="F62" s="100">
        <f>F61*E62</f>
        <v>10</v>
      </c>
      <c r="G62" s="52"/>
      <c r="H62" s="104"/>
      <c r="I62" s="7"/>
      <c r="J62" s="43"/>
      <c r="K62" s="3"/>
      <c r="L62" s="3"/>
      <c r="M62" s="3"/>
      <c r="N62" s="3"/>
      <c r="O62" s="1"/>
      <c r="P62" s="12"/>
    </row>
    <row r="63" spans="1:16" s="23" customFormat="1" ht="30.75" customHeight="1">
      <c r="A63" s="73"/>
      <c r="B63" s="57" t="s">
        <v>14</v>
      </c>
      <c r="C63" s="52" t="s">
        <v>330</v>
      </c>
      <c r="D63" s="52" t="s">
        <v>37</v>
      </c>
      <c r="E63" s="121">
        <v>1.01</v>
      </c>
      <c r="F63" s="102">
        <f>E63*F61</f>
        <v>10.1</v>
      </c>
      <c r="G63" s="201"/>
      <c r="H63" s="59"/>
      <c r="I63" s="11"/>
      <c r="J63" s="27"/>
      <c r="K63" s="28"/>
      <c r="L63" s="28"/>
      <c r="M63" s="28"/>
      <c r="N63" s="28"/>
      <c r="O63" s="12"/>
      <c r="P63" s="1"/>
    </row>
    <row r="64" spans="1:16" s="2" customFormat="1" ht="23.25" customHeight="1">
      <c r="A64" s="73"/>
      <c r="B64" s="57" t="s">
        <v>16</v>
      </c>
      <c r="C64" s="52" t="s">
        <v>30</v>
      </c>
      <c r="D64" s="52" t="s">
        <v>37</v>
      </c>
      <c r="E64" s="125">
        <v>0.0086</v>
      </c>
      <c r="F64" s="100">
        <f>F61*E64</f>
        <v>0.086</v>
      </c>
      <c r="G64" s="52"/>
      <c r="H64" s="100"/>
      <c r="I64" s="7"/>
      <c r="J64" s="6"/>
      <c r="K64" s="3"/>
      <c r="L64" s="3"/>
      <c r="M64" s="3"/>
      <c r="N64" s="3"/>
      <c r="O64" s="1"/>
      <c r="P64" s="1"/>
    </row>
    <row r="65" spans="1:256" s="2" customFormat="1" ht="74.25" customHeight="1">
      <c r="A65" s="75" t="s">
        <v>298</v>
      </c>
      <c r="B65" s="61" t="s">
        <v>1</v>
      </c>
      <c r="C65" s="53" t="s">
        <v>324</v>
      </c>
      <c r="D65" s="53" t="s">
        <v>48</v>
      </c>
      <c r="E65" s="53"/>
      <c r="F65" s="78">
        <v>500</v>
      </c>
      <c r="G65" s="53"/>
      <c r="H65" s="221"/>
      <c r="I65" s="7"/>
      <c r="J65" s="6"/>
      <c r="K65" s="3"/>
      <c r="L65" s="3"/>
      <c r="M65" s="3"/>
      <c r="N65" s="3"/>
      <c r="O65" s="1"/>
      <c r="P65" s="1"/>
      <c r="Q65" s="46"/>
      <c r="R65" s="64"/>
      <c r="S65" s="47"/>
      <c r="T65" s="47"/>
      <c r="U65" s="173"/>
      <c r="V65" s="174"/>
      <c r="W65" s="173"/>
      <c r="X65" s="141"/>
      <c r="Y65" s="46"/>
      <c r="Z65" s="64"/>
      <c r="AA65" s="47"/>
      <c r="AB65" s="47"/>
      <c r="AC65" s="173"/>
      <c r="AD65" s="174"/>
      <c r="AE65" s="173"/>
      <c r="AF65" s="141"/>
      <c r="AG65" s="46"/>
      <c r="AH65" s="64"/>
      <c r="AI65" s="47"/>
      <c r="AJ65" s="47"/>
      <c r="AK65" s="173"/>
      <c r="AL65" s="174"/>
      <c r="AM65" s="173"/>
      <c r="AN65" s="141"/>
      <c r="AO65" s="46"/>
      <c r="AP65" s="64"/>
      <c r="AQ65" s="47"/>
      <c r="AR65" s="47"/>
      <c r="AS65" s="173"/>
      <c r="AT65" s="174"/>
      <c r="AU65" s="173"/>
      <c r="AV65" s="141"/>
      <c r="AW65" s="175"/>
      <c r="AX65" s="176"/>
      <c r="AY65" s="177"/>
      <c r="AZ65" s="177"/>
      <c r="BA65" s="178"/>
      <c r="BB65" s="179"/>
      <c r="BC65" s="178"/>
      <c r="BD65" s="180"/>
      <c r="BE65" s="181"/>
      <c r="BF65" s="176"/>
      <c r="BG65" s="177"/>
      <c r="BH65" s="177"/>
      <c r="BI65" s="178"/>
      <c r="BJ65" s="179"/>
      <c r="BK65" s="178"/>
      <c r="BL65" s="180"/>
      <c r="BM65" s="181"/>
      <c r="BN65" s="176"/>
      <c r="BO65" s="177"/>
      <c r="BP65" s="177"/>
      <c r="BQ65" s="178"/>
      <c r="BR65" s="179"/>
      <c r="BS65" s="178"/>
      <c r="BT65" s="180"/>
      <c r="BU65" s="181"/>
      <c r="BV65" s="176"/>
      <c r="BW65" s="177"/>
      <c r="BX65" s="177"/>
      <c r="BY65" s="178"/>
      <c r="BZ65" s="179"/>
      <c r="CA65" s="178"/>
      <c r="CB65" s="180"/>
      <c r="CC65" s="181"/>
      <c r="CD65" s="176"/>
      <c r="CE65" s="177"/>
      <c r="CF65" s="177"/>
      <c r="CG65" s="178"/>
      <c r="CH65" s="179"/>
      <c r="CI65" s="178"/>
      <c r="CJ65" s="180"/>
      <c r="CK65" s="181"/>
      <c r="CL65" s="176"/>
      <c r="CM65" s="177"/>
      <c r="CN65" s="177"/>
      <c r="CO65" s="178"/>
      <c r="CP65" s="179"/>
      <c r="CQ65" s="178"/>
      <c r="CR65" s="180"/>
      <c r="CS65" s="181"/>
      <c r="CT65" s="176"/>
      <c r="CU65" s="177"/>
      <c r="CV65" s="177"/>
      <c r="CW65" s="178"/>
      <c r="CX65" s="179"/>
      <c r="CY65" s="178"/>
      <c r="CZ65" s="180"/>
      <c r="DA65" s="181"/>
      <c r="DB65" s="176"/>
      <c r="DC65" s="177"/>
      <c r="DD65" s="177"/>
      <c r="DE65" s="178"/>
      <c r="DF65" s="179"/>
      <c r="DG65" s="178"/>
      <c r="DH65" s="180"/>
      <c r="DI65" s="181"/>
      <c r="DJ65" s="176"/>
      <c r="DK65" s="177"/>
      <c r="DL65" s="177"/>
      <c r="DM65" s="178"/>
      <c r="DN65" s="179"/>
      <c r="DO65" s="178"/>
      <c r="DP65" s="180"/>
      <c r="DQ65" s="181"/>
      <c r="DR65" s="176"/>
      <c r="DS65" s="177"/>
      <c r="DT65" s="177"/>
      <c r="DU65" s="178"/>
      <c r="DV65" s="179"/>
      <c r="DW65" s="178"/>
      <c r="DX65" s="180"/>
      <c r="DY65" s="181"/>
      <c r="DZ65" s="176"/>
      <c r="EA65" s="177"/>
      <c r="EB65" s="177"/>
      <c r="EC65" s="178"/>
      <c r="ED65" s="179"/>
      <c r="EE65" s="178"/>
      <c r="EF65" s="180"/>
      <c r="EG65" s="181"/>
      <c r="EH65" s="176"/>
      <c r="EI65" s="177"/>
      <c r="EJ65" s="177"/>
      <c r="EK65" s="178"/>
      <c r="EL65" s="179"/>
      <c r="EM65" s="178"/>
      <c r="EN65" s="180"/>
      <c r="EO65" s="181"/>
      <c r="EP65" s="176"/>
      <c r="EQ65" s="177"/>
      <c r="ER65" s="177"/>
      <c r="ES65" s="178"/>
      <c r="ET65" s="179"/>
      <c r="EU65" s="178"/>
      <c r="EV65" s="180"/>
      <c r="EW65" s="181"/>
      <c r="EX65" s="176"/>
      <c r="EY65" s="177"/>
      <c r="EZ65" s="177"/>
      <c r="FA65" s="178"/>
      <c r="FB65" s="179"/>
      <c r="FC65" s="178"/>
      <c r="FD65" s="180"/>
      <c r="FE65" s="181"/>
      <c r="FF65" s="176" t="s">
        <v>14</v>
      </c>
      <c r="FG65" s="177" t="s">
        <v>225</v>
      </c>
      <c r="FH65" s="177" t="s">
        <v>37</v>
      </c>
      <c r="FI65" s="178">
        <v>1</v>
      </c>
      <c r="FJ65" s="179">
        <v>32</v>
      </c>
      <c r="FK65" s="178">
        <v>45</v>
      </c>
      <c r="FL65" s="180">
        <v>1440</v>
      </c>
      <c r="FM65" s="181"/>
      <c r="FN65" s="176" t="s">
        <v>14</v>
      </c>
      <c r="FO65" s="177" t="s">
        <v>225</v>
      </c>
      <c r="FP65" s="177" t="s">
        <v>37</v>
      </c>
      <c r="FQ65" s="178">
        <v>1</v>
      </c>
      <c r="FR65" s="179">
        <v>32</v>
      </c>
      <c r="FS65" s="178">
        <v>45</v>
      </c>
      <c r="FT65" s="180">
        <v>1440</v>
      </c>
      <c r="FU65" s="181"/>
      <c r="FV65" s="176" t="s">
        <v>14</v>
      </c>
      <c r="FW65" s="177" t="s">
        <v>225</v>
      </c>
      <c r="FX65" s="177" t="s">
        <v>37</v>
      </c>
      <c r="FY65" s="178">
        <v>1</v>
      </c>
      <c r="FZ65" s="179">
        <v>32</v>
      </c>
      <c r="GA65" s="178">
        <v>45</v>
      </c>
      <c r="GB65" s="180">
        <v>1440</v>
      </c>
      <c r="GC65" s="181"/>
      <c r="GD65" s="176" t="s">
        <v>14</v>
      </c>
      <c r="GE65" s="177" t="s">
        <v>225</v>
      </c>
      <c r="GF65" s="177" t="s">
        <v>37</v>
      </c>
      <c r="GG65" s="178">
        <v>1</v>
      </c>
      <c r="GH65" s="179">
        <v>32</v>
      </c>
      <c r="GI65" s="178">
        <v>45</v>
      </c>
      <c r="GJ65" s="180">
        <v>1440</v>
      </c>
      <c r="GK65" s="181"/>
      <c r="GL65" s="176" t="s">
        <v>14</v>
      </c>
      <c r="GM65" s="177" t="s">
        <v>225</v>
      </c>
      <c r="GN65" s="177" t="s">
        <v>37</v>
      </c>
      <c r="GO65" s="178">
        <v>1</v>
      </c>
      <c r="GP65" s="179">
        <v>32</v>
      </c>
      <c r="GQ65" s="178">
        <v>45</v>
      </c>
      <c r="GR65" s="180">
        <v>1440</v>
      </c>
      <c r="GS65" s="181"/>
      <c r="GT65" s="176" t="s">
        <v>14</v>
      </c>
      <c r="GU65" s="177" t="s">
        <v>225</v>
      </c>
      <c r="GV65" s="177" t="s">
        <v>37</v>
      </c>
      <c r="GW65" s="178">
        <v>1</v>
      </c>
      <c r="GX65" s="179">
        <v>32</v>
      </c>
      <c r="GY65" s="178">
        <v>45</v>
      </c>
      <c r="GZ65" s="180">
        <v>1440</v>
      </c>
      <c r="HA65" s="181"/>
      <c r="HB65" s="176" t="s">
        <v>14</v>
      </c>
      <c r="HC65" s="177" t="s">
        <v>225</v>
      </c>
      <c r="HD65" s="177" t="s">
        <v>37</v>
      </c>
      <c r="HE65" s="178">
        <v>1</v>
      </c>
      <c r="HF65" s="179">
        <v>32</v>
      </c>
      <c r="HG65" s="178">
        <v>45</v>
      </c>
      <c r="HH65" s="180">
        <v>1440</v>
      </c>
      <c r="HI65" s="181"/>
      <c r="HJ65" s="176" t="s">
        <v>14</v>
      </c>
      <c r="HK65" s="177" t="s">
        <v>225</v>
      </c>
      <c r="HL65" s="177" t="s">
        <v>37</v>
      </c>
      <c r="HM65" s="178">
        <v>1</v>
      </c>
      <c r="HN65" s="179">
        <v>32</v>
      </c>
      <c r="HO65" s="178">
        <v>45</v>
      </c>
      <c r="HP65" s="180">
        <v>1440</v>
      </c>
      <c r="HQ65" s="181"/>
      <c r="HR65" s="176" t="s">
        <v>14</v>
      </c>
      <c r="HS65" s="177" t="s">
        <v>225</v>
      </c>
      <c r="HT65" s="177" t="s">
        <v>37</v>
      </c>
      <c r="HU65" s="178">
        <v>1</v>
      </c>
      <c r="HV65" s="179">
        <v>32</v>
      </c>
      <c r="HW65" s="178">
        <v>45</v>
      </c>
      <c r="HX65" s="180">
        <v>1440</v>
      </c>
      <c r="HY65" s="181"/>
      <c r="HZ65" s="176" t="s">
        <v>14</v>
      </c>
      <c r="IA65" s="177" t="s">
        <v>225</v>
      </c>
      <c r="IB65" s="177" t="s">
        <v>37</v>
      </c>
      <c r="IC65" s="178">
        <v>1</v>
      </c>
      <c r="ID65" s="179">
        <v>32</v>
      </c>
      <c r="IE65" s="178">
        <v>45</v>
      </c>
      <c r="IF65" s="180">
        <v>1440</v>
      </c>
      <c r="IG65" s="181"/>
      <c r="IH65" s="176" t="s">
        <v>14</v>
      </c>
      <c r="II65" s="177" t="s">
        <v>225</v>
      </c>
      <c r="IJ65" s="177" t="s">
        <v>37</v>
      </c>
      <c r="IK65" s="178">
        <v>1</v>
      </c>
      <c r="IL65" s="179">
        <v>32</v>
      </c>
      <c r="IM65" s="178">
        <v>45</v>
      </c>
      <c r="IN65" s="180">
        <v>1440</v>
      </c>
      <c r="IO65" s="181"/>
      <c r="IP65" s="176" t="s">
        <v>14</v>
      </c>
      <c r="IQ65" s="177" t="s">
        <v>225</v>
      </c>
      <c r="IR65" s="177" t="s">
        <v>37</v>
      </c>
      <c r="IS65" s="178">
        <v>1</v>
      </c>
      <c r="IT65" s="179">
        <v>32</v>
      </c>
      <c r="IU65" s="178">
        <v>45</v>
      </c>
      <c r="IV65" s="180">
        <v>1440</v>
      </c>
    </row>
    <row r="66" spans="1:16" s="2" customFormat="1" ht="30" customHeight="1">
      <c r="A66" s="73"/>
      <c r="B66" s="57" t="s">
        <v>16</v>
      </c>
      <c r="C66" s="52" t="s">
        <v>2</v>
      </c>
      <c r="D66" s="52" t="s">
        <v>17</v>
      </c>
      <c r="E66" s="52">
        <f>1.15*0.139</f>
        <v>0.15985</v>
      </c>
      <c r="F66" s="100">
        <f>F65*E66</f>
        <v>79.925</v>
      </c>
      <c r="G66" s="52"/>
      <c r="H66" s="104"/>
      <c r="I66" s="7"/>
      <c r="J66" s="6"/>
      <c r="K66" s="3"/>
      <c r="L66" s="3"/>
      <c r="M66" s="3"/>
      <c r="N66" s="3"/>
      <c r="O66" s="1"/>
      <c r="P66" s="1"/>
    </row>
    <row r="67" spans="1:16" s="2" customFormat="1" ht="32.25" customHeight="1">
      <c r="A67" s="73"/>
      <c r="B67" s="57" t="s">
        <v>14</v>
      </c>
      <c r="C67" s="52" t="s">
        <v>327</v>
      </c>
      <c r="D67" s="52" t="s">
        <v>48</v>
      </c>
      <c r="E67" s="58">
        <v>1.03</v>
      </c>
      <c r="F67" s="111">
        <f>E67*F65</f>
        <v>515</v>
      </c>
      <c r="G67" s="58"/>
      <c r="H67" s="59"/>
      <c r="I67" s="7"/>
      <c r="J67" s="6"/>
      <c r="K67" s="3"/>
      <c r="L67" s="3"/>
      <c r="M67" s="3"/>
      <c r="N67" s="3"/>
      <c r="O67" s="1"/>
      <c r="P67" s="1"/>
    </row>
    <row r="68" spans="1:16" s="2" customFormat="1" ht="30" customHeight="1">
      <c r="A68" s="73"/>
      <c r="B68" s="57" t="s">
        <v>14</v>
      </c>
      <c r="C68" s="52" t="s">
        <v>321</v>
      </c>
      <c r="D68" s="52" t="s">
        <v>37</v>
      </c>
      <c r="E68" s="58">
        <v>0.5</v>
      </c>
      <c r="F68" s="111">
        <f>E68*F65</f>
        <v>250</v>
      </c>
      <c r="G68" s="58"/>
      <c r="H68" s="59"/>
      <c r="I68" s="7"/>
      <c r="J68" s="6"/>
      <c r="K68" s="3"/>
      <c r="L68" s="3"/>
      <c r="M68" s="3"/>
      <c r="N68" s="3"/>
      <c r="O68" s="1"/>
      <c r="P68" s="1"/>
    </row>
    <row r="69" spans="1:16" s="2" customFormat="1" ht="24.75" customHeight="1">
      <c r="A69" s="73"/>
      <c r="B69" s="57" t="s">
        <v>16</v>
      </c>
      <c r="C69" s="52" t="s">
        <v>30</v>
      </c>
      <c r="D69" s="52" t="s">
        <v>28</v>
      </c>
      <c r="E69" s="125">
        <v>0.0097</v>
      </c>
      <c r="F69" s="100">
        <f>F65*E69</f>
        <v>4.8500000000000005</v>
      </c>
      <c r="G69" s="52"/>
      <c r="H69" s="100"/>
      <c r="I69" s="7"/>
      <c r="J69" s="6"/>
      <c r="K69" s="3"/>
      <c r="L69" s="3"/>
      <c r="M69" s="3"/>
      <c r="N69" s="3"/>
      <c r="O69" s="1"/>
      <c r="P69" s="1"/>
    </row>
    <row r="70" spans="1:8" ht="70.5" customHeight="1">
      <c r="A70" s="75" t="s">
        <v>311</v>
      </c>
      <c r="B70" s="61" t="s">
        <v>1</v>
      </c>
      <c r="C70" s="53" t="s">
        <v>325</v>
      </c>
      <c r="D70" s="53" t="s">
        <v>48</v>
      </c>
      <c r="E70" s="53"/>
      <c r="F70" s="78">
        <v>150</v>
      </c>
      <c r="G70" s="53"/>
      <c r="H70" s="221"/>
    </row>
    <row r="71" spans="1:8" ht="36.75" customHeight="1">
      <c r="A71" s="73"/>
      <c r="B71" s="57" t="s">
        <v>16</v>
      </c>
      <c r="C71" s="52" t="s">
        <v>2</v>
      </c>
      <c r="D71" s="52" t="s">
        <v>17</v>
      </c>
      <c r="E71" s="52">
        <f>1.15*0.139</f>
        <v>0.15985</v>
      </c>
      <c r="F71" s="100">
        <f>F70*E71</f>
        <v>23.9775</v>
      </c>
      <c r="G71" s="52"/>
      <c r="H71" s="104"/>
    </row>
    <row r="72" spans="1:8" ht="34.5" customHeight="1">
      <c r="A72" s="73"/>
      <c r="B72" s="57" t="s">
        <v>14</v>
      </c>
      <c r="C72" s="52" t="s">
        <v>326</v>
      </c>
      <c r="D72" s="52" t="s">
        <v>48</v>
      </c>
      <c r="E72" s="58">
        <v>1</v>
      </c>
      <c r="F72" s="111">
        <f>E72*F70</f>
        <v>150</v>
      </c>
      <c r="G72" s="58"/>
      <c r="H72" s="59"/>
    </row>
    <row r="73" spans="1:8" ht="34.5" customHeight="1">
      <c r="A73" s="73"/>
      <c r="B73" s="57" t="s">
        <v>14</v>
      </c>
      <c r="C73" s="52" t="s">
        <v>321</v>
      </c>
      <c r="D73" s="52" t="s">
        <v>37</v>
      </c>
      <c r="E73" s="58">
        <v>0.5</v>
      </c>
      <c r="F73" s="111">
        <f>E73*F70</f>
        <v>75</v>
      </c>
      <c r="G73" s="58"/>
      <c r="H73" s="59"/>
    </row>
    <row r="74" spans="1:8" ht="30" customHeight="1">
      <c r="A74" s="73"/>
      <c r="B74" s="57" t="s">
        <v>16</v>
      </c>
      <c r="C74" s="52" t="s">
        <v>30</v>
      </c>
      <c r="D74" s="52" t="s">
        <v>28</v>
      </c>
      <c r="E74" s="125">
        <v>0.0097</v>
      </c>
      <c r="F74" s="100">
        <f>F70*E74</f>
        <v>1.455</v>
      </c>
      <c r="G74" s="52"/>
      <c r="H74" s="100"/>
    </row>
    <row r="75" spans="1:8" ht="75.75" customHeight="1">
      <c r="A75" s="75" t="s">
        <v>120</v>
      </c>
      <c r="B75" s="61" t="s">
        <v>1</v>
      </c>
      <c r="C75" s="53" t="s">
        <v>328</v>
      </c>
      <c r="D75" s="53" t="s">
        <v>48</v>
      </c>
      <c r="E75" s="53"/>
      <c r="F75" s="78">
        <v>150</v>
      </c>
      <c r="G75" s="53"/>
      <c r="H75" s="221"/>
    </row>
    <row r="76" spans="1:8" ht="30" customHeight="1">
      <c r="A76" s="73"/>
      <c r="B76" s="57" t="s">
        <v>16</v>
      </c>
      <c r="C76" s="52" t="s">
        <v>2</v>
      </c>
      <c r="D76" s="52" t="s">
        <v>17</v>
      </c>
      <c r="E76" s="52">
        <f>1.15*0.139</f>
        <v>0.15985</v>
      </c>
      <c r="F76" s="100">
        <f>F75*E76</f>
        <v>23.9775</v>
      </c>
      <c r="G76" s="52"/>
      <c r="H76" s="104"/>
    </row>
    <row r="77" spans="1:8" ht="33.75" customHeight="1">
      <c r="A77" s="73"/>
      <c r="B77" s="57" t="s">
        <v>14</v>
      </c>
      <c r="C77" s="52" t="s">
        <v>331</v>
      </c>
      <c r="D77" s="52" t="s">
        <v>48</v>
      </c>
      <c r="E77" s="58">
        <v>1</v>
      </c>
      <c r="F77" s="111">
        <f>E77*F75</f>
        <v>150</v>
      </c>
      <c r="G77" s="58"/>
      <c r="H77" s="59"/>
    </row>
    <row r="78" spans="1:8" ht="26.25" customHeight="1">
      <c r="A78" s="73"/>
      <c r="B78" s="57" t="s">
        <v>14</v>
      </c>
      <c r="C78" s="52" t="s">
        <v>321</v>
      </c>
      <c r="D78" s="52" t="s">
        <v>37</v>
      </c>
      <c r="E78" s="58">
        <v>0.5</v>
      </c>
      <c r="F78" s="111">
        <f>E78*F75</f>
        <v>75</v>
      </c>
      <c r="G78" s="58"/>
      <c r="H78" s="59"/>
    </row>
    <row r="79" spans="1:8" ht="27" customHeight="1">
      <c r="A79" s="73"/>
      <c r="B79" s="57" t="s">
        <v>16</v>
      </c>
      <c r="C79" s="52" t="s">
        <v>30</v>
      </c>
      <c r="D79" s="52" t="s">
        <v>28</v>
      </c>
      <c r="E79" s="125">
        <v>0.0097</v>
      </c>
      <c r="F79" s="100">
        <f>F75*E79</f>
        <v>1.455</v>
      </c>
      <c r="G79" s="52"/>
      <c r="H79" s="100"/>
    </row>
    <row r="80" spans="1:8" ht="56.25" customHeight="1">
      <c r="A80" s="77">
        <v>18</v>
      </c>
      <c r="B80" s="123" t="s">
        <v>227</v>
      </c>
      <c r="C80" s="92" t="s">
        <v>228</v>
      </c>
      <c r="D80" s="53" t="s">
        <v>37</v>
      </c>
      <c r="E80" s="53"/>
      <c r="F80" s="78">
        <v>4</v>
      </c>
      <c r="G80" s="53"/>
      <c r="H80" s="221"/>
    </row>
    <row r="81" spans="1:8" ht="28.5" customHeight="1">
      <c r="A81" s="200"/>
      <c r="B81" s="93" t="s">
        <v>16</v>
      </c>
      <c r="C81" s="201" t="s">
        <v>229</v>
      </c>
      <c r="D81" s="52" t="s">
        <v>17</v>
      </c>
      <c r="E81" s="52">
        <f>1.15*0.59</f>
        <v>0.6784999999999999</v>
      </c>
      <c r="F81" s="100">
        <f>F80*E81</f>
        <v>2.7139999999999995</v>
      </c>
      <c r="G81" s="202"/>
      <c r="H81" s="104"/>
    </row>
    <row r="82" spans="1:8" ht="30" customHeight="1">
      <c r="A82" s="200"/>
      <c r="B82" s="93" t="s">
        <v>420</v>
      </c>
      <c r="C82" s="201" t="s">
        <v>230</v>
      </c>
      <c r="D82" s="45" t="s">
        <v>35</v>
      </c>
      <c r="E82" s="52">
        <v>0.12</v>
      </c>
      <c r="F82" s="100">
        <f>F80*E82</f>
        <v>0.48</v>
      </c>
      <c r="G82" s="52"/>
      <c r="H82" s="104"/>
    </row>
    <row r="83" spans="1:8" ht="25.5" customHeight="1">
      <c r="A83" s="200"/>
      <c r="B83" s="93" t="s">
        <v>14</v>
      </c>
      <c r="C83" s="201" t="s">
        <v>231</v>
      </c>
      <c r="D83" s="45" t="s">
        <v>35</v>
      </c>
      <c r="E83" s="52">
        <v>0.45</v>
      </c>
      <c r="F83" s="100">
        <f>F80*E83</f>
        <v>1.8</v>
      </c>
      <c r="G83" s="52"/>
      <c r="H83" s="104"/>
    </row>
    <row r="84" spans="1:8" ht="24.75" customHeight="1">
      <c r="A84" s="200"/>
      <c r="B84" s="93" t="s">
        <v>14</v>
      </c>
      <c r="C84" s="201" t="s">
        <v>78</v>
      </c>
      <c r="D84" s="52" t="s">
        <v>48</v>
      </c>
      <c r="E84" s="103">
        <v>3</v>
      </c>
      <c r="F84" s="82">
        <f>E84*F80</f>
        <v>12</v>
      </c>
      <c r="G84" s="52"/>
      <c r="H84" s="104"/>
    </row>
    <row r="85" spans="1:8" ht="25.5" customHeight="1">
      <c r="A85" s="200"/>
      <c r="B85" s="93" t="s">
        <v>16</v>
      </c>
      <c r="C85" s="201" t="s">
        <v>140</v>
      </c>
      <c r="D85" s="52" t="s">
        <v>28</v>
      </c>
      <c r="E85" s="52">
        <f>1.15*0.06</f>
        <v>0.06899999999999999</v>
      </c>
      <c r="F85" s="100">
        <f>F80*E85</f>
        <v>0.27599999999999997</v>
      </c>
      <c r="G85" s="52"/>
      <c r="H85" s="104"/>
    </row>
    <row r="86" spans="1:8" ht="50.25" customHeight="1">
      <c r="A86" s="77">
        <v>19</v>
      </c>
      <c r="B86" s="123" t="s">
        <v>232</v>
      </c>
      <c r="C86" s="92" t="s">
        <v>233</v>
      </c>
      <c r="D86" s="53" t="s">
        <v>48</v>
      </c>
      <c r="E86" s="53"/>
      <c r="F86" s="78">
        <v>16</v>
      </c>
      <c r="G86" s="53"/>
      <c r="H86" s="221"/>
    </row>
    <row r="87" spans="1:8" ht="27" customHeight="1">
      <c r="A87" s="73"/>
      <c r="B87" s="45" t="s">
        <v>16</v>
      </c>
      <c r="C87" s="52" t="s">
        <v>234</v>
      </c>
      <c r="D87" s="52" t="s">
        <v>17</v>
      </c>
      <c r="E87" s="52">
        <f>1.15*1.32</f>
        <v>1.518</v>
      </c>
      <c r="F87" s="103">
        <f>E87*F86</f>
        <v>24.288</v>
      </c>
      <c r="G87" s="52"/>
      <c r="H87" s="104"/>
    </row>
    <row r="88" spans="1:8" ht="30.75" customHeight="1">
      <c r="A88" s="73"/>
      <c r="B88" s="57" t="s">
        <v>420</v>
      </c>
      <c r="C88" s="52" t="s">
        <v>235</v>
      </c>
      <c r="D88" s="45" t="s">
        <v>35</v>
      </c>
      <c r="E88" s="125">
        <v>0.0035</v>
      </c>
      <c r="F88" s="146">
        <f>F86*E88</f>
        <v>0.056</v>
      </c>
      <c r="G88" s="202"/>
      <c r="H88" s="100"/>
    </row>
    <row r="89" spans="1:8" ht="30" customHeight="1">
      <c r="A89" s="73"/>
      <c r="B89" s="45" t="s">
        <v>16</v>
      </c>
      <c r="C89" s="52" t="s">
        <v>236</v>
      </c>
      <c r="D89" s="52" t="s">
        <v>28</v>
      </c>
      <c r="E89" s="52">
        <f>1.15*0.123</f>
        <v>0.14145</v>
      </c>
      <c r="F89" s="103">
        <f>F86*E89</f>
        <v>2.2632</v>
      </c>
      <c r="G89" s="52"/>
      <c r="H89" s="100"/>
    </row>
    <row r="90" spans="1:8" ht="27" customHeight="1">
      <c r="A90" s="73"/>
      <c r="B90" s="57" t="s">
        <v>14</v>
      </c>
      <c r="C90" s="52" t="s">
        <v>237</v>
      </c>
      <c r="D90" s="52" t="s">
        <v>48</v>
      </c>
      <c r="E90" s="52">
        <v>1</v>
      </c>
      <c r="F90" s="82">
        <f>E90*F86</f>
        <v>16</v>
      </c>
      <c r="G90" s="52"/>
      <c r="H90" s="100"/>
    </row>
    <row r="91" spans="1:8" ht="36" customHeight="1">
      <c r="A91" s="73"/>
      <c r="B91" s="45" t="s">
        <v>16</v>
      </c>
      <c r="C91" s="52" t="s">
        <v>30</v>
      </c>
      <c r="D91" s="52" t="s">
        <v>28</v>
      </c>
      <c r="E91" s="52">
        <v>0.0052</v>
      </c>
      <c r="F91" s="100">
        <f>F86*E91</f>
        <v>0.0832</v>
      </c>
      <c r="G91" s="52"/>
      <c r="H91" s="100"/>
    </row>
    <row r="92" spans="1:8" ht="30.75" customHeight="1">
      <c r="A92" s="82"/>
      <c r="B92" s="57"/>
      <c r="C92" s="62" t="s">
        <v>238</v>
      </c>
      <c r="D92" s="52" t="s">
        <v>28</v>
      </c>
      <c r="E92" s="52"/>
      <c r="F92" s="100"/>
      <c r="G92" s="52"/>
      <c r="H92" s="80">
        <f>H8+H13+H17+H21+H25+H49+H53+H57+H61+H65+H70+H75+H80+H86+H29+H33+H37+H41+H45</f>
        <v>0</v>
      </c>
    </row>
    <row r="93" spans="1:8" ht="31.5" customHeight="1">
      <c r="A93" s="82"/>
      <c r="B93" s="57"/>
      <c r="C93" s="52" t="s">
        <v>239</v>
      </c>
      <c r="D93" s="52" t="s">
        <v>28</v>
      </c>
      <c r="E93" s="52"/>
      <c r="F93" s="100"/>
      <c r="G93" s="52"/>
      <c r="H93" s="59">
        <f>H9+H14+H18+H22+H26+H50+H54+H58+H62+H66+H71+H76+H81+H87+H30+H34+H38+H42+H46</f>
        <v>0</v>
      </c>
    </row>
    <row r="94" spans="1:8" ht="29.25" customHeight="1">
      <c r="A94" s="82"/>
      <c r="B94" s="57"/>
      <c r="C94" s="52" t="s">
        <v>240</v>
      </c>
      <c r="D94" s="52" t="s">
        <v>28</v>
      </c>
      <c r="E94" s="52"/>
      <c r="F94" s="147">
        <v>0.75</v>
      </c>
      <c r="G94" s="52"/>
      <c r="H94" s="59">
        <f>H93*F94</f>
        <v>0</v>
      </c>
    </row>
    <row r="95" spans="1:8" ht="33.75" customHeight="1">
      <c r="A95" s="78"/>
      <c r="B95" s="61"/>
      <c r="C95" s="53" t="s">
        <v>75</v>
      </c>
      <c r="D95" s="53" t="s">
        <v>28</v>
      </c>
      <c r="E95" s="53"/>
      <c r="F95" s="53"/>
      <c r="G95" s="53"/>
      <c r="H95" s="80">
        <f>H92+H94</f>
        <v>0</v>
      </c>
    </row>
    <row r="96" spans="1:8" ht="30.75" customHeight="1">
      <c r="A96" s="82"/>
      <c r="B96" s="57"/>
      <c r="C96" s="52" t="s">
        <v>29</v>
      </c>
      <c r="D96" s="52" t="s">
        <v>28</v>
      </c>
      <c r="E96" s="52"/>
      <c r="F96" s="147">
        <v>0.08</v>
      </c>
      <c r="G96" s="52"/>
      <c r="H96" s="59">
        <f>H95*F96</f>
        <v>0</v>
      </c>
    </row>
    <row r="97" spans="1:8" ht="27.75" customHeight="1">
      <c r="A97" s="82"/>
      <c r="B97" s="57"/>
      <c r="C97" s="53" t="s">
        <v>205</v>
      </c>
      <c r="D97" s="53" t="s">
        <v>28</v>
      </c>
      <c r="E97" s="52"/>
      <c r="F97" s="147"/>
      <c r="G97" s="52"/>
      <c r="H97" s="80">
        <f>SUM(H95:H96)</f>
        <v>0</v>
      </c>
    </row>
    <row r="98" spans="1:8" ht="15.75">
      <c r="A98" s="164"/>
      <c r="B98" s="68"/>
      <c r="C98" s="165"/>
      <c r="D98" s="69"/>
      <c r="E98" s="166"/>
      <c r="F98" s="166"/>
      <c r="G98" s="166"/>
      <c r="H98" s="88"/>
    </row>
    <row r="99" spans="1:8" ht="15.75">
      <c r="A99" s="164"/>
      <c r="B99" s="68"/>
      <c r="C99" s="165"/>
      <c r="D99" s="69"/>
      <c r="E99" s="166"/>
      <c r="F99" s="166"/>
      <c r="G99" s="166"/>
      <c r="H99" s="88"/>
    </row>
    <row r="100" spans="1:8" ht="15.75" customHeight="1">
      <c r="A100" s="46"/>
      <c r="B100" s="68"/>
      <c r="C100" s="49"/>
      <c r="D100" s="230"/>
      <c r="E100" s="230"/>
      <c r="F100" s="230"/>
      <c r="G100" s="167"/>
      <c r="H100" s="138"/>
    </row>
    <row r="101" spans="1:8" ht="15.75">
      <c r="A101" s="48"/>
      <c r="B101" s="68"/>
      <c r="C101" s="49"/>
      <c r="D101" s="49"/>
      <c r="E101" s="49"/>
      <c r="F101" s="49"/>
      <c r="G101" s="49"/>
      <c r="H101" s="138"/>
    </row>
  </sheetData>
  <sheetProtection/>
  <mergeCells count="10">
    <mergeCell ref="D100:F100"/>
    <mergeCell ref="A4:A5"/>
    <mergeCell ref="B4:B5"/>
    <mergeCell ref="C4:C5"/>
    <mergeCell ref="D4:D5"/>
    <mergeCell ref="E4:F4"/>
    <mergeCell ref="G4:H4"/>
    <mergeCell ref="A1:H1"/>
    <mergeCell ref="A2:H2"/>
    <mergeCell ref="A3:H3"/>
  </mergeCells>
  <printOptions/>
  <pageMargins left="0.7" right="0.36" top="0.4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90"/>
  <sheetViews>
    <sheetView zoomScalePageLayoutView="0" workbookViewId="0" topLeftCell="A36">
      <selection activeCell="H42" sqref="G9:H42"/>
    </sheetView>
  </sheetViews>
  <sheetFormatPr defaultColWidth="9.140625" defaultRowHeight="12.75"/>
  <cols>
    <col min="1" max="1" width="3.57421875" style="35" customWidth="1"/>
    <col min="2" max="2" width="10.57421875" style="31" customWidth="1"/>
    <col min="3" max="3" width="36.421875" style="32" customWidth="1"/>
    <col min="4" max="4" width="6.7109375" style="33" customWidth="1"/>
    <col min="5" max="5" width="6.7109375" style="21" customWidth="1"/>
    <col min="6" max="6" width="8.421875" style="34" customWidth="1"/>
    <col min="7" max="7" width="7.7109375" style="26" customWidth="1"/>
    <col min="8" max="8" width="8.57421875" style="25" customWidth="1"/>
    <col min="9" max="9" width="9.140625" style="20" customWidth="1"/>
    <col min="10" max="10" width="9.421875" style="20" bestFit="1" customWidth="1"/>
    <col min="11" max="11" width="9.140625" style="21" customWidth="1"/>
    <col min="12" max="16384" width="9.140625" style="20" customWidth="1"/>
  </cols>
  <sheetData>
    <row r="1" spans="1:11" s="1" customFormat="1" ht="32.25" customHeight="1">
      <c r="A1" s="242" t="s">
        <v>421</v>
      </c>
      <c r="B1" s="237"/>
      <c r="C1" s="237"/>
      <c r="D1" s="237"/>
      <c r="E1" s="237"/>
      <c r="F1" s="237"/>
      <c r="G1" s="237"/>
      <c r="H1" s="237"/>
      <c r="I1" s="3"/>
      <c r="J1" s="3"/>
      <c r="K1" s="3"/>
    </row>
    <row r="2" spans="1:8" s="1" customFormat="1" ht="18" customHeight="1">
      <c r="A2" s="243" t="s">
        <v>145</v>
      </c>
      <c r="B2" s="243"/>
      <c r="C2" s="243"/>
      <c r="D2" s="243"/>
      <c r="E2" s="243"/>
      <c r="F2" s="243"/>
      <c r="G2" s="243"/>
      <c r="H2" s="243"/>
    </row>
    <row r="3" spans="1:11" s="1" customFormat="1" ht="7.5" customHeight="1">
      <c r="A3" s="230"/>
      <c r="B3" s="230"/>
      <c r="C3" s="230"/>
      <c r="D3" s="230"/>
      <c r="E3" s="230"/>
      <c r="F3" s="230"/>
      <c r="G3" s="230"/>
      <c r="H3" s="230"/>
      <c r="I3" s="3"/>
      <c r="J3" s="3"/>
      <c r="K3" s="3"/>
    </row>
    <row r="4" spans="1:8" s="1" customFormat="1" ht="16.5" customHeight="1">
      <c r="A4" s="244" t="s">
        <v>241</v>
      </c>
      <c r="B4" s="244"/>
      <c r="C4" s="244"/>
      <c r="D4" s="244"/>
      <c r="E4" s="244"/>
      <c r="F4" s="244"/>
      <c r="G4" s="244"/>
      <c r="H4" s="244"/>
    </row>
    <row r="5" spans="1:8" s="1" customFormat="1" ht="26.25" customHeight="1">
      <c r="A5" s="247" t="s">
        <v>19</v>
      </c>
      <c r="B5" s="248" t="s">
        <v>20</v>
      </c>
      <c r="C5" s="240" t="s">
        <v>21</v>
      </c>
      <c r="D5" s="241" t="s">
        <v>18</v>
      </c>
      <c r="E5" s="239" t="s">
        <v>22</v>
      </c>
      <c r="F5" s="239"/>
      <c r="G5" s="239" t="s">
        <v>13</v>
      </c>
      <c r="H5" s="239"/>
    </row>
    <row r="6" spans="1:10" s="1" customFormat="1" ht="60.75" customHeight="1">
      <c r="A6" s="247"/>
      <c r="B6" s="248"/>
      <c r="C6" s="240"/>
      <c r="D6" s="241"/>
      <c r="E6" s="56" t="s">
        <v>23</v>
      </c>
      <c r="F6" s="56" t="s">
        <v>24</v>
      </c>
      <c r="G6" s="56" t="s">
        <v>23</v>
      </c>
      <c r="H6" s="149" t="s">
        <v>24</v>
      </c>
      <c r="J6" s="3"/>
    </row>
    <row r="7" spans="1:8" s="5" customFormat="1" ht="12" customHeight="1">
      <c r="A7" s="152" t="s">
        <v>25</v>
      </c>
      <c r="B7" s="61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8">
        <v>8</v>
      </c>
    </row>
    <row r="8" spans="1:8" s="5" customFormat="1" ht="21" customHeight="1" hidden="1">
      <c r="A8" s="152"/>
      <c r="B8" s="61"/>
      <c r="C8" s="76"/>
      <c r="D8" s="76"/>
      <c r="E8" s="76"/>
      <c r="F8" s="76"/>
      <c r="G8" s="76"/>
      <c r="H8" s="78"/>
    </row>
    <row r="9" spans="1:11" s="13" customFormat="1" ht="59.25" customHeight="1">
      <c r="A9" s="78">
        <v>1</v>
      </c>
      <c r="B9" s="61" t="s">
        <v>4</v>
      </c>
      <c r="C9" s="53" t="s">
        <v>242</v>
      </c>
      <c r="D9" s="53" t="s">
        <v>62</v>
      </c>
      <c r="E9" s="53"/>
      <c r="F9" s="109">
        <v>1</v>
      </c>
      <c r="G9" s="53"/>
      <c r="H9" s="221"/>
      <c r="I9" s="14"/>
      <c r="J9" s="14"/>
      <c r="K9" s="17"/>
    </row>
    <row r="10" spans="1:11" s="2" customFormat="1" ht="27.75" customHeight="1">
      <c r="A10" s="73"/>
      <c r="B10" s="57" t="s">
        <v>16</v>
      </c>
      <c r="C10" s="52" t="s">
        <v>243</v>
      </c>
      <c r="D10" s="52" t="s">
        <v>17</v>
      </c>
      <c r="E10" s="52">
        <v>35.65</v>
      </c>
      <c r="F10" s="100">
        <f>F9*E10</f>
        <v>35.65</v>
      </c>
      <c r="G10" s="52"/>
      <c r="H10" s="104"/>
      <c r="I10" s="37"/>
      <c r="J10" s="14"/>
      <c r="K10" s="37"/>
    </row>
    <row r="11" spans="1:11" s="2" customFormat="1" ht="33" customHeight="1">
      <c r="A11" s="73"/>
      <c r="B11" s="98" t="s">
        <v>412</v>
      </c>
      <c r="C11" s="52" t="s">
        <v>244</v>
      </c>
      <c r="D11" s="52" t="s">
        <v>37</v>
      </c>
      <c r="E11" s="121">
        <v>1</v>
      </c>
      <c r="F11" s="100">
        <v>1</v>
      </c>
      <c r="G11" s="101"/>
      <c r="H11" s="104"/>
      <c r="I11" s="37"/>
      <c r="J11" s="14"/>
      <c r="K11" s="37"/>
    </row>
    <row r="12" spans="1:11" s="2" customFormat="1" ht="24" customHeight="1">
      <c r="A12" s="73"/>
      <c r="B12" s="98" t="s">
        <v>413</v>
      </c>
      <c r="C12" s="52" t="s">
        <v>245</v>
      </c>
      <c r="D12" s="52" t="s">
        <v>37</v>
      </c>
      <c r="E12" s="121">
        <v>1</v>
      </c>
      <c r="F12" s="100">
        <v>1</v>
      </c>
      <c r="G12" s="182"/>
      <c r="H12" s="122"/>
      <c r="I12" s="37"/>
      <c r="J12" s="14"/>
      <c r="K12" s="37"/>
    </row>
    <row r="13" spans="1:11" s="2" customFormat="1" ht="30" customHeight="1">
      <c r="A13" s="73"/>
      <c r="B13" s="57" t="s">
        <v>16</v>
      </c>
      <c r="C13" s="52" t="s">
        <v>246</v>
      </c>
      <c r="D13" s="52" t="s">
        <v>28</v>
      </c>
      <c r="E13" s="146">
        <v>2.88</v>
      </c>
      <c r="F13" s="100">
        <f>F9*E13</f>
        <v>2.88</v>
      </c>
      <c r="G13" s="52"/>
      <c r="H13" s="104"/>
      <c r="I13" s="37"/>
      <c r="J13" s="14"/>
      <c r="K13" s="10"/>
    </row>
    <row r="14" spans="1:11" s="5" customFormat="1" ht="48.75" customHeight="1">
      <c r="A14" s="78">
        <v>2</v>
      </c>
      <c r="B14" s="61" t="s">
        <v>5</v>
      </c>
      <c r="C14" s="53" t="s">
        <v>247</v>
      </c>
      <c r="D14" s="53" t="s">
        <v>62</v>
      </c>
      <c r="E14" s="53"/>
      <c r="F14" s="109">
        <v>16</v>
      </c>
      <c r="G14" s="53"/>
      <c r="H14" s="221"/>
      <c r="I14" s="14"/>
      <c r="J14" s="14"/>
      <c r="K14" s="36"/>
    </row>
    <row r="15" spans="1:11" s="4" customFormat="1" ht="21" customHeight="1">
      <c r="A15" s="73"/>
      <c r="B15" s="57" t="s">
        <v>16</v>
      </c>
      <c r="C15" s="52" t="s">
        <v>248</v>
      </c>
      <c r="D15" s="52" t="s">
        <v>17</v>
      </c>
      <c r="E15" s="52">
        <v>1.15</v>
      </c>
      <c r="F15" s="100">
        <f>F14*E15</f>
        <v>18.4</v>
      </c>
      <c r="G15" s="52"/>
      <c r="H15" s="104"/>
      <c r="I15" s="37"/>
      <c r="J15" s="14"/>
      <c r="K15" s="38" t="s">
        <v>249</v>
      </c>
    </row>
    <row r="16" spans="1:11" s="4" customFormat="1" ht="27" customHeight="1">
      <c r="A16" s="73"/>
      <c r="B16" s="98" t="s">
        <v>414</v>
      </c>
      <c r="C16" s="52" t="s">
        <v>250</v>
      </c>
      <c r="D16" s="52" t="s">
        <v>37</v>
      </c>
      <c r="E16" s="183">
        <v>1</v>
      </c>
      <c r="F16" s="59">
        <f>E16*F14</f>
        <v>16</v>
      </c>
      <c r="G16" s="184"/>
      <c r="H16" s="122"/>
      <c r="I16" s="37"/>
      <c r="J16" s="14"/>
      <c r="K16" s="38"/>
    </row>
    <row r="17" spans="1:11" s="4" customFormat="1" ht="24.75" customHeight="1">
      <c r="A17" s="73"/>
      <c r="B17" s="93" t="s">
        <v>415</v>
      </c>
      <c r="C17" s="52" t="s">
        <v>251</v>
      </c>
      <c r="D17" s="52" t="s">
        <v>37</v>
      </c>
      <c r="E17" s="183">
        <v>1</v>
      </c>
      <c r="F17" s="59">
        <f>E17*F14</f>
        <v>16</v>
      </c>
      <c r="G17" s="184"/>
      <c r="H17" s="122"/>
      <c r="I17" s="37"/>
      <c r="J17" s="14"/>
      <c r="K17" s="38"/>
    </row>
    <row r="18" spans="1:17" s="4" customFormat="1" ht="20.25" customHeight="1">
      <c r="A18" s="73"/>
      <c r="B18" s="57" t="s">
        <v>16</v>
      </c>
      <c r="C18" s="52" t="s">
        <v>246</v>
      </c>
      <c r="D18" s="52" t="s">
        <v>28</v>
      </c>
      <c r="E18" s="125">
        <v>0.09</v>
      </c>
      <c r="F18" s="100">
        <f>F14*E18</f>
        <v>1.44</v>
      </c>
      <c r="G18" s="52"/>
      <c r="H18" s="104"/>
      <c r="I18" s="37"/>
      <c r="J18" s="14"/>
      <c r="K18" s="41"/>
      <c r="Q18" s="4" t="s">
        <v>252</v>
      </c>
    </row>
    <row r="19" spans="1:21" s="5" customFormat="1" ht="46.5" customHeight="1">
      <c r="A19" s="78">
        <v>3</v>
      </c>
      <c r="B19" s="61" t="s">
        <v>6</v>
      </c>
      <c r="C19" s="53" t="s">
        <v>7</v>
      </c>
      <c r="D19" s="53" t="s">
        <v>37</v>
      </c>
      <c r="E19" s="53"/>
      <c r="F19" s="109">
        <v>2</v>
      </c>
      <c r="G19" s="53"/>
      <c r="H19" s="221"/>
      <c r="I19" s="14"/>
      <c r="J19" s="14"/>
      <c r="K19" s="36"/>
      <c r="U19" s="5" t="s">
        <v>253</v>
      </c>
    </row>
    <row r="20" spans="1:11" s="4" customFormat="1" ht="24" customHeight="1">
      <c r="A20" s="73"/>
      <c r="B20" s="57" t="s">
        <v>16</v>
      </c>
      <c r="C20" s="52" t="s">
        <v>254</v>
      </c>
      <c r="D20" s="52" t="s">
        <v>17</v>
      </c>
      <c r="E20" s="146">
        <v>2.3</v>
      </c>
      <c r="F20" s="100">
        <f>F19*E20</f>
        <v>4.6</v>
      </c>
      <c r="G20" s="52"/>
      <c r="H20" s="104"/>
      <c r="I20" s="37"/>
      <c r="J20" s="14"/>
      <c r="K20" s="38"/>
    </row>
    <row r="21" spans="1:19" s="4" customFormat="1" ht="28.5" customHeight="1">
      <c r="A21" s="73"/>
      <c r="B21" s="98" t="s">
        <v>416</v>
      </c>
      <c r="C21" s="52" t="s">
        <v>255</v>
      </c>
      <c r="D21" s="52" t="s">
        <v>37</v>
      </c>
      <c r="E21" s="112">
        <v>1</v>
      </c>
      <c r="F21" s="59">
        <f>F19*E21</f>
        <v>2</v>
      </c>
      <c r="G21" s="184"/>
      <c r="H21" s="122"/>
      <c r="I21" s="37"/>
      <c r="J21" s="14"/>
      <c r="K21" s="38"/>
      <c r="S21" s="4" t="s">
        <v>256</v>
      </c>
    </row>
    <row r="22" spans="1:19" s="4" customFormat="1" ht="24" customHeight="1">
      <c r="A22" s="73"/>
      <c r="B22" s="57" t="s">
        <v>16</v>
      </c>
      <c r="C22" s="52" t="s">
        <v>246</v>
      </c>
      <c r="D22" s="52" t="s">
        <v>28</v>
      </c>
      <c r="E22" s="146">
        <v>0.14</v>
      </c>
      <c r="F22" s="100">
        <f>F19*E22</f>
        <v>0.28</v>
      </c>
      <c r="G22" s="52"/>
      <c r="H22" s="104"/>
      <c r="I22" s="37"/>
      <c r="J22" s="14"/>
      <c r="K22" s="41"/>
      <c r="S22" s="4" t="s">
        <v>257</v>
      </c>
    </row>
    <row r="23" spans="1:11" s="5" customFormat="1" ht="39" customHeight="1">
      <c r="A23" s="78">
        <v>4</v>
      </c>
      <c r="B23" s="61" t="s">
        <v>8</v>
      </c>
      <c r="C23" s="53" t="s">
        <v>258</v>
      </c>
      <c r="D23" s="53" t="s">
        <v>37</v>
      </c>
      <c r="E23" s="185"/>
      <c r="F23" s="109">
        <v>4</v>
      </c>
      <c r="G23" s="53"/>
      <c r="H23" s="221"/>
      <c r="I23" s="14"/>
      <c r="J23" s="14"/>
      <c r="K23" s="36"/>
    </row>
    <row r="24" spans="1:11" s="4" customFormat="1" ht="28.5" customHeight="1">
      <c r="A24" s="73"/>
      <c r="B24" s="57" t="s">
        <v>16</v>
      </c>
      <c r="C24" s="52" t="s">
        <v>259</v>
      </c>
      <c r="D24" s="52" t="s">
        <v>17</v>
      </c>
      <c r="E24" s="146">
        <v>3.45</v>
      </c>
      <c r="F24" s="100">
        <f>F23*E24</f>
        <v>13.8</v>
      </c>
      <c r="G24" s="52"/>
      <c r="H24" s="104"/>
      <c r="I24" s="37"/>
      <c r="J24" s="14"/>
      <c r="K24" s="38"/>
    </row>
    <row r="25" spans="1:11" s="4" customFormat="1" ht="24" customHeight="1">
      <c r="A25" s="73"/>
      <c r="B25" s="98" t="s">
        <v>260</v>
      </c>
      <c r="C25" s="52" t="s">
        <v>261</v>
      </c>
      <c r="D25" s="52" t="s">
        <v>37</v>
      </c>
      <c r="E25" s="112">
        <v>1</v>
      </c>
      <c r="F25" s="59">
        <f>E25*F23</f>
        <v>4</v>
      </c>
      <c r="G25" s="184"/>
      <c r="H25" s="122"/>
      <c r="I25" s="37"/>
      <c r="J25" s="14"/>
      <c r="K25" s="38"/>
    </row>
    <row r="26" spans="1:11" s="4" customFormat="1" ht="22.5" customHeight="1">
      <c r="A26" s="73"/>
      <c r="B26" s="57" t="s">
        <v>16</v>
      </c>
      <c r="C26" s="52" t="s">
        <v>246</v>
      </c>
      <c r="D26" s="52" t="s">
        <v>28</v>
      </c>
      <c r="E26" s="146">
        <v>0.14</v>
      </c>
      <c r="F26" s="100">
        <f>F23*E26</f>
        <v>0.56</v>
      </c>
      <c r="G26" s="52"/>
      <c r="H26" s="104"/>
      <c r="I26" s="37"/>
      <c r="J26" s="14"/>
      <c r="K26" s="41"/>
    </row>
    <row r="27" spans="1:11" s="5" customFormat="1" ht="39.75" customHeight="1">
      <c r="A27" s="78">
        <v>5</v>
      </c>
      <c r="B27" s="61" t="s">
        <v>8</v>
      </c>
      <c r="C27" s="53" t="s">
        <v>262</v>
      </c>
      <c r="D27" s="53" t="s">
        <v>37</v>
      </c>
      <c r="E27" s="185"/>
      <c r="F27" s="109">
        <v>5</v>
      </c>
      <c r="G27" s="53"/>
      <c r="H27" s="221"/>
      <c r="I27" s="14"/>
      <c r="J27" s="14"/>
      <c r="K27" s="36"/>
    </row>
    <row r="28" spans="1:11" s="4" customFormat="1" ht="30" customHeight="1">
      <c r="A28" s="73"/>
      <c r="B28" s="57" t="s">
        <v>16</v>
      </c>
      <c r="C28" s="52" t="s">
        <v>259</v>
      </c>
      <c r="D28" s="52" t="s">
        <v>17</v>
      </c>
      <c r="E28" s="146">
        <v>3.45</v>
      </c>
      <c r="F28" s="100">
        <f>F27*E28</f>
        <v>17.25</v>
      </c>
      <c r="G28" s="52"/>
      <c r="H28" s="104"/>
      <c r="I28" s="37"/>
      <c r="J28" s="14"/>
      <c r="K28" s="38"/>
    </row>
    <row r="29" spans="1:12" s="4" customFormat="1" ht="30" customHeight="1">
      <c r="A29" s="73"/>
      <c r="B29" s="93" t="s">
        <v>14</v>
      </c>
      <c r="C29" s="52" t="s">
        <v>263</v>
      </c>
      <c r="D29" s="52" t="s">
        <v>37</v>
      </c>
      <c r="E29" s="146">
        <v>1</v>
      </c>
      <c r="F29" s="100">
        <f>E29*F27</f>
        <v>5</v>
      </c>
      <c r="G29" s="182"/>
      <c r="H29" s="122"/>
      <c r="I29" s="37"/>
      <c r="J29" s="14"/>
      <c r="K29" s="41"/>
      <c r="L29" s="39"/>
    </row>
    <row r="30" spans="1:11" s="5" customFormat="1" ht="24" customHeight="1">
      <c r="A30" s="73"/>
      <c r="B30" s="57" t="s">
        <v>16</v>
      </c>
      <c r="C30" s="52" t="s">
        <v>246</v>
      </c>
      <c r="D30" s="52" t="s">
        <v>28</v>
      </c>
      <c r="E30" s="146">
        <v>0.14</v>
      </c>
      <c r="F30" s="100">
        <f>F27*E30</f>
        <v>0.7000000000000001</v>
      </c>
      <c r="G30" s="52"/>
      <c r="H30" s="104"/>
      <c r="I30" s="22"/>
      <c r="J30" s="26"/>
      <c r="K30" s="22"/>
    </row>
    <row r="31" spans="1:8" s="4" customFormat="1" ht="45.75" customHeight="1">
      <c r="A31" s="78">
        <v>6</v>
      </c>
      <c r="B31" s="61" t="s">
        <v>9</v>
      </c>
      <c r="C31" s="92" t="s">
        <v>264</v>
      </c>
      <c r="D31" s="126" t="s">
        <v>265</v>
      </c>
      <c r="E31" s="185"/>
      <c r="F31" s="109">
        <v>150</v>
      </c>
      <c r="G31" s="53"/>
      <c r="H31" s="221"/>
    </row>
    <row r="32" spans="1:11" s="4" customFormat="1" ht="30.75" customHeight="1">
      <c r="A32" s="73"/>
      <c r="B32" s="57" t="s">
        <v>16</v>
      </c>
      <c r="C32" s="52" t="s">
        <v>266</v>
      </c>
      <c r="D32" s="52" t="s">
        <v>17</v>
      </c>
      <c r="E32" s="146">
        <v>0.15</v>
      </c>
      <c r="F32" s="100">
        <f>F31*E32</f>
        <v>22.5</v>
      </c>
      <c r="G32" s="52"/>
      <c r="H32" s="104"/>
      <c r="I32" s="18"/>
      <c r="J32" s="18"/>
      <c r="K32" s="18"/>
    </row>
    <row r="33" spans="1:11" s="4" customFormat="1" ht="28.5" customHeight="1">
      <c r="A33" s="73"/>
      <c r="B33" s="98" t="s">
        <v>417</v>
      </c>
      <c r="C33" s="52" t="s">
        <v>267</v>
      </c>
      <c r="D33" s="52" t="s">
        <v>50</v>
      </c>
      <c r="E33" s="146">
        <v>1</v>
      </c>
      <c r="F33" s="100">
        <f>F31*E33</f>
        <v>150</v>
      </c>
      <c r="G33" s="182"/>
      <c r="H33" s="122"/>
      <c r="I33" s="18"/>
      <c r="J33" s="18"/>
      <c r="K33" s="18"/>
    </row>
    <row r="34" spans="1:11" s="4" customFormat="1" ht="25.5" customHeight="1">
      <c r="A34" s="73"/>
      <c r="B34" s="57" t="s">
        <v>16</v>
      </c>
      <c r="C34" s="52" t="s">
        <v>246</v>
      </c>
      <c r="D34" s="52" t="s">
        <v>28</v>
      </c>
      <c r="E34" s="125">
        <v>0.0041</v>
      </c>
      <c r="F34" s="100">
        <f>F31*E34</f>
        <v>0.6150000000000001</v>
      </c>
      <c r="G34" s="52"/>
      <c r="H34" s="104"/>
      <c r="I34" s="18"/>
      <c r="J34" s="18"/>
      <c r="K34" s="18"/>
    </row>
    <row r="35" spans="1:11" s="4" customFormat="1" ht="54.75" customHeight="1">
      <c r="A35" s="78">
        <v>7</v>
      </c>
      <c r="B35" s="61" t="s">
        <v>9</v>
      </c>
      <c r="C35" s="92" t="s">
        <v>268</v>
      </c>
      <c r="D35" s="126" t="s">
        <v>265</v>
      </c>
      <c r="E35" s="185"/>
      <c r="F35" s="109">
        <v>50</v>
      </c>
      <c r="G35" s="53"/>
      <c r="H35" s="221"/>
      <c r="I35" s="1"/>
      <c r="J35" s="1"/>
      <c r="K35" s="18"/>
    </row>
    <row r="36" spans="1:11" s="5" customFormat="1" ht="27" customHeight="1">
      <c r="A36" s="73"/>
      <c r="B36" s="57" t="s">
        <v>16</v>
      </c>
      <c r="C36" s="52" t="s">
        <v>266</v>
      </c>
      <c r="D36" s="52" t="s">
        <v>17</v>
      </c>
      <c r="E36" s="146">
        <v>0.15</v>
      </c>
      <c r="F36" s="100">
        <f>F35*E36</f>
        <v>7.5</v>
      </c>
      <c r="G36" s="52"/>
      <c r="H36" s="104"/>
      <c r="I36" s="1"/>
      <c r="J36" s="3"/>
      <c r="K36" s="18"/>
    </row>
    <row r="37" spans="1:11" s="3" customFormat="1" ht="28.5" customHeight="1">
      <c r="A37" s="73"/>
      <c r="B37" s="98" t="s">
        <v>14</v>
      </c>
      <c r="C37" s="201" t="s">
        <v>269</v>
      </c>
      <c r="D37" s="52" t="s">
        <v>50</v>
      </c>
      <c r="E37" s="146">
        <v>1</v>
      </c>
      <c r="F37" s="100">
        <f>E37*F35</f>
        <v>50</v>
      </c>
      <c r="G37" s="182"/>
      <c r="H37" s="122"/>
      <c r="I37" s="20"/>
      <c r="J37" s="20"/>
      <c r="K37" s="2"/>
    </row>
    <row r="38" spans="1:11" s="186" customFormat="1" ht="22.5" customHeight="1">
      <c r="A38" s="73"/>
      <c r="B38" s="57" t="s">
        <v>16</v>
      </c>
      <c r="C38" s="52" t="s">
        <v>246</v>
      </c>
      <c r="D38" s="52" t="s">
        <v>28</v>
      </c>
      <c r="E38" s="125">
        <v>0.0041</v>
      </c>
      <c r="F38" s="100">
        <f>F35*E38</f>
        <v>0.20500000000000002</v>
      </c>
      <c r="G38" s="52"/>
      <c r="H38" s="104"/>
      <c r="I38" s="20"/>
      <c r="J38" s="20"/>
      <c r="K38" s="18"/>
    </row>
    <row r="39" spans="1:11" s="18" customFormat="1" ht="56.25" customHeight="1">
      <c r="A39" s="75" t="s">
        <v>73</v>
      </c>
      <c r="B39" s="61" t="s">
        <v>1</v>
      </c>
      <c r="C39" s="53" t="s">
        <v>270</v>
      </c>
      <c r="D39" s="53" t="s">
        <v>48</v>
      </c>
      <c r="E39" s="53"/>
      <c r="F39" s="78">
        <v>80</v>
      </c>
      <c r="G39" s="53"/>
      <c r="H39" s="221"/>
      <c r="I39" s="20"/>
      <c r="J39" s="20"/>
      <c r="K39" s="1"/>
    </row>
    <row r="40" spans="1:11" s="2" customFormat="1" ht="29.25" customHeight="1">
      <c r="A40" s="73"/>
      <c r="B40" s="57" t="s">
        <v>16</v>
      </c>
      <c r="C40" s="52" t="s">
        <v>2</v>
      </c>
      <c r="D40" s="52" t="s">
        <v>17</v>
      </c>
      <c r="E40" s="52">
        <f>1.15*0.139</f>
        <v>0.15985</v>
      </c>
      <c r="F40" s="100">
        <f>F39*E40</f>
        <v>12.788</v>
      </c>
      <c r="G40" s="52"/>
      <c r="H40" s="104"/>
      <c r="I40" s="20"/>
      <c r="J40" s="20"/>
      <c r="K40" s="21"/>
    </row>
    <row r="41" spans="1:11" s="23" customFormat="1" ht="26.25" customHeight="1">
      <c r="A41" s="73"/>
      <c r="B41" s="57" t="s">
        <v>14</v>
      </c>
      <c r="C41" s="52" t="s">
        <v>226</v>
      </c>
      <c r="D41" s="52" t="s">
        <v>48</v>
      </c>
      <c r="E41" s="58">
        <v>1.03</v>
      </c>
      <c r="F41" s="111">
        <f>E41*F39</f>
        <v>82.4</v>
      </c>
      <c r="G41" s="58"/>
      <c r="H41" s="59"/>
      <c r="I41" s="20"/>
      <c r="J41" s="20"/>
      <c r="K41" s="21"/>
    </row>
    <row r="42" spans="1:11" s="2" customFormat="1" ht="32.25" customHeight="1">
      <c r="A42" s="73"/>
      <c r="B42" s="57" t="s">
        <v>16</v>
      </c>
      <c r="C42" s="52" t="s">
        <v>30</v>
      </c>
      <c r="D42" s="52" t="s">
        <v>28</v>
      </c>
      <c r="E42" s="125">
        <v>0.0097</v>
      </c>
      <c r="F42" s="100">
        <f>F39*E42</f>
        <v>0.776</v>
      </c>
      <c r="G42" s="52"/>
      <c r="H42" s="100"/>
      <c r="I42" s="20"/>
      <c r="J42" s="20"/>
      <c r="K42" s="21"/>
    </row>
    <row r="43" spans="1:11" s="2" customFormat="1" ht="27.75" customHeight="1">
      <c r="A43" s="200"/>
      <c r="B43" s="57"/>
      <c r="C43" s="53" t="s">
        <v>271</v>
      </c>
      <c r="D43" s="52" t="s">
        <v>28</v>
      </c>
      <c r="E43" s="52"/>
      <c r="F43" s="100"/>
      <c r="G43" s="52"/>
      <c r="H43" s="129">
        <f>H9+H14+H19+H23+H27+H35+H31+H39</f>
        <v>0</v>
      </c>
      <c r="I43" s="20"/>
      <c r="J43" s="20"/>
      <c r="K43" s="21"/>
    </row>
    <row r="44" spans="1:11" s="18" customFormat="1" ht="24.75" customHeight="1">
      <c r="A44" s="200"/>
      <c r="B44" s="57"/>
      <c r="C44" s="52" t="s">
        <v>79</v>
      </c>
      <c r="D44" s="52" t="s">
        <v>28</v>
      </c>
      <c r="E44" s="52"/>
      <c r="F44" s="100"/>
      <c r="G44" s="52"/>
      <c r="H44" s="122">
        <f>H10+H15+H20+H24+H28+H36+H32+H40</f>
        <v>0</v>
      </c>
      <c r="I44" s="20"/>
      <c r="J44" s="20"/>
      <c r="K44" s="21"/>
    </row>
    <row r="45" spans="1:11" s="22" customFormat="1" ht="36.75" customHeight="1">
      <c r="A45" s="200"/>
      <c r="B45" s="57"/>
      <c r="C45" s="52" t="s">
        <v>80</v>
      </c>
      <c r="D45" s="52" t="s">
        <v>28</v>
      </c>
      <c r="E45" s="52"/>
      <c r="F45" s="147">
        <v>0.65</v>
      </c>
      <c r="G45" s="52"/>
      <c r="H45" s="104">
        <f>H44*F45</f>
        <v>0</v>
      </c>
      <c r="I45" s="20"/>
      <c r="J45" s="20"/>
      <c r="K45" s="21"/>
    </row>
    <row r="46" spans="1:11" s="186" customFormat="1" ht="24" customHeight="1">
      <c r="A46" s="95"/>
      <c r="B46" s="61"/>
      <c r="C46" s="53" t="s">
        <v>75</v>
      </c>
      <c r="D46" s="53" t="s">
        <v>28</v>
      </c>
      <c r="E46" s="53"/>
      <c r="F46" s="53"/>
      <c r="G46" s="53"/>
      <c r="H46" s="109">
        <f>H43+H45</f>
        <v>0</v>
      </c>
      <c r="I46" s="20"/>
      <c r="J46" s="20"/>
      <c r="K46" s="21"/>
    </row>
    <row r="47" spans="1:11" s="1" customFormat="1" ht="30.75" customHeight="1">
      <c r="A47" s="200"/>
      <c r="B47" s="57"/>
      <c r="C47" s="52" t="s">
        <v>272</v>
      </c>
      <c r="D47" s="52" t="s">
        <v>28</v>
      </c>
      <c r="E47" s="52"/>
      <c r="F47" s="147">
        <v>0.08</v>
      </c>
      <c r="G47" s="52"/>
      <c r="H47" s="100">
        <f>H46*F47</f>
        <v>0</v>
      </c>
      <c r="I47" s="20"/>
      <c r="J47" s="20"/>
      <c r="K47" s="21"/>
    </row>
    <row r="48" spans="1:11" s="1" customFormat="1" ht="32.25" customHeight="1">
      <c r="A48" s="200"/>
      <c r="B48" s="57"/>
      <c r="C48" s="53" t="s">
        <v>271</v>
      </c>
      <c r="D48" s="53" t="s">
        <v>28</v>
      </c>
      <c r="E48" s="52"/>
      <c r="F48" s="100"/>
      <c r="G48" s="52"/>
      <c r="H48" s="109">
        <f>SUM(H46:H47)</f>
        <v>0</v>
      </c>
      <c r="I48" s="20"/>
      <c r="J48" s="20"/>
      <c r="K48" s="21"/>
    </row>
    <row r="49" spans="1:11" s="1" customFormat="1" ht="7.5" customHeight="1">
      <c r="A49" s="46"/>
      <c r="B49" s="64"/>
      <c r="C49" s="65"/>
      <c r="D49" s="65"/>
      <c r="E49" s="47"/>
      <c r="F49" s="47"/>
      <c r="G49" s="47"/>
      <c r="H49" s="139"/>
      <c r="I49" s="20"/>
      <c r="J49" s="20"/>
      <c r="K49" s="21"/>
    </row>
    <row r="50" spans="1:11" s="1" customFormat="1" ht="5.25" customHeight="1">
      <c r="A50" s="46"/>
      <c r="B50" s="64"/>
      <c r="C50" s="65"/>
      <c r="D50" s="65"/>
      <c r="E50" s="47"/>
      <c r="F50" s="47"/>
      <c r="G50" s="47"/>
      <c r="H50" s="139"/>
      <c r="I50" s="20"/>
      <c r="J50" s="20"/>
      <c r="K50" s="21"/>
    </row>
    <row r="51" spans="1:11" s="1" customFormat="1" ht="2.25" customHeight="1">
      <c r="A51" s="46"/>
      <c r="B51" s="64"/>
      <c r="C51" s="65"/>
      <c r="D51" s="65"/>
      <c r="E51" s="47"/>
      <c r="F51" s="47"/>
      <c r="G51" s="47"/>
      <c r="H51" s="139"/>
      <c r="I51" s="20"/>
      <c r="J51" s="20"/>
      <c r="K51" s="21"/>
    </row>
    <row r="52" spans="1:11" s="1" customFormat="1" ht="6.75" customHeight="1">
      <c r="A52" s="46"/>
      <c r="B52" s="64"/>
      <c r="C52" s="65"/>
      <c r="D52" s="65"/>
      <c r="E52" s="47"/>
      <c r="F52" s="47"/>
      <c r="G52" s="47"/>
      <c r="H52" s="139"/>
      <c r="I52" s="20"/>
      <c r="J52" s="20"/>
      <c r="K52" s="21"/>
    </row>
    <row r="53" spans="1:11" s="1" customFormat="1" ht="17.25" customHeight="1">
      <c r="A53" s="46"/>
      <c r="B53" s="68"/>
      <c r="C53" s="49"/>
      <c r="D53" s="232"/>
      <c r="E53" s="232"/>
      <c r="F53" s="232"/>
      <c r="G53" s="232"/>
      <c r="H53" s="138"/>
      <c r="I53" s="20"/>
      <c r="J53" s="20"/>
      <c r="K53" s="21"/>
    </row>
    <row r="54" spans="1:11" s="1" customFormat="1" ht="15.75" customHeight="1">
      <c r="A54" s="187"/>
      <c r="B54" s="188"/>
      <c r="C54" s="85"/>
      <c r="D54" s="54"/>
      <c r="E54" s="54"/>
      <c r="F54" s="189"/>
      <c r="G54" s="86"/>
      <c r="H54" s="169"/>
      <c r="I54" s="20"/>
      <c r="J54" s="20"/>
      <c r="K54" s="21"/>
    </row>
    <row r="55" spans="1:8" ht="13.5">
      <c r="A55" s="187"/>
      <c r="B55" s="188"/>
      <c r="C55" s="85"/>
      <c r="D55" s="54"/>
      <c r="E55" s="54"/>
      <c r="F55" s="189"/>
      <c r="G55" s="86"/>
      <c r="H55" s="169"/>
    </row>
    <row r="56" spans="1:12" s="31" customFormat="1" ht="13.5">
      <c r="A56" s="187"/>
      <c r="B56" s="188"/>
      <c r="C56" s="85"/>
      <c r="D56" s="54"/>
      <c r="E56" s="54"/>
      <c r="F56" s="189"/>
      <c r="G56" s="86"/>
      <c r="H56" s="169"/>
      <c r="I56" s="20"/>
      <c r="J56" s="20"/>
      <c r="K56" s="21"/>
      <c r="L56" s="20"/>
    </row>
    <row r="57" spans="1:12" s="31" customFormat="1" ht="13.5">
      <c r="A57" s="187"/>
      <c r="B57" s="188"/>
      <c r="C57" s="85"/>
      <c r="D57" s="54"/>
      <c r="E57" s="54"/>
      <c r="F57" s="189"/>
      <c r="G57" s="86"/>
      <c r="H57" s="169"/>
      <c r="I57" s="20"/>
      <c r="J57" s="20"/>
      <c r="K57" s="21"/>
      <c r="L57" s="20"/>
    </row>
    <row r="58" spans="1:12" s="31" customFormat="1" ht="13.5">
      <c r="A58" s="187"/>
      <c r="B58" s="188"/>
      <c r="C58" s="85"/>
      <c r="D58" s="54"/>
      <c r="E58" s="54"/>
      <c r="F58" s="189"/>
      <c r="G58" s="86"/>
      <c r="H58" s="169"/>
      <c r="I58" s="20"/>
      <c r="J58" s="20"/>
      <c r="K58" s="21"/>
      <c r="L58" s="20"/>
    </row>
    <row r="59" spans="1:12" s="31" customFormat="1" ht="13.5">
      <c r="A59" s="187"/>
      <c r="B59" s="188"/>
      <c r="C59" s="85"/>
      <c r="D59" s="54"/>
      <c r="E59" s="54"/>
      <c r="F59" s="189"/>
      <c r="G59" s="86"/>
      <c r="H59" s="169"/>
      <c r="I59" s="20"/>
      <c r="J59" s="20"/>
      <c r="K59" s="21"/>
      <c r="L59" s="20"/>
    </row>
    <row r="60" spans="1:12" s="31" customFormat="1" ht="13.5">
      <c r="A60" s="187"/>
      <c r="B60" s="188"/>
      <c r="C60" s="85"/>
      <c r="D60" s="54"/>
      <c r="E60" s="54"/>
      <c r="F60" s="189"/>
      <c r="G60" s="86"/>
      <c r="H60" s="169"/>
      <c r="I60" s="20"/>
      <c r="J60" s="20"/>
      <c r="K60" s="21"/>
      <c r="L60" s="20"/>
    </row>
    <row r="61" spans="1:12" s="31" customFormat="1" ht="13.5">
      <c r="A61" s="187"/>
      <c r="B61" s="188"/>
      <c r="C61" s="85"/>
      <c r="D61" s="54"/>
      <c r="E61" s="54"/>
      <c r="F61" s="189"/>
      <c r="G61" s="86"/>
      <c r="H61" s="169"/>
      <c r="I61" s="20"/>
      <c r="J61" s="20"/>
      <c r="K61" s="21"/>
      <c r="L61" s="20"/>
    </row>
    <row r="62" spans="1:12" s="31" customFormat="1" ht="13.5">
      <c r="A62" s="187"/>
      <c r="B62" s="188"/>
      <c r="C62" s="85"/>
      <c r="D62" s="54"/>
      <c r="E62" s="54"/>
      <c r="F62" s="189"/>
      <c r="G62" s="86"/>
      <c r="H62" s="169"/>
      <c r="I62" s="20"/>
      <c r="J62" s="20"/>
      <c r="K62" s="21"/>
      <c r="L62" s="20"/>
    </row>
    <row r="63" spans="1:12" s="31" customFormat="1" ht="13.5">
      <c r="A63" s="187"/>
      <c r="B63" s="188"/>
      <c r="C63" s="85"/>
      <c r="D63" s="54"/>
      <c r="E63" s="54"/>
      <c r="F63" s="189"/>
      <c r="G63" s="86"/>
      <c r="H63" s="169"/>
      <c r="I63" s="20"/>
      <c r="J63" s="20"/>
      <c r="K63" s="21"/>
      <c r="L63" s="20"/>
    </row>
    <row r="64" spans="1:12" s="31" customFormat="1" ht="13.5">
      <c r="A64" s="187"/>
      <c r="B64" s="188"/>
      <c r="C64" s="85"/>
      <c r="D64" s="54"/>
      <c r="E64" s="54"/>
      <c r="F64" s="189"/>
      <c r="G64" s="86"/>
      <c r="H64" s="169"/>
      <c r="I64" s="20"/>
      <c r="J64" s="20"/>
      <c r="K64" s="21"/>
      <c r="L64" s="20"/>
    </row>
    <row r="65" spans="1:12" s="31" customFormat="1" ht="13.5">
      <c r="A65" s="187"/>
      <c r="B65" s="188"/>
      <c r="C65" s="85"/>
      <c r="D65" s="54"/>
      <c r="E65" s="54"/>
      <c r="F65" s="189"/>
      <c r="G65" s="86"/>
      <c r="H65" s="169"/>
      <c r="I65" s="20"/>
      <c r="J65" s="20"/>
      <c r="K65" s="21"/>
      <c r="L65" s="20"/>
    </row>
    <row r="66" spans="1:12" s="31" customFormat="1" ht="13.5">
      <c r="A66" s="187"/>
      <c r="B66" s="188"/>
      <c r="C66" s="85"/>
      <c r="D66" s="54"/>
      <c r="E66" s="54"/>
      <c r="F66" s="189"/>
      <c r="G66" s="86"/>
      <c r="H66" s="169"/>
      <c r="I66" s="20"/>
      <c r="J66" s="20"/>
      <c r="K66" s="21"/>
      <c r="L66" s="20"/>
    </row>
    <row r="67" spans="1:12" s="31" customFormat="1" ht="13.5">
      <c r="A67" s="187"/>
      <c r="B67" s="188"/>
      <c r="C67" s="85"/>
      <c r="D67" s="54"/>
      <c r="E67" s="54"/>
      <c r="F67" s="189"/>
      <c r="G67" s="86"/>
      <c r="H67" s="169"/>
      <c r="I67" s="20"/>
      <c r="J67" s="20"/>
      <c r="K67" s="21"/>
      <c r="L67" s="20"/>
    </row>
    <row r="68" spans="1:12" s="31" customFormat="1" ht="13.5">
      <c r="A68" s="187"/>
      <c r="B68" s="188"/>
      <c r="C68" s="85"/>
      <c r="D68" s="54"/>
      <c r="E68" s="54"/>
      <c r="F68" s="189"/>
      <c r="G68" s="86"/>
      <c r="H68" s="169"/>
      <c r="I68" s="20"/>
      <c r="J68" s="20"/>
      <c r="K68" s="21"/>
      <c r="L68" s="20"/>
    </row>
    <row r="69" spans="1:12" s="31" customFormat="1" ht="13.5">
      <c r="A69" s="187"/>
      <c r="B69" s="188"/>
      <c r="C69" s="85"/>
      <c r="D69" s="54"/>
      <c r="E69" s="54"/>
      <c r="F69" s="189"/>
      <c r="G69" s="86"/>
      <c r="H69" s="169"/>
      <c r="I69" s="20"/>
      <c r="J69" s="20"/>
      <c r="K69" s="21"/>
      <c r="L69" s="20"/>
    </row>
    <row r="70" spans="1:12" s="31" customFormat="1" ht="13.5">
      <c r="A70" s="187"/>
      <c r="B70" s="188"/>
      <c r="C70" s="85"/>
      <c r="D70" s="54"/>
      <c r="E70" s="54"/>
      <c r="F70" s="189"/>
      <c r="G70" s="86"/>
      <c r="H70" s="169"/>
      <c r="I70" s="20"/>
      <c r="J70" s="20"/>
      <c r="K70" s="21"/>
      <c r="L70" s="20"/>
    </row>
    <row r="71" spans="1:12" s="31" customFormat="1" ht="13.5">
      <c r="A71" s="187"/>
      <c r="B71" s="188"/>
      <c r="C71" s="85"/>
      <c r="D71" s="54"/>
      <c r="E71" s="54"/>
      <c r="F71" s="189"/>
      <c r="G71" s="86"/>
      <c r="H71" s="169"/>
      <c r="I71" s="20"/>
      <c r="J71" s="20"/>
      <c r="K71" s="21"/>
      <c r="L71" s="20"/>
    </row>
    <row r="72" spans="1:12" s="31" customFormat="1" ht="13.5">
      <c r="A72" s="190"/>
      <c r="B72" s="188"/>
      <c r="C72" s="85"/>
      <c r="D72" s="54"/>
      <c r="E72" s="54"/>
      <c r="F72" s="189"/>
      <c r="G72" s="86"/>
      <c r="H72" s="169"/>
      <c r="I72" s="20"/>
      <c r="J72" s="20"/>
      <c r="K72" s="21"/>
      <c r="L72" s="20"/>
    </row>
    <row r="73" spans="1:8" ht="13.5">
      <c r="A73" s="190"/>
      <c r="B73" s="188"/>
      <c r="C73" s="85"/>
      <c r="D73" s="54"/>
      <c r="E73" s="54"/>
      <c r="F73" s="189"/>
      <c r="G73" s="86"/>
      <c r="H73" s="169"/>
    </row>
    <row r="74" spans="1:8" ht="13.5">
      <c r="A74" s="190"/>
      <c r="B74" s="188"/>
      <c r="C74" s="85"/>
      <c r="D74" s="54"/>
      <c r="E74" s="54"/>
      <c r="F74" s="189"/>
      <c r="G74" s="86"/>
      <c r="H74" s="169"/>
    </row>
    <row r="75" spans="1:8" ht="13.5">
      <c r="A75" s="190"/>
      <c r="B75" s="188"/>
      <c r="C75" s="85"/>
      <c r="D75" s="54"/>
      <c r="E75" s="54"/>
      <c r="F75" s="189"/>
      <c r="G75" s="86"/>
      <c r="H75" s="169"/>
    </row>
    <row r="76" spans="1:8" ht="13.5">
      <c r="A76" s="190"/>
      <c r="B76" s="188"/>
      <c r="C76" s="85"/>
      <c r="D76" s="54"/>
      <c r="E76" s="54"/>
      <c r="F76" s="189"/>
      <c r="G76" s="86"/>
      <c r="H76" s="169"/>
    </row>
    <row r="77" spans="1:8" ht="13.5">
      <c r="A77" s="190"/>
      <c r="B77" s="188"/>
      <c r="C77" s="85"/>
      <c r="D77" s="54"/>
      <c r="E77" s="54"/>
      <c r="F77" s="189"/>
      <c r="G77" s="86"/>
      <c r="H77" s="169"/>
    </row>
    <row r="78" spans="1:8" ht="13.5">
      <c r="A78" s="190"/>
      <c r="B78" s="188"/>
      <c r="C78" s="85"/>
      <c r="D78" s="54"/>
      <c r="E78" s="54"/>
      <c r="F78" s="189"/>
      <c r="G78" s="86"/>
      <c r="H78" s="169"/>
    </row>
    <row r="79" spans="1:8" ht="13.5">
      <c r="A79" s="190"/>
      <c r="B79" s="188"/>
      <c r="C79" s="85"/>
      <c r="D79" s="54"/>
      <c r="E79" s="54"/>
      <c r="F79" s="189"/>
      <c r="G79" s="86"/>
      <c r="H79" s="169"/>
    </row>
    <row r="80" spans="1:8" ht="13.5">
      <c r="A80" s="190"/>
      <c r="B80" s="188"/>
      <c r="C80" s="85"/>
      <c r="D80" s="54"/>
      <c r="E80" s="54"/>
      <c r="F80" s="189"/>
      <c r="G80" s="86"/>
      <c r="H80" s="169"/>
    </row>
    <row r="81" spans="1:8" ht="13.5">
      <c r="A81" s="190"/>
      <c r="B81" s="188"/>
      <c r="C81" s="85"/>
      <c r="D81" s="54"/>
      <c r="E81" s="54"/>
      <c r="F81" s="189"/>
      <c r="G81" s="86"/>
      <c r="H81" s="169"/>
    </row>
    <row r="82" spans="1:8" ht="13.5">
      <c r="A82" s="190"/>
      <c r="B82" s="188"/>
      <c r="C82" s="85"/>
      <c r="D82" s="54"/>
      <c r="E82" s="54"/>
      <c r="F82" s="189"/>
      <c r="G82" s="86"/>
      <c r="H82" s="169"/>
    </row>
    <row r="83" spans="1:8" ht="13.5">
      <c r="A83" s="190"/>
      <c r="B83" s="188"/>
      <c r="C83" s="85"/>
      <c r="D83" s="54"/>
      <c r="E83" s="54"/>
      <c r="F83" s="189"/>
      <c r="G83" s="86"/>
      <c r="H83" s="169"/>
    </row>
    <row r="84" spans="1:8" ht="13.5">
      <c r="A84" s="190"/>
      <c r="B84" s="188"/>
      <c r="C84" s="85"/>
      <c r="D84" s="54"/>
      <c r="E84" s="54"/>
      <c r="F84" s="189"/>
      <c r="G84" s="86"/>
      <c r="H84" s="169"/>
    </row>
    <row r="85" spans="1:8" ht="13.5">
      <c r="A85" s="190"/>
      <c r="B85" s="188"/>
      <c r="C85" s="85"/>
      <c r="D85" s="54"/>
      <c r="E85" s="54"/>
      <c r="F85" s="189"/>
      <c r="G85" s="86"/>
      <c r="H85" s="169"/>
    </row>
    <row r="86" spans="1:8" ht="13.5">
      <c r="A86" s="190"/>
      <c r="B86" s="188"/>
      <c r="C86" s="85"/>
      <c r="D86" s="54"/>
      <c r="E86" s="54"/>
      <c r="F86" s="189"/>
      <c r="G86" s="86"/>
      <c r="H86" s="169"/>
    </row>
    <row r="87" spans="1:8" ht="13.5">
      <c r="A87" s="190"/>
      <c r="B87" s="188"/>
      <c r="C87" s="85"/>
      <c r="D87" s="54"/>
      <c r="E87" s="54"/>
      <c r="F87" s="189"/>
      <c r="G87" s="86"/>
      <c r="H87" s="169"/>
    </row>
    <row r="88" spans="1:8" ht="13.5">
      <c r="A88" s="190"/>
      <c r="B88" s="188"/>
      <c r="C88" s="85"/>
      <c r="D88" s="54"/>
      <c r="E88" s="54"/>
      <c r="F88" s="189"/>
      <c r="G88" s="86"/>
      <c r="H88" s="169"/>
    </row>
    <row r="89" spans="1:8" ht="13.5">
      <c r="A89" s="190"/>
      <c r="B89" s="188"/>
      <c r="C89" s="85"/>
      <c r="D89" s="54"/>
      <c r="E89" s="54"/>
      <c r="F89" s="189"/>
      <c r="G89" s="86"/>
      <c r="H89" s="169"/>
    </row>
    <row r="90" spans="1:8" ht="13.5">
      <c r="A90" s="190"/>
      <c r="B90" s="188"/>
      <c r="C90" s="85"/>
      <c r="D90" s="54"/>
      <c r="E90" s="54"/>
      <c r="F90" s="189"/>
      <c r="G90" s="86"/>
      <c r="H90" s="169"/>
    </row>
  </sheetData>
  <sheetProtection/>
  <mergeCells count="11">
    <mergeCell ref="D53:G53"/>
    <mergeCell ref="A5:A6"/>
    <mergeCell ref="B5:B6"/>
    <mergeCell ref="C5:C6"/>
    <mergeCell ref="D5:D6"/>
    <mergeCell ref="E5:F5"/>
    <mergeCell ref="G5:H5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81"/>
  <sheetViews>
    <sheetView zoomScalePageLayoutView="0" workbookViewId="0" topLeftCell="A30">
      <selection activeCell="H36" sqref="G9:H36"/>
    </sheetView>
  </sheetViews>
  <sheetFormatPr defaultColWidth="9.140625" defaultRowHeight="12.75"/>
  <cols>
    <col min="1" max="1" width="4.00390625" style="35" customWidth="1"/>
    <col min="2" max="2" width="11.28125" style="31" customWidth="1"/>
    <col min="3" max="3" width="36.8515625" style="32" customWidth="1"/>
    <col min="4" max="4" width="6.7109375" style="33" customWidth="1"/>
    <col min="5" max="5" width="6.7109375" style="21" customWidth="1"/>
    <col min="6" max="6" width="8.28125" style="34" customWidth="1"/>
    <col min="7" max="7" width="7.7109375" style="26" customWidth="1"/>
    <col min="8" max="8" width="8.8515625" style="25" customWidth="1"/>
    <col min="9" max="9" width="9.140625" style="20" customWidth="1"/>
    <col min="10" max="10" width="9.421875" style="20" bestFit="1" customWidth="1"/>
    <col min="11" max="11" width="9.140625" style="21" customWidth="1"/>
    <col min="12" max="16384" width="9.140625" style="20" customWidth="1"/>
  </cols>
  <sheetData>
    <row r="1" spans="1:11" s="1" customFormat="1" ht="36.75" customHeight="1">
      <c r="A1" s="242" t="s">
        <v>421</v>
      </c>
      <c r="B1" s="237"/>
      <c r="C1" s="237"/>
      <c r="D1" s="237"/>
      <c r="E1" s="237"/>
      <c r="F1" s="237"/>
      <c r="G1" s="237"/>
      <c r="H1" s="237"/>
      <c r="I1" s="3"/>
      <c r="J1" s="3"/>
      <c r="K1" s="3"/>
    </row>
    <row r="2" spans="1:8" s="1" customFormat="1" ht="18.75" customHeight="1">
      <c r="A2" s="243" t="s">
        <v>148</v>
      </c>
      <c r="B2" s="243"/>
      <c r="C2" s="243"/>
      <c r="D2" s="243"/>
      <c r="E2" s="243"/>
      <c r="F2" s="243"/>
      <c r="G2" s="243"/>
      <c r="H2" s="243"/>
    </row>
    <row r="3" spans="1:11" s="1" customFormat="1" ht="11.25" customHeight="1">
      <c r="A3" s="230"/>
      <c r="B3" s="230"/>
      <c r="C3" s="230"/>
      <c r="D3" s="230"/>
      <c r="E3" s="230"/>
      <c r="F3" s="230"/>
      <c r="G3" s="230"/>
      <c r="H3" s="230"/>
      <c r="I3" s="3"/>
      <c r="J3" s="3"/>
      <c r="K3" s="3"/>
    </row>
    <row r="4" spans="1:8" s="1" customFormat="1" ht="15.75" customHeight="1">
      <c r="A4" s="244" t="s">
        <v>312</v>
      </c>
      <c r="B4" s="244"/>
      <c r="C4" s="244"/>
      <c r="D4" s="244"/>
      <c r="E4" s="244"/>
      <c r="F4" s="244"/>
      <c r="G4" s="244"/>
      <c r="H4" s="244"/>
    </row>
    <row r="5" spans="1:8" s="1" customFormat="1" ht="26.25" customHeight="1">
      <c r="A5" s="247" t="s">
        <v>19</v>
      </c>
      <c r="B5" s="248" t="s">
        <v>20</v>
      </c>
      <c r="C5" s="240" t="s">
        <v>21</v>
      </c>
      <c r="D5" s="241" t="s">
        <v>18</v>
      </c>
      <c r="E5" s="239" t="s">
        <v>22</v>
      </c>
      <c r="F5" s="239"/>
      <c r="G5" s="239" t="s">
        <v>13</v>
      </c>
      <c r="H5" s="239"/>
    </row>
    <row r="6" spans="1:10" s="1" customFormat="1" ht="54.75" customHeight="1">
      <c r="A6" s="247"/>
      <c r="B6" s="248"/>
      <c r="C6" s="240"/>
      <c r="D6" s="241"/>
      <c r="E6" s="56" t="s">
        <v>23</v>
      </c>
      <c r="F6" s="56" t="s">
        <v>24</v>
      </c>
      <c r="G6" s="56" t="s">
        <v>23</v>
      </c>
      <c r="H6" s="149" t="s">
        <v>24</v>
      </c>
      <c r="J6" s="3"/>
    </row>
    <row r="7" spans="1:8" s="5" customFormat="1" ht="19.5" customHeight="1">
      <c r="A7" s="152" t="s">
        <v>25</v>
      </c>
      <c r="B7" s="61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8">
        <v>8</v>
      </c>
    </row>
    <row r="8" spans="1:8" s="5" customFormat="1" ht="21" customHeight="1" hidden="1">
      <c r="A8" s="152"/>
      <c r="B8" s="61"/>
      <c r="C8" s="76"/>
      <c r="D8" s="76"/>
      <c r="E8" s="76"/>
      <c r="F8" s="76"/>
      <c r="G8" s="76"/>
      <c r="H8" s="78"/>
    </row>
    <row r="9" spans="1:11" s="2" customFormat="1" ht="47.25" customHeight="1">
      <c r="A9" s="191">
        <v>1</v>
      </c>
      <c r="B9" s="61" t="s">
        <v>273</v>
      </c>
      <c r="C9" s="76" t="s">
        <v>274</v>
      </c>
      <c r="D9" s="191" t="s">
        <v>275</v>
      </c>
      <c r="E9" s="191"/>
      <c r="F9" s="191">
        <v>1</v>
      </c>
      <c r="G9" s="191"/>
      <c r="H9" s="222"/>
      <c r="I9" s="37"/>
      <c r="J9" s="14"/>
      <c r="K9" s="37"/>
    </row>
    <row r="10" spans="1:11" s="2" customFormat="1" ht="33.75" customHeight="1">
      <c r="A10" s="191"/>
      <c r="B10" s="57" t="s">
        <v>16</v>
      </c>
      <c r="C10" s="52" t="s">
        <v>276</v>
      </c>
      <c r="D10" s="52" t="s">
        <v>17</v>
      </c>
      <c r="E10" s="146">
        <v>0.291</v>
      </c>
      <c r="F10" s="146">
        <f>F9*E10</f>
        <v>0.291</v>
      </c>
      <c r="G10" s="52"/>
      <c r="H10" s="224"/>
      <c r="I10" s="37"/>
      <c r="J10" s="14"/>
      <c r="K10" s="37"/>
    </row>
    <row r="11" spans="1:11" s="2" customFormat="1" ht="24" customHeight="1">
      <c r="A11" s="191"/>
      <c r="B11" s="98" t="s">
        <v>277</v>
      </c>
      <c r="C11" s="52" t="s">
        <v>278</v>
      </c>
      <c r="D11" s="52" t="s">
        <v>37</v>
      </c>
      <c r="E11" s="146">
        <v>1</v>
      </c>
      <c r="F11" s="82">
        <f>E11*F9</f>
        <v>1</v>
      </c>
      <c r="G11" s="52"/>
      <c r="H11" s="104"/>
      <c r="I11" s="37"/>
      <c r="J11" s="14"/>
      <c r="K11" s="37"/>
    </row>
    <row r="12" spans="1:11" s="2" customFormat="1" ht="28.5" customHeight="1">
      <c r="A12" s="191"/>
      <c r="B12" s="57" t="s">
        <v>16</v>
      </c>
      <c r="C12" s="118" t="s">
        <v>246</v>
      </c>
      <c r="D12" s="52" t="s">
        <v>37</v>
      </c>
      <c r="E12" s="146">
        <v>0.0828</v>
      </c>
      <c r="F12" s="100">
        <f>E12*F9</f>
        <v>0.0828</v>
      </c>
      <c r="G12" s="52"/>
      <c r="H12" s="104"/>
      <c r="I12" s="37"/>
      <c r="J12" s="14"/>
      <c r="K12" s="10"/>
    </row>
    <row r="13" spans="1:11" s="2" customFormat="1" ht="48" customHeight="1">
      <c r="A13" s="191">
        <v>2</v>
      </c>
      <c r="B13" s="61" t="s">
        <v>273</v>
      </c>
      <c r="C13" s="76" t="s">
        <v>279</v>
      </c>
      <c r="D13" s="191" t="s">
        <v>275</v>
      </c>
      <c r="E13" s="191"/>
      <c r="F13" s="191">
        <v>2</v>
      </c>
      <c r="G13" s="191"/>
      <c r="H13" s="222"/>
      <c r="I13" s="37"/>
      <c r="J13" s="14"/>
      <c r="K13" s="10"/>
    </row>
    <row r="14" spans="1:11" s="2" customFormat="1" ht="28.5" customHeight="1">
      <c r="A14" s="191"/>
      <c r="B14" s="57" t="s">
        <v>16</v>
      </c>
      <c r="C14" s="52" t="s">
        <v>276</v>
      </c>
      <c r="D14" s="52" t="s">
        <v>17</v>
      </c>
      <c r="E14" s="146">
        <v>0.291</v>
      </c>
      <c r="F14" s="146">
        <f>F13*E14</f>
        <v>0.582</v>
      </c>
      <c r="G14" s="52"/>
      <c r="H14" s="224"/>
      <c r="I14" s="37"/>
      <c r="J14" s="14"/>
      <c r="K14" s="10"/>
    </row>
    <row r="15" spans="1:11" s="2" customFormat="1" ht="28.5" customHeight="1">
      <c r="A15" s="191"/>
      <c r="B15" s="98" t="s">
        <v>280</v>
      </c>
      <c r="C15" s="52" t="s">
        <v>281</v>
      </c>
      <c r="D15" s="52" t="s">
        <v>37</v>
      </c>
      <c r="E15" s="146">
        <v>1</v>
      </c>
      <c r="F15" s="82">
        <f>E15*F13</f>
        <v>2</v>
      </c>
      <c r="G15" s="52"/>
      <c r="H15" s="104"/>
      <c r="I15" s="37"/>
      <c r="J15" s="14"/>
      <c r="K15" s="10"/>
    </row>
    <row r="16" spans="1:11" s="2" customFormat="1" ht="28.5" customHeight="1">
      <c r="A16" s="191"/>
      <c r="B16" s="57" t="s">
        <v>16</v>
      </c>
      <c r="C16" s="118" t="s">
        <v>246</v>
      </c>
      <c r="D16" s="52" t="s">
        <v>37</v>
      </c>
      <c r="E16" s="146">
        <v>0.0828</v>
      </c>
      <c r="F16" s="100">
        <f>E16*F13</f>
        <v>0.1656</v>
      </c>
      <c r="G16" s="52"/>
      <c r="H16" s="104"/>
      <c r="I16" s="37"/>
      <c r="J16" s="14"/>
      <c r="K16" s="10"/>
    </row>
    <row r="17" spans="1:19" s="4" customFormat="1" ht="45" customHeight="1">
      <c r="A17" s="191">
        <v>3</v>
      </c>
      <c r="B17" s="61" t="s">
        <v>273</v>
      </c>
      <c r="C17" s="76" t="s">
        <v>282</v>
      </c>
      <c r="D17" s="191" t="s">
        <v>275</v>
      </c>
      <c r="E17" s="191"/>
      <c r="F17" s="191">
        <v>10</v>
      </c>
      <c r="G17" s="191"/>
      <c r="H17" s="222"/>
      <c r="I17" s="37"/>
      <c r="J17" s="14"/>
      <c r="K17" s="41"/>
      <c r="S17" s="4" t="s">
        <v>257</v>
      </c>
    </row>
    <row r="18" spans="1:11" s="5" customFormat="1" ht="28.5" customHeight="1">
      <c r="A18" s="191"/>
      <c r="B18" s="57" t="s">
        <v>16</v>
      </c>
      <c r="C18" s="52" t="s">
        <v>276</v>
      </c>
      <c r="D18" s="52" t="s">
        <v>17</v>
      </c>
      <c r="E18" s="146">
        <v>0.291</v>
      </c>
      <c r="F18" s="146">
        <f>F17*E18</f>
        <v>2.9099999999999997</v>
      </c>
      <c r="G18" s="52"/>
      <c r="H18" s="224"/>
      <c r="I18" s="14"/>
      <c r="J18" s="14"/>
      <c r="K18" s="36"/>
    </row>
    <row r="19" spans="1:11" s="4" customFormat="1" ht="28.5" customHeight="1">
      <c r="A19" s="191"/>
      <c r="B19" s="98" t="s">
        <v>283</v>
      </c>
      <c r="C19" s="52" t="s">
        <v>284</v>
      </c>
      <c r="D19" s="52" t="s">
        <v>37</v>
      </c>
      <c r="E19" s="146">
        <v>1</v>
      </c>
      <c r="F19" s="82">
        <f>E19*F17</f>
        <v>10</v>
      </c>
      <c r="G19" s="52"/>
      <c r="H19" s="104"/>
      <c r="I19" s="37"/>
      <c r="J19" s="14"/>
      <c r="K19" s="38"/>
    </row>
    <row r="20" spans="1:11" s="4" customFormat="1" ht="26.25" customHeight="1">
      <c r="A20" s="192"/>
      <c r="B20" s="117" t="s">
        <v>16</v>
      </c>
      <c r="C20" s="118" t="s">
        <v>246</v>
      </c>
      <c r="D20" s="118" t="s">
        <v>37</v>
      </c>
      <c r="E20" s="193">
        <v>0.0828</v>
      </c>
      <c r="F20" s="194">
        <f>E20*F17</f>
        <v>0.828</v>
      </c>
      <c r="G20" s="118"/>
      <c r="H20" s="225"/>
      <c r="I20" s="37"/>
      <c r="J20" s="14"/>
      <c r="K20" s="38"/>
    </row>
    <row r="21" spans="1:12" s="4" customFormat="1" ht="93" customHeight="1">
      <c r="A21" s="78">
        <v>4</v>
      </c>
      <c r="B21" s="61" t="s">
        <v>127</v>
      </c>
      <c r="C21" s="53" t="s">
        <v>323</v>
      </c>
      <c r="D21" s="62" t="s">
        <v>84</v>
      </c>
      <c r="E21" s="62"/>
      <c r="F21" s="105">
        <v>1</v>
      </c>
      <c r="G21" s="62"/>
      <c r="H21" s="222"/>
      <c r="I21" s="37"/>
      <c r="J21" s="14"/>
      <c r="K21" s="41"/>
      <c r="L21" s="39"/>
    </row>
    <row r="22" spans="1:11" s="5" customFormat="1" ht="29.25" customHeight="1">
      <c r="A22" s="73"/>
      <c r="B22" s="57" t="s">
        <v>16</v>
      </c>
      <c r="C22" s="52" t="s">
        <v>285</v>
      </c>
      <c r="D22" s="52" t="s">
        <v>17</v>
      </c>
      <c r="E22" s="52">
        <v>4.4</v>
      </c>
      <c r="F22" s="100">
        <f>E22*F21</f>
        <v>4.4</v>
      </c>
      <c r="G22" s="52"/>
      <c r="H22" s="104"/>
      <c r="I22" s="22"/>
      <c r="J22" s="26"/>
      <c r="K22" s="22"/>
    </row>
    <row r="23" spans="1:8" s="4" customFormat="1" ht="26.25" customHeight="1">
      <c r="A23" s="73"/>
      <c r="B23" s="57" t="s">
        <v>16</v>
      </c>
      <c r="C23" s="52" t="s">
        <v>286</v>
      </c>
      <c r="D23" s="52" t="s">
        <v>28</v>
      </c>
      <c r="E23" s="52">
        <v>0.034</v>
      </c>
      <c r="F23" s="100">
        <f>E23*F21</f>
        <v>0.034</v>
      </c>
      <c r="G23" s="52"/>
      <c r="H23" s="100"/>
    </row>
    <row r="24" spans="1:11" s="4" customFormat="1" ht="21.75" customHeight="1">
      <c r="A24" s="73"/>
      <c r="B24" s="57" t="s">
        <v>14</v>
      </c>
      <c r="C24" s="52" t="s">
        <v>287</v>
      </c>
      <c r="D24" s="52" t="s">
        <v>37</v>
      </c>
      <c r="E24" s="82">
        <v>1</v>
      </c>
      <c r="F24" s="82">
        <v>1</v>
      </c>
      <c r="G24" s="52"/>
      <c r="H24" s="100"/>
      <c r="I24" s="18"/>
      <c r="J24" s="18"/>
      <c r="K24" s="18"/>
    </row>
    <row r="25" spans="1:11" s="4" customFormat="1" ht="30.75" customHeight="1">
      <c r="A25" s="73"/>
      <c r="B25" s="57" t="s">
        <v>14</v>
      </c>
      <c r="C25" s="52" t="s">
        <v>288</v>
      </c>
      <c r="D25" s="52" t="s">
        <v>37</v>
      </c>
      <c r="E25" s="82">
        <v>1</v>
      </c>
      <c r="F25" s="82">
        <v>1</v>
      </c>
      <c r="G25" s="52"/>
      <c r="H25" s="100"/>
      <c r="I25" s="18"/>
      <c r="J25" s="18"/>
      <c r="K25" s="18"/>
    </row>
    <row r="26" spans="1:11" s="5" customFormat="1" ht="27.75" customHeight="1">
      <c r="A26" s="73"/>
      <c r="B26" s="57" t="s">
        <v>14</v>
      </c>
      <c r="C26" s="52" t="s">
        <v>289</v>
      </c>
      <c r="D26" s="52" t="s">
        <v>37</v>
      </c>
      <c r="E26" s="82">
        <v>1</v>
      </c>
      <c r="F26" s="82">
        <v>1</v>
      </c>
      <c r="G26" s="52"/>
      <c r="H26" s="100"/>
      <c r="I26" s="1"/>
      <c r="J26" s="3"/>
      <c r="K26" s="18"/>
    </row>
    <row r="27" spans="1:11" s="3" customFormat="1" ht="30" customHeight="1">
      <c r="A27" s="73"/>
      <c r="B27" s="57" t="s">
        <v>14</v>
      </c>
      <c r="C27" s="52" t="s">
        <v>290</v>
      </c>
      <c r="D27" s="52" t="s">
        <v>37</v>
      </c>
      <c r="E27" s="82">
        <v>1</v>
      </c>
      <c r="F27" s="82">
        <v>1</v>
      </c>
      <c r="G27" s="52"/>
      <c r="H27" s="100"/>
      <c r="I27" s="20"/>
      <c r="J27" s="20"/>
      <c r="K27" s="2"/>
    </row>
    <row r="28" spans="1:11" s="186" customFormat="1" ht="31.5" customHeight="1">
      <c r="A28" s="73"/>
      <c r="B28" s="57" t="s">
        <v>16</v>
      </c>
      <c r="C28" s="52" t="s">
        <v>72</v>
      </c>
      <c r="D28" s="52" t="s">
        <v>28</v>
      </c>
      <c r="E28" s="52">
        <v>0.18</v>
      </c>
      <c r="F28" s="100">
        <f>F21*E28</f>
        <v>0.18</v>
      </c>
      <c r="G28" s="52"/>
      <c r="H28" s="100"/>
      <c r="I28" s="20"/>
      <c r="J28" s="20"/>
      <c r="K28" s="18"/>
    </row>
    <row r="29" spans="1:11" s="18" customFormat="1" ht="33.75" customHeight="1">
      <c r="A29" s="191">
        <v>5</v>
      </c>
      <c r="B29" s="61" t="s">
        <v>9</v>
      </c>
      <c r="C29" s="76" t="s">
        <v>291</v>
      </c>
      <c r="D29" s="53" t="s">
        <v>292</v>
      </c>
      <c r="E29" s="191"/>
      <c r="F29" s="191">
        <v>20</v>
      </c>
      <c r="G29" s="191"/>
      <c r="H29" s="222"/>
      <c r="I29" s="20"/>
      <c r="J29" s="20"/>
      <c r="K29" s="1"/>
    </row>
    <row r="30" spans="1:11" s="2" customFormat="1" ht="36" customHeight="1">
      <c r="A30" s="191"/>
      <c r="B30" s="57" t="s">
        <v>16</v>
      </c>
      <c r="C30" s="52" t="s">
        <v>266</v>
      </c>
      <c r="D30" s="52" t="s">
        <v>17</v>
      </c>
      <c r="E30" s="146">
        <v>0.15</v>
      </c>
      <c r="F30" s="100">
        <f>F29*E30</f>
        <v>3</v>
      </c>
      <c r="G30" s="52"/>
      <c r="H30" s="104"/>
      <c r="I30" s="20"/>
      <c r="J30" s="20"/>
      <c r="K30" s="21"/>
    </row>
    <row r="31" spans="1:11" s="2" customFormat="1" ht="28.5" customHeight="1">
      <c r="A31" s="195"/>
      <c r="B31" s="98" t="s">
        <v>14</v>
      </c>
      <c r="C31" s="52" t="s">
        <v>293</v>
      </c>
      <c r="D31" s="52" t="s">
        <v>50</v>
      </c>
      <c r="E31" s="146">
        <v>1</v>
      </c>
      <c r="F31" s="100">
        <f>F29*E31</f>
        <v>20</v>
      </c>
      <c r="G31" s="182"/>
      <c r="H31" s="59"/>
      <c r="I31" s="20"/>
      <c r="J31" s="20"/>
      <c r="K31" s="21"/>
    </row>
    <row r="32" spans="1:11" s="18" customFormat="1" ht="30" customHeight="1">
      <c r="A32" s="195"/>
      <c r="B32" s="57" t="s">
        <v>16</v>
      </c>
      <c r="C32" s="52" t="s">
        <v>246</v>
      </c>
      <c r="D32" s="52" t="s">
        <v>28</v>
      </c>
      <c r="E32" s="125">
        <v>0.0041</v>
      </c>
      <c r="F32" s="100">
        <f>F29*E32</f>
        <v>0.082</v>
      </c>
      <c r="G32" s="52"/>
      <c r="H32" s="100"/>
      <c r="I32" s="20"/>
      <c r="J32" s="20"/>
      <c r="K32" s="21"/>
    </row>
    <row r="33" spans="1:11" s="18" customFormat="1" ht="47.25" customHeight="1">
      <c r="A33" s="191">
        <v>6</v>
      </c>
      <c r="B33" s="61" t="s">
        <v>9</v>
      </c>
      <c r="C33" s="76" t="s">
        <v>294</v>
      </c>
      <c r="D33" s="53" t="s">
        <v>292</v>
      </c>
      <c r="E33" s="191"/>
      <c r="F33" s="191">
        <v>150</v>
      </c>
      <c r="G33" s="191"/>
      <c r="H33" s="222"/>
      <c r="I33" s="20"/>
      <c r="J33" s="20"/>
      <c r="K33" s="21"/>
    </row>
    <row r="34" spans="1:11" s="2" customFormat="1" ht="28.5" customHeight="1">
      <c r="A34" s="191"/>
      <c r="B34" s="57" t="s">
        <v>16</v>
      </c>
      <c r="C34" s="52" t="s">
        <v>266</v>
      </c>
      <c r="D34" s="52" t="s">
        <v>17</v>
      </c>
      <c r="E34" s="146">
        <v>0.15</v>
      </c>
      <c r="F34" s="100">
        <f>F33*E34</f>
        <v>22.5</v>
      </c>
      <c r="G34" s="52"/>
      <c r="H34" s="104"/>
      <c r="I34" s="20"/>
      <c r="J34" s="20"/>
      <c r="K34" s="21"/>
    </row>
    <row r="35" spans="1:8" ht="28.5" customHeight="1">
      <c r="A35" s="195"/>
      <c r="B35" s="98" t="s">
        <v>14</v>
      </c>
      <c r="C35" s="132" t="s">
        <v>295</v>
      </c>
      <c r="D35" s="52" t="s">
        <v>50</v>
      </c>
      <c r="E35" s="146">
        <v>1</v>
      </c>
      <c r="F35" s="100">
        <f>F33*E35</f>
        <v>150</v>
      </c>
      <c r="G35" s="182"/>
      <c r="H35" s="59"/>
    </row>
    <row r="36" spans="1:8" ht="30.75" customHeight="1">
      <c r="A36" s="195"/>
      <c r="B36" s="57" t="s">
        <v>16</v>
      </c>
      <c r="C36" s="52" t="s">
        <v>246</v>
      </c>
      <c r="D36" s="52" t="s">
        <v>28</v>
      </c>
      <c r="E36" s="125">
        <v>0.0041</v>
      </c>
      <c r="F36" s="100">
        <f>F33*E36</f>
        <v>0.6150000000000001</v>
      </c>
      <c r="G36" s="52"/>
      <c r="H36" s="100"/>
    </row>
    <row r="37" spans="1:8" ht="34.5" customHeight="1">
      <c r="A37" s="82"/>
      <c r="B37" s="57"/>
      <c r="C37" s="53" t="s">
        <v>296</v>
      </c>
      <c r="D37" s="52" t="s">
        <v>28</v>
      </c>
      <c r="E37" s="52"/>
      <c r="F37" s="100"/>
      <c r="G37" s="52"/>
      <c r="H37" s="128">
        <f>H9+H13+H17+H21+H29+H33</f>
        <v>0</v>
      </c>
    </row>
    <row r="38" spans="1:8" ht="30" customHeight="1">
      <c r="A38" s="82"/>
      <c r="B38" s="57"/>
      <c r="C38" s="52" t="s">
        <v>297</v>
      </c>
      <c r="D38" s="52" t="s">
        <v>28</v>
      </c>
      <c r="E38" s="52"/>
      <c r="F38" s="100"/>
      <c r="G38" s="52"/>
      <c r="H38" s="122">
        <f>H10+H14+H18+H22+H30+H34</f>
        <v>0</v>
      </c>
    </row>
    <row r="39" spans="1:8" ht="31.5" customHeight="1">
      <c r="A39" s="200"/>
      <c r="B39" s="57"/>
      <c r="C39" s="52" t="s">
        <v>80</v>
      </c>
      <c r="D39" s="52" t="s">
        <v>28</v>
      </c>
      <c r="E39" s="52"/>
      <c r="F39" s="147">
        <v>0.65</v>
      </c>
      <c r="G39" s="52"/>
      <c r="H39" s="100">
        <f>H38*F39</f>
        <v>0</v>
      </c>
    </row>
    <row r="40" spans="1:8" ht="33" customHeight="1">
      <c r="A40" s="95"/>
      <c r="B40" s="61"/>
      <c r="C40" s="53" t="s">
        <v>75</v>
      </c>
      <c r="D40" s="53" t="s">
        <v>28</v>
      </c>
      <c r="E40" s="53"/>
      <c r="F40" s="53"/>
      <c r="G40" s="53"/>
      <c r="H40" s="109">
        <f>H37+H39</f>
        <v>0</v>
      </c>
    </row>
    <row r="41" spans="1:8" ht="27" customHeight="1">
      <c r="A41" s="200"/>
      <c r="B41" s="57"/>
      <c r="C41" s="52" t="s">
        <v>272</v>
      </c>
      <c r="D41" s="52" t="s">
        <v>28</v>
      </c>
      <c r="E41" s="52"/>
      <c r="F41" s="147">
        <v>0.08</v>
      </c>
      <c r="G41" s="52"/>
      <c r="H41" s="100">
        <f>H40*F41</f>
        <v>0</v>
      </c>
    </row>
    <row r="42" spans="1:8" ht="30.75" customHeight="1">
      <c r="A42" s="200"/>
      <c r="B42" s="57"/>
      <c r="C42" s="53" t="s">
        <v>271</v>
      </c>
      <c r="D42" s="53" t="s">
        <v>28</v>
      </c>
      <c r="E42" s="52"/>
      <c r="F42" s="100"/>
      <c r="G42" s="52"/>
      <c r="H42" s="109">
        <f>SUM(H40:H41)</f>
        <v>0</v>
      </c>
    </row>
    <row r="43" spans="1:8" ht="13.5">
      <c r="A43" s="46"/>
      <c r="B43" s="64"/>
      <c r="C43" s="65"/>
      <c r="D43" s="65"/>
      <c r="E43" s="47"/>
      <c r="F43" s="47"/>
      <c r="G43" s="47"/>
      <c r="H43" s="139"/>
    </row>
    <row r="44" spans="1:8" ht="13.5" customHeight="1">
      <c r="A44" s="46"/>
      <c r="B44" s="64"/>
      <c r="C44" s="65"/>
      <c r="D44" s="65"/>
      <c r="E44" s="47"/>
      <c r="F44" s="47"/>
      <c r="G44" s="47"/>
      <c r="H44" s="139"/>
    </row>
    <row r="45" spans="1:8" ht="13.5">
      <c r="A45" s="46"/>
      <c r="B45" s="64"/>
      <c r="C45" s="65"/>
      <c r="D45" s="65"/>
      <c r="E45" s="47"/>
      <c r="F45" s="47"/>
      <c r="G45" s="47"/>
      <c r="H45" s="139"/>
    </row>
    <row r="46" spans="1:8" ht="13.5">
      <c r="A46" s="46"/>
      <c r="B46" s="68"/>
      <c r="C46" s="49"/>
      <c r="D46" s="232"/>
      <c r="E46" s="232"/>
      <c r="F46" s="232"/>
      <c r="G46" s="232"/>
      <c r="H46" s="138"/>
    </row>
    <row r="47" spans="1:8" ht="13.5">
      <c r="A47" s="187"/>
      <c r="B47" s="188"/>
      <c r="C47" s="85"/>
      <c r="D47" s="54"/>
      <c r="E47" s="54"/>
      <c r="F47" s="189"/>
      <c r="G47" s="86"/>
      <c r="H47" s="169"/>
    </row>
    <row r="48" spans="1:8" ht="13.5">
      <c r="A48" s="187"/>
      <c r="B48" s="188"/>
      <c r="C48" s="85"/>
      <c r="D48" s="54"/>
      <c r="E48" s="54"/>
      <c r="F48" s="189"/>
      <c r="G48" s="86"/>
      <c r="H48" s="169"/>
    </row>
    <row r="49" spans="1:8" ht="13.5">
      <c r="A49" s="187"/>
      <c r="B49" s="188"/>
      <c r="C49" s="85"/>
      <c r="D49" s="54"/>
      <c r="E49" s="54"/>
      <c r="F49" s="189"/>
      <c r="G49" s="86"/>
      <c r="H49" s="169"/>
    </row>
    <row r="50" spans="1:8" ht="13.5">
      <c r="A50" s="187"/>
      <c r="B50" s="188"/>
      <c r="C50" s="85"/>
      <c r="D50" s="54"/>
      <c r="E50" s="54"/>
      <c r="F50" s="189"/>
      <c r="G50" s="86"/>
      <c r="H50" s="169"/>
    </row>
    <row r="51" spans="1:8" ht="13.5">
      <c r="A51" s="187"/>
      <c r="B51" s="188"/>
      <c r="C51" s="85"/>
      <c r="D51" s="54"/>
      <c r="E51" s="54"/>
      <c r="F51" s="189"/>
      <c r="G51" s="86"/>
      <c r="H51" s="169"/>
    </row>
    <row r="52" spans="1:8" ht="13.5">
      <c r="A52" s="187"/>
      <c r="B52" s="188"/>
      <c r="C52" s="85"/>
      <c r="D52" s="54"/>
      <c r="E52" s="54"/>
      <c r="F52" s="189"/>
      <c r="G52" s="86"/>
      <c r="H52" s="169"/>
    </row>
    <row r="53" spans="1:8" ht="13.5">
      <c r="A53" s="187"/>
      <c r="B53" s="188"/>
      <c r="C53" s="85"/>
      <c r="D53" s="54"/>
      <c r="E53" s="54"/>
      <c r="F53" s="189"/>
      <c r="G53" s="86"/>
      <c r="H53" s="169"/>
    </row>
    <row r="54" spans="1:8" ht="13.5">
      <c r="A54" s="187"/>
      <c r="B54" s="188"/>
      <c r="C54" s="85"/>
      <c r="D54" s="54"/>
      <c r="E54" s="54"/>
      <c r="F54" s="189"/>
      <c r="G54" s="86"/>
      <c r="H54" s="169"/>
    </row>
    <row r="55" spans="1:8" ht="13.5">
      <c r="A55" s="187"/>
      <c r="B55" s="188"/>
      <c r="C55" s="85"/>
      <c r="D55" s="54"/>
      <c r="E55" s="54"/>
      <c r="F55" s="189"/>
      <c r="G55" s="86"/>
      <c r="H55" s="169"/>
    </row>
    <row r="56" spans="1:8" ht="13.5">
      <c r="A56" s="187"/>
      <c r="B56" s="188"/>
      <c r="C56" s="85"/>
      <c r="D56" s="54"/>
      <c r="E56" s="54"/>
      <c r="F56" s="189"/>
      <c r="G56" s="86"/>
      <c r="H56" s="169"/>
    </row>
    <row r="57" spans="1:8" ht="13.5">
      <c r="A57" s="187"/>
      <c r="B57" s="188"/>
      <c r="C57" s="85"/>
      <c r="D57" s="54"/>
      <c r="E57" s="54"/>
      <c r="F57" s="189"/>
      <c r="G57" s="86"/>
      <c r="H57" s="169"/>
    </row>
    <row r="58" spans="1:8" ht="13.5">
      <c r="A58" s="187"/>
      <c r="B58" s="188"/>
      <c r="C58" s="85"/>
      <c r="D58" s="54"/>
      <c r="E58" s="54"/>
      <c r="F58" s="189"/>
      <c r="G58" s="86"/>
      <c r="H58" s="169"/>
    </row>
    <row r="59" spans="1:8" ht="13.5">
      <c r="A59" s="187"/>
      <c r="B59" s="188"/>
      <c r="C59" s="85"/>
      <c r="D59" s="54"/>
      <c r="E59" s="54"/>
      <c r="F59" s="189"/>
      <c r="G59" s="86"/>
      <c r="H59" s="169"/>
    </row>
    <row r="60" spans="1:8" ht="13.5">
      <c r="A60" s="187"/>
      <c r="B60" s="188"/>
      <c r="C60" s="85"/>
      <c r="D60" s="54"/>
      <c r="E60" s="54"/>
      <c r="F60" s="189"/>
      <c r="G60" s="86"/>
      <c r="H60" s="169"/>
    </row>
    <row r="61" spans="1:8" ht="13.5">
      <c r="A61" s="187"/>
      <c r="B61" s="188"/>
      <c r="C61" s="85"/>
      <c r="D61" s="54"/>
      <c r="E61" s="54"/>
      <c r="F61" s="189"/>
      <c r="G61" s="86"/>
      <c r="H61" s="169"/>
    </row>
    <row r="62" spans="1:8" ht="13.5">
      <c r="A62" s="187"/>
      <c r="B62" s="188"/>
      <c r="C62" s="85"/>
      <c r="D62" s="54"/>
      <c r="E62" s="54"/>
      <c r="F62" s="189"/>
      <c r="G62" s="86"/>
      <c r="H62" s="169"/>
    </row>
    <row r="63" spans="1:8" ht="13.5">
      <c r="A63" s="190"/>
      <c r="B63" s="188"/>
      <c r="C63" s="85"/>
      <c r="D63" s="54"/>
      <c r="E63" s="54"/>
      <c r="F63" s="189"/>
      <c r="G63" s="86"/>
      <c r="H63" s="169"/>
    </row>
    <row r="64" spans="1:8" ht="13.5">
      <c r="A64" s="190"/>
      <c r="B64" s="188"/>
      <c r="C64" s="85"/>
      <c r="D64" s="54"/>
      <c r="E64" s="54"/>
      <c r="F64" s="189"/>
      <c r="G64" s="86"/>
      <c r="H64" s="169"/>
    </row>
    <row r="65" spans="1:8" ht="13.5">
      <c r="A65" s="190"/>
      <c r="B65" s="188"/>
      <c r="C65" s="85"/>
      <c r="D65" s="54"/>
      <c r="E65" s="54"/>
      <c r="F65" s="189"/>
      <c r="G65" s="86"/>
      <c r="H65" s="169"/>
    </row>
    <row r="66" spans="1:8" ht="13.5">
      <c r="A66" s="190"/>
      <c r="B66" s="188"/>
      <c r="C66" s="85"/>
      <c r="D66" s="54"/>
      <c r="E66" s="54"/>
      <c r="F66" s="189"/>
      <c r="G66" s="86"/>
      <c r="H66" s="169"/>
    </row>
    <row r="67" spans="1:8" ht="13.5">
      <c r="A67" s="190"/>
      <c r="B67" s="188"/>
      <c r="C67" s="85"/>
      <c r="D67" s="54"/>
      <c r="E67" s="54"/>
      <c r="F67" s="189"/>
      <c r="G67" s="86"/>
      <c r="H67" s="169"/>
    </row>
    <row r="68" spans="1:8" ht="13.5">
      <c r="A68" s="190"/>
      <c r="B68" s="188"/>
      <c r="C68" s="85"/>
      <c r="D68" s="54"/>
      <c r="E68" s="54"/>
      <c r="F68" s="189"/>
      <c r="G68" s="86"/>
      <c r="H68" s="169"/>
    </row>
    <row r="69" spans="1:8" ht="13.5">
      <c r="A69" s="190"/>
      <c r="B69" s="188"/>
      <c r="C69" s="85"/>
      <c r="D69" s="54"/>
      <c r="E69" s="54"/>
      <c r="F69" s="189"/>
      <c r="G69" s="86"/>
      <c r="H69" s="169"/>
    </row>
    <row r="70" spans="1:8" ht="13.5">
      <c r="A70" s="190"/>
      <c r="B70" s="188"/>
      <c r="C70" s="85"/>
      <c r="D70" s="54"/>
      <c r="E70" s="54"/>
      <c r="F70" s="189"/>
      <c r="G70" s="86"/>
      <c r="H70" s="169"/>
    </row>
    <row r="71" spans="1:8" ht="13.5">
      <c r="A71" s="190"/>
      <c r="B71" s="188"/>
      <c r="C71" s="85"/>
      <c r="D71" s="54"/>
      <c r="E71" s="54"/>
      <c r="F71" s="189"/>
      <c r="G71" s="86"/>
      <c r="H71" s="169"/>
    </row>
    <row r="72" spans="1:8" ht="13.5">
      <c r="A72" s="190"/>
      <c r="B72" s="188"/>
      <c r="C72" s="85"/>
      <c r="D72" s="54"/>
      <c r="E72" s="54"/>
      <c r="F72" s="189"/>
      <c r="G72" s="86"/>
      <c r="H72" s="169"/>
    </row>
    <row r="73" spans="1:8" ht="13.5">
      <c r="A73" s="190"/>
      <c r="B73" s="188"/>
      <c r="C73" s="85"/>
      <c r="D73" s="54"/>
      <c r="E73" s="54"/>
      <c r="F73" s="189"/>
      <c r="G73" s="86"/>
      <c r="H73" s="169"/>
    </row>
    <row r="74" spans="1:8" ht="13.5">
      <c r="A74" s="190"/>
      <c r="B74" s="188"/>
      <c r="C74" s="85"/>
      <c r="D74" s="54"/>
      <c r="E74" s="54"/>
      <c r="F74" s="189"/>
      <c r="G74" s="86"/>
      <c r="H74" s="169"/>
    </row>
    <row r="75" spans="1:8" ht="13.5">
      <c r="A75" s="190"/>
      <c r="B75" s="188"/>
      <c r="C75" s="85"/>
      <c r="D75" s="54"/>
      <c r="E75" s="54"/>
      <c r="F75" s="189"/>
      <c r="G75" s="86"/>
      <c r="H75" s="169"/>
    </row>
    <row r="76" spans="1:8" ht="13.5">
      <c r="A76" s="190"/>
      <c r="B76" s="188"/>
      <c r="C76" s="85"/>
      <c r="D76" s="54"/>
      <c r="E76" s="54"/>
      <c r="F76" s="189"/>
      <c r="G76" s="86"/>
      <c r="H76" s="169"/>
    </row>
    <row r="77" spans="1:8" ht="13.5">
      <c r="A77" s="190"/>
      <c r="B77" s="188"/>
      <c r="C77" s="85"/>
      <c r="D77" s="54"/>
      <c r="E77" s="54"/>
      <c r="F77" s="189"/>
      <c r="G77" s="86"/>
      <c r="H77" s="169"/>
    </row>
    <row r="78" spans="1:8" ht="13.5">
      <c r="A78" s="190"/>
      <c r="B78" s="188"/>
      <c r="C78" s="85"/>
      <c r="D78" s="54"/>
      <c r="E78" s="54"/>
      <c r="F78" s="189"/>
      <c r="G78" s="86"/>
      <c r="H78" s="169"/>
    </row>
    <row r="79" spans="1:8" ht="13.5">
      <c r="A79" s="190"/>
      <c r="B79" s="188"/>
      <c r="C79" s="85"/>
      <c r="D79" s="54"/>
      <c r="E79" s="54"/>
      <c r="F79" s="189"/>
      <c r="G79" s="86"/>
      <c r="H79" s="169"/>
    </row>
    <row r="80" spans="1:8" ht="13.5">
      <c r="A80" s="190"/>
      <c r="B80" s="188"/>
      <c r="C80" s="85"/>
      <c r="D80" s="54"/>
      <c r="E80" s="54"/>
      <c r="F80" s="189"/>
      <c r="G80" s="86"/>
      <c r="H80" s="169"/>
    </row>
    <row r="81" spans="1:8" ht="13.5">
      <c r="A81" s="190"/>
      <c r="B81" s="188"/>
      <c r="C81" s="85"/>
      <c r="D81" s="54"/>
      <c r="E81" s="54"/>
      <c r="F81" s="189"/>
      <c r="G81" s="86"/>
      <c r="H81" s="169"/>
    </row>
  </sheetData>
  <sheetProtection/>
  <mergeCells count="11">
    <mergeCell ref="A5:A6"/>
    <mergeCell ref="B5:B6"/>
    <mergeCell ref="C5:C6"/>
    <mergeCell ref="D5:D6"/>
    <mergeCell ref="E5:F5"/>
    <mergeCell ref="G5:H5"/>
    <mergeCell ref="D46:G46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4.7109375" style="20" customWidth="1"/>
    <col min="2" max="2" width="10.28125" style="20" customWidth="1"/>
    <col min="3" max="3" width="32.57421875" style="20" customWidth="1"/>
    <col min="4" max="4" width="8.7109375" style="20" customWidth="1"/>
    <col min="5" max="5" width="8.00390625" style="20" customWidth="1"/>
    <col min="6" max="6" width="8.421875" style="20" customWidth="1"/>
    <col min="7" max="7" width="8.28125" style="20" customWidth="1"/>
    <col min="8" max="8" width="10.140625" style="20" customWidth="1"/>
    <col min="9" max="16384" width="9.140625" style="20" customWidth="1"/>
  </cols>
  <sheetData>
    <row r="1" spans="1:14" s="1" customFormat="1" ht="28.5" customHeight="1">
      <c r="A1" s="242" t="s">
        <v>421</v>
      </c>
      <c r="B1" s="237"/>
      <c r="C1" s="237"/>
      <c r="D1" s="237"/>
      <c r="E1" s="237"/>
      <c r="F1" s="237"/>
      <c r="G1" s="237"/>
      <c r="H1" s="237"/>
      <c r="I1" s="196"/>
      <c r="J1" s="3"/>
      <c r="K1" s="3"/>
      <c r="L1" s="3"/>
      <c r="M1" s="3"/>
      <c r="N1" s="3"/>
    </row>
    <row r="2" spans="1:14" s="1" customFormat="1" ht="15.75" customHeight="1">
      <c r="A2" s="243" t="s">
        <v>322</v>
      </c>
      <c r="B2" s="243"/>
      <c r="C2" s="243"/>
      <c r="D2" s="243"/>
      <c r="E2" s="243"/>
      <c r="F2" s="243"/>
      <c r="G2" s="243"/>
      <c r="H2" s="243"/>
      <c r="I2" s="28"/>
      <c r="J2" s="3"/>
      <c r="K2" s="3"/>
      <c r="L2" s="3"/>
      <c r="M2" s="3"/>
      <c r="N2" s="3"/>
    </row>
    <row r="3" spans="1:14" s="1" customFormat="1" ht="33" customHeight="1">
      <c r="A3" s="244" t="s">
        <v>336</v>
      </c>
      <c r="B3" s="244"/>
      <c r="C3" s="244"/>
      <c r="D3" s="244"/>
      <c r="E3" s="244"/>
      <c r="F3" s="244"/>
      <c r="G3" s="244"/>
      <c r="H3" s="244"/>
      <c r="I3" s="28"/>
      <c r="J3" s="3"/>
      <c r="K3" s="3"/>
      <c r="L3" s="3"/>
      <c r="M3" s="3"/>
      <c r="N3" s="3"/>
    </row>
    <row r="4" spans="1:14" s="1" customFormat="1" ht="27" customHeight="1">
      <c r="A4" s="228" t="s">
        <v>19</v>
      </c>
      <c r="B4" s="234" t="s">
        <v>20</v>
      </c>
      <c r="C4" s="240" t="s">
        <v>21</v>
      </c>
      <c r="D4" s="241" t="s">
        <v>18</v>
      </c>
      <c r="E4" s="239" t="s">
        <v>22</v>
      </c>
      <c r="F4" s="239"/>
      <c r="G4" s="239" t="s">
        <v>13</v>
      </c>
      <c r="H4" s="239"/>
      <c r="I4" s="10"/>
      <c r="J4" s="42"/>
      <c r="K4" s="42"/>
      <c r="L4" s="3"/>
      <c r="M4" s="3"/>
      <c r="N4" s="3"/>
    </row>
    <row r="5" spans="1:14" s="1" customFormat="1" ht="58.5" customHeight="1">
      <c r="A5" s="228"/>
      <c r="B5" s="234"/>
      <c r="C5" s="240"/>
      <c r="D5" s="241"/>
      <c r="E5" s="56" t="s">
        <v>23</v>
      </c>
      <c r="F5" s="56" t="s">
        <v>24</v>
      </c>
      <c r="G5" s="56" t="s">
        <v>23</v>
      </c>
      <c r="H5" s="149" t="s">
        <v>24</v>
      </c>
      <c r="I5" s="44"/>
      <c r="J5" s="44"/>
      <c r="K5" s="42"/>
      <c r="L5" s="3"/>
      <c r="M5" s="3"/>
      <c r="N5" s="3"/>
    </row>
    <row r="6" spans="1:14" s="5" customFormat="1" ht="18.75" customHeight="1">
      <c r="A6" s="75" t="s">
        <v>25</v>
      </c>
      <c r="B6" s="61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8">
        <v>8</v>
      </c>
      <c r="I6" s="14"/>
      <c r="J6" s="14"/>
      <c r="K6" s="17"/>
      <c r="L6" s="13"/>
      <c r="M6" s="13"/>
      <c r="N6" s="13"/>
    </row>
    <row r="7" spans="1:8" ht="76.5" customHeight="1">
      <c r="A7" s="75" t="s">
        <v>25</v>
      </c>
      <c r="B7" s="61" t="s">
        <v>14</v>
      </c>
      <c r="C7" s="53" t="s">
        <v>339</v>
      </c>
      <c r="D7" s="81" t="s">
        <v>48</v>
      </c>
      <c r="E7" s="62"/>
      <c r="F7" s="212">
        <v>70</v>
      </c>
      <c r="G7" s="198"/>
      <c r="H7" s="217"/>
    </row>
    <row r="8" spans="1:8" ht="34.5" customHeight="1">
      <c r="A8" s="73"/>
      <c r="B8" s="60" t="s">
        <v>14</v>
      </c>
      <c r="C8" s="52" t="s">
        <v>150</v>
      </c>
      <c r="D8" s="58" t="str">
        <f>D7</f>
        <v>grZ.m</v>
      </c>
      <c r="E8" s="58">
        <v>1</v>
      </c>
      <c r="F8" s="124">
        <f>E8*F7</f>
        <v>70</v>
      </c>
      <c r="G8" s="114"/>
      <c r="H8" s="184"/>
    </row>
    <row r="9" spans="1:8" ht="56.25" customHeight="1">
      <c r="A9" s="75" t="s">
        <v>43</v>
      </c>
      <c r="B9" s="61" t="s">
        <v>158</v>
      </c>
      <c r="C9" s="53" t="s">
        <v>403</v>
      </c>
      <c r="D9" s="53" t="s">
        <v>40</v>
      </c>
      <c r="E9" s="53"/>
      <c r="F9" s="129">
        <v>112</v>
      </c>
      <c r="G9" s="53"/>
      <c r="H9" s="218"/>
    </row>
    <row r="10" spans="1:8" ht="34.5" customHeight="1">
      <c r="A10" s="73"/>
      <c r="B10" s="57" t="s">
        <v>16</v>
      </c>
      <c r="C10" s="52" t="s">
        <v>159</v>
      </c>
      <c r="D10" s="52" t="s">
        <v>17</v>
      </c>
      <c r="E10" s="52">
        <f>1.15*0.031</f>
        <v>0.035649999999999994</v>
      </c>
      <c r="F10" s="100">
        <f>E10*F9</f>
        <v>3.9927999999999995</v>
      </c>
      <c r="G10" s="52"/>
      <c r="H10" s="182"/>
    </row>
    <row r="11" spans="1:8" ht="35.25" customHeight="1">
      <c r="A11" s="73"/>
      <c r="B11" s="57" t="s">
        <v>16</v>
      </c>
      <c r="C11" s="52" t="s">
        <v>160</v>
      </c>
      <c r="D11" s="52" t="s">
        <v>28</v>
      </c>
      <c r="E11" s="52">
        <f>1.15*0.002</f>
        <v>0.0023</v>
      </c>
      <c r="F11" s="100">
        <f>E11*F9</f>
        <v>0.2576</v>
      </c>
      <c r="G11" s="52"/>
      <c r="H11" s="121"/>
    </row>
    <row r="12" spans="1:8" ht="29.25" customHeight="1">
      <c r="A12" s="73"/>
      <c r="B12" s="45" t="s">
        <v>14</v>
      </c>
      <c r="C12" s="52" t="s">
        <v>161</v>
      </c>
      <c r="D12" s="52" t="s">
        <v>27</v>
      </c>
      <c r="E12" s="52">
        <v>0.101</v>
      </c>
      <c r="F12" s="100">
        <f>E12*F9</f>
        <v>11.312000000000001</v>
      </c>
      <c r="G12" s="52"/>
      <c r="H12" s="121"/>
    </row>
    <row r="13" spans="1:8" ht="31.5" customHeight="1">
      <c r="A13" s="73"/>
      <c r="B13" s="57" t="s">
        <v>16</v>
      </c>
      <c r="C13" s="52" t="s">
        <v>30</v>
      </c>
      <c r="D13" s="52" t="s">
        <v>28</v>
      </c>
      <c r="E13" s="52">
        <v>0.0019</v>
      </c>
      <c r="F13" s="100">
        <f>E13*F9</f>
        <v>0.2128</v>
      </c>
      <c r="G13" s="52"/>
      <c r="H13" s="121"/>
    </row>
    <row r="14" spans="1:8" ht="59.25" customHeight="1">
      <c r="A14" s="75" t="s">
        <v>44</v>
      </c>
      <c r="B14" s="61" t="s">
        <v>88</v>
      </c>
      <c r="C14" s="53" t="s">
        <v>402</v>
      </c>
      <c r="D14" s="53" t="s">
        <v>40</v>
      </c>
      <c r="E14" s="53"/>
      <c r="F14" s="129">
        <v>112</v>
      </c>
      <c r="G14" s="53"/>
      <c r="H14" s="218"/>
    </row>
    <row r="15" spans="1:8" ht="33" customHeight="1">
      <c r="A15" s="73"/>
      <c r="B15" s="57" t="s">
        <v>16</v>
      </c>
      <c r="C15" s="52" t="s">
        <v>89</v>
      </c>
      <c r="D15" s="52" t="s">
        <v>17</v>
      </c>
      <c r="E15" s="52">
        <f>1.15*0.388</f>
        <v>0.4462</v>
      </c>
      <c r="F15" s="100">
        <f>E15*F14</f>
        <v>49.974399999999996</v>
      </c>
      <c r="G15" s="52"/>
      <c r="H15" s="182"/>
    </row>
    <row r="16" spans="1:8" ht="27.75" customHeight="1">
      <c r="A16" s="73"/>
      <c r="B16" s="57" t="s">
        <v>16</v>
      </c>
      <c r="C16" s="52" t="s">
        <v>54</v>
      </c>
      <c r="D16" s="52" t="s">
        <v>28</v>
      </c>
      <c r="E16" s="45">
        <f>1.15*0.0003</f>
        <v>0.00034499999999999993</v>
      </c>
      <c r="F16" s="100">
        <f>E16*F14</f>
        <v>0.038639999999999994</v>
      </c>
      <c r="G16" s="52"/>
      <c r="H16" s="121"/>
    </row>
    <row r="17" spans="1:8" ht="30.75" customHeight="1">
      <c r="A17" s="73"/>
      <c r="B17" s="45" t="s">
        <v>14</v>
      </c>
      <c r="C17" s="52" t="s">
        <v>162</v>
      </c>
      <c r="D17" s="52" t="s">
        <v>27</v>
      </c>
      <c r="E17" s="52">
        <v>0.35</v>
      </c>
      <c r="F17" s="100">
        <f>E17*F14</f>
        <v>39.199999999999996</v>
      </c>
      <c r="G17" s="52"/>
      <c r="H17" s="121"/>
    </row>
    <row r="18" spans="1:8" ht="29.25" customHeight="1">
      <c r="A18" s="73"/>
      <c r="B18" s="57" t="s">
        <v>16</v>
      </c>
      <c r="C18" s="52" t="s">
        <v>30</v>
      </c>
      <c r="D18" s="52" t="s">
        <v>28</v>
      </c>
      <c r="E18" s="52">
        <v>0.0019</v>
      </c>
      <c r="F18" s="100">
        <f>E18*F14</f>
        <v>0.2128</v>
      </c>
      <c r="G18" s="52"/>
      <c r="H18" s="121"/>
    </row>
    <row r="19" spans="1:8" ht="29.25" customHeight="1">
      <c r="A19" s="82"/>
      <c r="B19" s="57"/>
      <c r="C19" s="53" t="s">
        <v>302</v>
      </c>
      <c r="D19" s="52" t="s">
        <v>28</v>
      </c>
      <c r="E19" s="52"/>
      <c r="F19" s="100"/>
      <c r="G19" s="52"/>
      <c r="H19" s="219">
        <f>H7+H9+H14</f>
        <v>0</v>
      </c>
    </row>
    <row r="20" spans="1:8" ht="27" customHeight="1">
      <c r="A20" s="82"/>
      <c r="B20" s="57"/>
      <c r="C20" s="52" t="s">
        <v>136</v>
      </c>
      <c r="D20" s="52" t="s">
        <v>28</v>
      </c>
      <c r="E20" s="52"/>
      <c r="F20" s="147">
        <v>0.1</v>
      </c>
      <c r="G20" s="52"/>
      <c r="H20" s="183">
        <f>H19*F20</f>
        <v>0</v>
      </c>
    </row>
    <row r="21" spans="1:8" ht="27.75" customHeight="1">
      <c r="A21" s="78"/>
      <c r="B21" s="61"/>
      <c r="C21" s="53" t="s">
        <v>75</v>
      </c>
      <c r="D21" s="53" t="s">
        <v>28</v>
      </c>
      <c r="E21" s="53"/>
      <c r="F21" s="53"/>
      <c r="G21" s="53"/>
      <c r="H21" s="219">
        <f>SUM(H19:H20)</f>
        <v>0</v>
      </c>
    </row>
    <row r="22" spans="1:8" ht="30" customHeight="1">
      <c r="A22" s="82"/>
      <c r="B22" s="57"/>
      <c r="C22" s="52" t="s">
        <v>29</v>
      </c>
      <c r="D22" s="52" t="s">
        <v>28</v>
      </c>
      <c r="E22" s="52"/>
      <c r="F22" s="147">
        <v>0.08</v>
      </c>
      <c r="G22" s="52"/>
      <c r="H22" s="183">
        <f>H21*F22</f>
        <v>0</v>
      </c>
    </row>
    <row r="23" spans="1:8" ht="34.5" customHeight="1">
      <c r="A23" s="82"/>
      <c r="B23" s="57"/>
      <c r="C23" s="199" t="s">
        <v>41</v>
      </c>
      <c r="D23" s="53" t="s">
        <v>28</v>
      </c>
      <c r="E23" s="52"/>
      <c r="F23" s="147"/>
      <c r="G23" s="52"/>
      <c r="H23" s="220">
        <f>SUM(H21:H22)</f>
        <v>0</v>
      </c>
    </row>
    <row r="25" spans="1:8" ht="21" customHeight="1">
      <c r="A25" s="249"/>
      <c r="B25" s="250"/>
      <c r="C25" s="251" t="s">
        <v>422</v>
      </c>
      <c r="D25" s="251" t="s">
        <v>423</v>
      </c>
      <c r="E25" s="252"/>
      <c r="F25" s="252"/>
      <c r="G25" s="252"/>
      <c r="H25" s="253">
        <f>' №1-1'!H131+'#1-2'!H83+'#1-3'!H97+'#1-4'!H48+'#1-5'!H42+'#2'!H23</f>
        <v>0</v>
      </c>
    </row>
    <row r="26" spans="1:8" ht="32.25" customHeight="1">
      <c r="A26" s="254"/>
      <c r="B26" s="254"/>
      <c r="C26" s="255" t="s">
        <v>424</v>
      </c>
      <c r="D26" s="256">
        <v>0.03</v>
      </c>
      <c r="E26" s="254"/>
      <c r="F26" s="254"/>
      <c r="G26" s="254"/>
      <c r="H26" s="257">
        <f>H25*3%</f>
        <v>0</v>
      </c>
    </row>
    <row r="27" spans="1:8" ht="21" customHeight="1">
      <c r="A27" s="254"/>
      <c r="B27" s="254"/>
      <c r="C27" s="258" t="s">
        <v>422</v>
      </c>
      <c r="D27" s="254"/>
      <c r="E27" s="254"/>
      <c r="F27" s="254"/>
      <c r="G27" s="254"/>
      <c r="H27" s="257">
        <f>H25+H26</f>
        <v>0</v>
      </c>
    </row>
    <row r="28" spans="1:8" ht="21" customHeight="1">
      <c r="A28" s="254"/>
      <c r="B28" s="254"/>
      <c r="C28" s="258" t="s">
        <v>425</v>
      </c>
      <c r="D28" s="256">
        <v>0.18</v>
      </c>
      <c r="E28" s="254"/>
      <c r="F28" s="254"/>
      <c r="G28" s="254"/>
      <c r="H28" s="257">
        <f>H27*18%</f>
        <v>0</v>
      </c>
    </row>
    <row r="29" spans="1:8" ht="21" customHeight="1">
      <c r="A29" s="254"/>
      <c r="B29" s="254"/>
      <c r="C29" s="258" t="s">
        <v>422</v>
      </c>
      <c r="D29" s="254"/>
      <c r="E29" s="254"/>
      <c r="F29" s="254"/>
      <c r="G29" s="254"/>
      <c r="H29" s="257">
        <f>H27+H28</f>
        <v>0</v>
      </c>
    </row>
    <row r="30" spans="1:8" ht="21" customHeight="1">
      <c r="A30" s="254"/>
      <c r="B30" s="254"/>
      <c r="C30" s="258" t="s">
        <v>426</v>
      </c>
      <c r="D30" s="259">
        <v>0.022</v>
      </c>
      <c r="E30" s="254"/>
      <c r="F30" s="254"/>
      <c r="G30" s="254"/>
      <c r="H30" s="257">
        <f>H29*2.2%</f>
        <v>0</v>
      </c>
    </row>
    <row r="31" spans="1:8" ht="21" customHeight="1">
      <c r="A31" s="254"/>
      <c r="B31" s="254"/>
      <c r="C31" s="258" t="s">
        <v>427</v>
      </c>
      <c r="D31" s="254"/>
      <c r="E31" s="254"/>
      <c r="F31" s="254"/>
      <c r="G31" s="254"/>
      <c r="H31" s="257">
        <f>H29+H30</f>
        <v>0</v>
      </c>
    </row>
  </sheetData>
  <sheetProtection/>
  <mergeCells count="9">
    <mergeCell ref="A4:A5"/>
    <mergeCell ref="B4:B5"/>
    <mergeCell ref="C4:C5"/>
    <mergeCell ref="D4:D5"/>
    <mergeCell ref="E4:F4"/>
    <mergeCell ref="G4:H4"/>
    <mergeCell ref="A1:H1"/>
    <mergeCell ref="A2:H2"/>
    <mergeCell ref="A3:H3"/>
  </mergeCells>
  <printOptions/>
  <pageMargins left="0.7" right="0.48" top="0.58" bottom="0.5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GIACH</dc:creator>
  <cp:keywords/>
  <dc:description/>
  <cp:lastModifiedBy>jsurmanidze</cp:lastModifiedBy>
  <cp:lastPrinted>2018-06-19T11:23:16Z</cp:lastPrinted>
  <dcterms:created xsi:type="dcterms:W3CDTF">1996-10-14T23:33:28Z</dcterms:created>
  <dcterms:modified xsi:type="dcterms:W3CDTF">2018-06-19T11:33:37Z</dcterms:modified>
  <cp:category/>
  <cp:version/>
  <cp:contentType/>
  <cp:contentStatus/>
</cp:coreProperties>
</file>