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927" activeTab="1"/>
  </bookViews>
  <sheets>
    <sheet name="კრებსითი" sheetId="1" r:id="rId1"/>
    <sheet name="1-1" sheetId="2" r:id="rId2"/>
    <sheet name="1-2" sheetId="3" r:id="rId3"/>
    <sheet name="1-3" sheetId="4" r:id="rId4"/>
    <sheet name="1-4" sheetId="5" r:id="rId5"/>
    <sheet name="1-5" sheetId="6" r:id="rId6"/>
    <sheet name="2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aaa">#REF!</definedName>
    <definedName name="aaaa12">#REF!</definedName>
    <definedName name="adfgh69">#REF!</definedName>
    <definedName name="adfhak">#REF!</definedName>
    <definedName name="adin">#REF!</definedName>
    <definedName name="adlp">#REF!</definedName>
    <definedName name="asdz">#REF!</definedName>
    <definedName name="ati">#REF!</definedName>
    <definedName name="aweyth65">#REF!</definedName>
    <definedName name="b00">#REF!</definedName>
    <definedName name="bbbb4">#REF!</definedName>
    <definedName name="bbbbbb">#REF!</definedName>
    <definedName name="bnj">#REF!</definedName>
    <definedName name="bnmk">'[3]niveloba'!#REF!</definedName>
    <definedName name="bvcccc11144">'[10]x1'!#REF!</definedName>
    <definedName name="bytl">#REF!</definedName>
    <definedName name="cftslp">#REF!</definedName>
    <definedName name="cxra">#REF!</definedName>
    <definedName name="desz">#REF!</definedName>
    <definedName name="dlynv">#REF!</definedName>
    <definedName name="dsa">#REF!</definedName>
    <definedName name="dva">#REF!</definedName>
    <definedName name="ewqa">#REF!</definedName>
    <definedName name="ews">#REF!</definedName>
    <definedName name="exvsi">#REF!</definedName>
    <definedName name="eywh23">#REF!</definedName>
    <definedName name="F22345u">#REF!</definedName>
    <definedName name="fdaAFG">'[11]x'!#REF!</definedName>
    <definedName name="fdgh2145">#REF!</definedName>
    <definedName name="fdrt124">#REF!</definedName>
    <definedName name="fds">#REF!</definedName>
    <definedName name="fdsa474">#REF!</definedName>
    <definedName name="fdsgtr14789">'[15]x2,'!#REF!</definedName>
    <definedName name="ffff5">#REF!</definedName>
    <definedName name="ffff5555">#REF!</definedName>
    <definedName name="fgdm">#REF!</definedName>
    <definedName name="fgu9">#REF!</definedName>
    <definedName name="frgtyrter">#REF!</definedName>
    <definedName name="fvb">#REF!</definedName>
    <definedName name="fwsg">#REF!</definedName>
    <definedName name="fxza">#REF!</definedName>
    <definedName name="gdsdfgh45763">'[9]x1'!#REF!</definedName>
    <definedName name="gfd">'[4]res ur'!#REF!</definedName>
    <definedName name="gfd56">#REF!</definedName>
    <definedName name="gfds">#REF!</definedName>
    <definedName name="gfdsaxcvvbnm">#REF!</definedName>
    <definedName name="gfh23">#REF!</definedName>
    <definedName name="gfhy56">#REF!</definedName>
    <definedName name="ggg6">#REF!</definedName>
    <definedName name="gggffddd">#REF!</definedName>
    <definedName name="gggg11">#REF!</definedName>
    <definedName name="ghbca">#REF!</definedName>
    <definedName name="ghdah584">#REF!</definedName>
    <definedName name="ghjkl">#REF!</definedName>
    <definedName name="ghrtwewq1479">#REF!</definedName>
    <definedName name="gsgs54">#REF!</definedName>
    <definedName name="gtf5">#REF!</definedName>
    <definedName name="gtfd">#REF!</definedName>
    <definedName name="gtfd45">#REF!</definedName>
    <definedName name="gth1">#REF!</definedName>
    <definedName name="gyth3">#REF!</definedName>
    <definedName name="gytjk">#REF!</definedName>
    <definedName name="hasdha">#REF!</definedName>
    <definedName name="hazxc">#REF!</definedName>
    <definedName name="hbpl">#REF!</definedName>
    <definedName name="hfdsgjhk4789">#REF!</definedName>
    <definedName name="HFGAY125">#REF!</definedName>
    <definedName name="hgaqw56">'[8]xar #1 (3)'!#REF!</definedName>
    <definedName name="hgbhg21456">#REF!</definedName>
    <definedName name="hgbv451">#REF!</definedName>
    <definedName name="hgf478">'[12]x2w'!#REF!</definedName>
    <definedName name="hgf665">#REF!</definedName>
    <definedName name="hgfd">#REF!</definedName>
    <definedName name="hgfd256">#REF!</definedName>
    <definedName name="HGFD457">#REF!</definedName>
    <definedName name="hgfds23">#REF!</definedName>
    <definedName name="hgfdvbn5412">#REF!</definedName>
    <definedName name="hgfv">#REF!</definedName>
    <definedName name="hgh55">#REF!</definedName>
    <definedName name="hgjkil256">#REF!</definedName>
    <definedName name="HGU5478">'[11]x'!#REF!</definedName>
    <definedName name="hgv">#REF!</definedName>
    <definedName name="hhh2">#REF!</definedName>
    <definedName name="hhh222">#REF!</definedName>
    <definedName name="hhhh555">#REF!</definedName>
    <definedName name="hhhh74">#REF!</definedName>
    <definedName name="hhhhh111144">'[9]x1'!#REF!</definedName>
    <definedName name="hjk4">#REF!</definedName>
    <definedName name="hjka">#REF!</definedName>
    <definedName name="hjkil4587">#REF!</definedName>
    <definedName name="hjkl32">#REF!</definedName>
    <definedName name="hju">#REF!</definedName>
    <definedName name="hnbg">#REF!</definedName>
    <definedName name="hori1">#REF!</definedName>
    <definedName name="huji236">#REF!</definedName>
    <definedName name="hujk">#REF!</definedName>
    <definedName name="huy">#REF!</definedName>
    <definedName name="huyg32">#REF!</definedName>
    <definedName name="hyfaq8">#REF!</definedName>
    <definedName name="hytrew">#REF!</definedName>
    <definedName name="ighfdsae58">'[7]x#1'!#REF!</definedName>
    <definedName name="ihl">#REF!</definedName>
    <definedName name="ijkop5478">#REF!</definedName>
    <definedName name="ijo45">#REF!</definedName>
    <definedName name="ijuhg">#REF!</definedName>
    <definedName name="iobv3">#REF!</definedName>
    <definedName name="ioklp9874">#REF!</definedName>
    <definedName name="iolp256">#REF!</definedName>
    <definedName name="iopasd589">#REF!</definedName>
    <definedName name="iuop">#REF!</definedName>
    <definedName name="iuy">#REF!</definedName>
    <definedName name="iuy98">#REF!</definedName>
    <definedName name="iuytre745">#REF!</definedName>
    <definedName name="jfdyrt14790">'[14]x2'!#REF!</definedName>
    <definedName name="jhg">#REF!</definedName>
    <definedName name="jhgf">#REF!</definedName>
    <definedName name="jhgf4587">#REF!</definedName>
    <definedName name="jhgfd">#REF!</definedName>
    <definedName name="jhgyt256">#REF!</definedName>
    <definedName name="jhikolp4578">#REF!</definedName>
    <definedName name="jhk324">#REF!</definedName>
    <definedName name="jhklp5484">#REF!</definedName>
    <definedName name="jhm">#REF!</definedName>
    <definedName name="jhuy2145">#REF!</definedName>
    <definedName name="jilo">#REF!</definedName>
    <definedName name="jim56">#REF!</definedName>
    <definedName name="jjhgfd658">#REF!</definedName>
    <definedName name="jjjj5555">'[10]x1'!#REF!</definedName>
    <definedName name="jjjjj1">#REF!</definedName>
    <definedName name="jjjjj1kkk1">#REF!</definedName>
    <definedName name="jjjjj4444">#REF!</definedName>
    <definedName name="jk45">#REF!</definedName>
    <definedName name="jkfx30">#REF!</definedName>
    <definedName name="jki">#REF!</definedName>
    <definedName name="jkil56">#REF!</definedName>
    <definedName name="jkio54576">#REF!</definedName>
    <definedName name="jkiolp1456">#REF!</definedName>
    <definedName name="jkiuh14586">#REF!</definedName>
    <definedName name="jkl6547">#REF!</definedName>
    <definedName name="jnb1">#REF!</definedName>
    <definedName name="jsef">#REF!</definedName>
    <definedName name="jshj">#REF!</definedName>
    <definedName name="juhg">#REF!</definedName>
    <definedName name="juhg02">#REF!</definedName>
    <definedName name="juiklo458">#REF!</definedName>
    <definedName name="jukil6521">#REF!</definedName>
    <definedName name="juytgb">#REF!</definedName>
    <definedName name="jzawqr62147">#REF!</definedName>
    <definedName name="k">#REF!</definedName>
    <definedName name="kaeeeeee">#REF!</definedName>
    <definedName name="kaqw">#REF!</definedName>
    <definedName name="kawr896">#REF!</definedName>
    <definedName name="KBMPJ147">'[11]x'!#REF!</definedName>
    <definedName name="kbvc">#REF!</definedName>
    <definedName name="kdewqamn">#REF!</definedName>
    <definedName name="khgfd584">#REF!</definedName>
    <definedName name="khuy">#REF!</definedName>
    <definedName name="kigfd5">#REF!</definedName>
    <definedName name="kij">#REF!</definedName>
    <definedName name="kij4">#REF!</definedName>
    <definedName name="kij85">#REF!</definedName>
    <definedName name="kijh">#REF!</definedName>
    <definedName name="kijhg">#REF!</definedName>
    <definedName name="kijhl">#REF!</definedName>
    <definedName name="kiju745">#REF!</definedName>
    <definedName name="kijulkij32">#REF!</definedName>
    <definedName name="kik">#REF!</definedName>
    <definedName name="kioa">#REF!</definedName>
    <definedName name="kiojh">#REF!</definedName>
    <definedName name="kiol547">#REF!</definedName>
    <definedName name="kiop">#REF!</definedName>
    <definedName name="kiuj362">'[7]x#2'!#REF!</definedName>
    <definedName name="kiuy">#REF!</definedName>
    <definedName name="kjasawq">#REF!</definedName>
    <definedName name="kjbhfs65">#REF!</definedName>
    <definedName name="kjh">#REF!</definedName>
    <definedName name="KJHG">#REF!</definedName>
    <definedName name="kjhg6214">#REF!</definedName>
    <definedName name="kjhgf">#REF!</definedName>
    <definedName name="kjhgf4565">#REF!</definedName>
    <definedName name="kjhgf58">'[7]x#1'!#REF!</definedName>
    <definedName name="kjhjgui548">#REF!</definedName>
    <definedName name="kjhk65">#REF!</definedName>
    <definedName name="kjhq">#REF!</definedName>
    <definedName name="kjhuyg1456">'[12]x2w'!#REF!</definedName>
    <definedName name="kjilo65">#REF!</definedName>
    <definedName name="kjio">#REF!</definedName>
    <definedName name="kjjj55558">#REF!</definedName>
    <definedName name="kjk5">#REF!</definedName>
    <definedName name="kjnm510">#REF!</definedName>
    <definedName name="kjop">#REF!</definedName>
    <definedName name="kjse">#REF!</definedName>
    <definedName name="kjuh">#REF!</definedName>
    <definedName name="kjuh111">#REF!</definedName>
    <definedName name="kjuhg">#REF!</definedName>
    <definedName name="kjwa68">#REF!</definedName>
    <definedName name="kkk444">#REF!</definedName>
    <definedName name="kkkjj235">#REF!</definedName>
    <definedName name="kkkk444433">'[10]x1'!#REF!</definedName>
    <definedName name="kkkk55">#REF!</definedName>
    <definedName name="kkkkkkmmmm5551111">#REF!</definedName>
    <definedName name="kkkm">#REF!</definedName>
    <definedName name="kkl">#REF!</definedName>
    <definedName name="kl">#REF!</definedName>
    <definedName name="klkk222">#REF!</definedName>
    <definedName name="klmn">#REF!</definedName>
    <definedName name="kloint">#REF!</definedName>
    <definedName name="klop">#REF!</definedName>
    <definedName name="klop652">#REF!</definedName>
    <definedName name="kls">#REF!</definedName>
    <definedName name="km">'[3]niveloba'!#REF!</definedName>
    <definedName name="km1">#REF!</definedName>
    <definedName name="kmb">#REF!</definedName>
    <definedName name="kmjm">#REF!</definedName>
    <definedName name="kmjnjnm">#REF!</definedName>
    <definedName name="kmn">#REF!</definedName>
    <definedName name="kmnbv62014">#REF!</definedName>
    <definedName name="knhyb">#REF!</definedName>
    <definedName name="koij1458">#REF!</definedName>
    <definedName name="kokl222555">#REF!</definedName>
    <definedName name="koli45">'[6]x 3'!#REF!</definedName>
    <definedName name="koliu14786">'[10]x1'!#REF!</definedName>
    <definedName name="kop">#REF!</definedName>
    <definedName name="kopw">#REF!</definedName>
    <definedName name="kot">'[3]niveloba'!#REF!</definedName>
    <definedName name="kp">'[3]niveloba'!#REF!</definedName>
    <definedName name="ks">#REF!</definedName>
    <definedName name="ksael">#REF!</definedName>
    <definedName name="kx">'[2]niveloba'!#REF!</definedName>
    <definedName name="ljhggfdd23">#REF!</definedName>
    <definedName name="lki2654">#REF!</definedName>
    <definedName name="lkij">#REF!</definedName>
    <definedName name="lkijo">#REF!</definedName>
    <definedName name="lkiop">#REF!</definedName>
    <definedName name="lkiu">#REF!</definedName>
    <definedName name="lkj">#REF!</definedName>
    <definedName name="lkjbh624">'[13]8'!#REF!</definedName>
    <definedName name="lkjh">#REF!</definedName>
    <definedName name="lkjh1457">#REF!</definedName>
    <definedName name="lkjh545">#REF!</definedName>
    <definedName name="lkjh548321">#REF!</definedName>
    <definedName name="lkjhb1">#REF!</definedName>
    <definedName name="lkjhg514">#REF!</definedName>
    <definedName name="lkjhg9514">#REF!</definedName>
    <definedName name="lkjjhh">#REF!</definedName>
    <definedName name="lkkk5555">#REF!</definedName>
    <definedName name="lkm2">#REF!</definedName>
    <definedName name="lkma81">#REF!</definedName>
    <definedName name="lkmjn625">#REF!</definedName>
    <definedName name="lkoij5478">#REF!</definedName>
    <definedName name="lkoj124">#REF!</definedName>
    <definedName name="lkop548">#REF!</definedName>
    <definedName name="lll555">'[10]x1'!#REF!</definedName>
    <definedName name="llll54">#REF!</definedName>
    <definedName name="llll555">#REF!</definedName>
    <definedName name="lllll0000">#REF!</definedName>
    <definedName name="LMBVCX">#REF!</definedName>
    <definedName name="lmkijh2548">#REF!</definedName>
    <definedName name="lmkjn621">#REF!</definedName>
    <definedName name="lmuioa">#REF!</definedName>
    <definedName name="lmutaz">#REF!</definedName>
    <definedName name="lo3">#REF!</definedName>
    <definedName name="loiu">#REF!</definedName>
    <definedName name="lok">#REF!</definedName>
    <definedName name="lok1402">#REF!</definedName>
    <definedName name="loki254">#REF!</definedName>
    <definedName name="lokij2546">'[12]x2w'!#REF!</definedName>
    <definedName name="lokj">#REF!</definedName>
    <definedName name="lokj741">#REF!</definedName>
    <definedName name="lokpijuh1478">#REF!</definedName>
    <definedName name="lokpiuyt5487">#REF!</definedName>
    <definedName name="lomj">#REF!</definedName>
    <definedName name="lomz">#REF!</definedName>
    <definedName name="lopk2">#REF!</definedName>
    <definedName name="lozaq3">#REF!</definedName>
    <definedName name="lpl522">#REF!</definedName>
    <definedName name="lplo1424">#REF!</definedName>
    <definedName name="lpo">#REF!</definedName>
    <definedName name="lpoki">#REF!</definedName>
    <definedName name="lpokj548">#REF!</definedName>
    <definedName name="lpokl2654">#REF!</definedName>
    <definedName name="lqat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j56">#REF!</definedName>
    <definedName name="mji147">#REF!</definedName>
    <definedName name="mkh">#REF!</definedName>
    <definedName name="mmm111">#REF!</definedName>
    <definedName name="mmm1111222">'[10]x1'!#REF!</definedName>
    <definedName name="mmm1114">#REF!</definedName>
    <definedName name="mmmm13">#REF!</definedName>
    <definedName name="mmn">#REF!</definedName>
    <definedName name="mnbnv">#REF!</definedName>
    <definedName name="more">#REF!</definedName>
    <definedName name="mrewa">#REF!</definedName>
    <definedName name="nczxh21">#REF!</definedName>
    <definedName name="nmjh564">'[12]x1'!#REF!</definedName>
    <definedName name="nn22">#REF!</definedName>
    <definedName name="nnn333">#REF!</definedName>
    <definedName name="nnnn88">#REF!</definedName>
    <definedName name="nuaq">#REF!</definedName>
    <definedName name="o">#REF!</definedName>
    <definedName name="oiesd456">'[7]x#1'!#REF!</definedName>
    <definedName name="oik601">#REF!</definedName>
    <definedName name="oil36">#REF!</definedName>
    <definedName name="oil984">#REF!</definedName>
    <definedName name="oilkm365">#REF!</definedName>
    <definedName name="oiuu478">#REF!</definedName>
    <definedName name="oiuy">#REF!</definedName>
    <definedName name="ok547">#REF!</definedName>
    <definedName name="okil">#REF!</definedName>
    <definedName name="oklij21456">'[12]x1'!#REF!</definedName>
    <definedName name="oklphji">#REF!</definedName>
    <definedName name="okm44">#REF!</definedName>
    <definedName name="oknjh95147">'[13]8'!#REF!</definedName>
    <definedName name="olm">#REF!</definedName>
    <definedName name="olpl1457">#REF!</definedName>
    <definedName name="ooii">#REF!</definedName>
    <definedName name="oooo547">#REF!</definedName>
    <definedName name="oooo6">#REF!</definedName>
    <definedName name="ooooooii">#REF!</definedName>
    <definedName name="opi4">#REF!</definedName>
    <definedName name="opl">#REF!</definedName>
    <definedName name="opl321">#REF!</definedName>
    <definedName name="oplop321">#REF!</definedName>
    <definedName name="opuyu">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iyuytr1457">#REF!</definedName>
    <definedName name="pkmnj">#REF!</definedName>
    <definedName name="pkoi">#REF!</definedName>
    <definedName name="plki1457">#REF!</definedName>
    <definedName name="plkj621">#REF!</definedName>
    <definedName name="plkjl">#REF!</definedName>
    <definedName name="plkm8123">#REF!</definedName>
    <definedName name="plmnb95478">#REF!</definedName>
    <definedName name="plmz">#REF!</definedName>
    <definedName name="plok125">#REF!</definedName>
    <definedName name="plok265">#REF!</definedName>
    <definedName name="ploki1256">#REF!</definedName>
    <definedName name="plokj">#REF!</definedName>
    <definedName name="plokj2143">#REF!</definedName>
    <definedName name="plokju21548">#REF!</definedName>
    <definedName name="pm2">#REF!</definedName>
    <definedName name="po69">#REF!</definedName>
    <definedName name="poi">#REF!</definedName>
    <definedName name="poi54">#REF!</definedName>
    <definedName name="poi6">#REF!</definedName>
    <definedName name="poiliu4587">#REF!</definedName>
    <definedName name="poim5">#REF!</definedName>
    <definedName name="poiu">#REF!</definedName>
    <definedName name="poiu87">#REF!</definedName>
    <definedName name="poiuy">#REF!</definedName>
    <definedName name="pok7845">#REF!</definedName>
    <definedName name="pokcds">#REF!</definedName>
    <definedName name="pokgde478">'[13]8'!#REF!</definedName>
    <definedName name="pokli456">#REF!</definedName>
    <definedName name="pol2">#REF!</definedName>
    <definedName name="poli">#REF!</definedName>
    <definedName name="polkijnmbg">#REF!</definedName>
    <definedName name="polo25">#REF!</definedName>
    <definedName name="ppp">#REF!</definedName>
    <definedName name="ppp3">'[5]x r '!$F$174</definedName>
    <definedName name="ppp9">#REF!</definedName>
    <definedName name="_xlnm.Print_Area" localSheetId="1">'1-1'!$A$1:$H$138</definedName>
    <definedName name="_xlnm.Print_Area" localSheetId="2">'1-2'!$A$1:$J$108</definedName>
    <definedName name="_xlnm.Print_Area" localSheetId="3">'1-3'!$A$1:$H$53</definedName>
    <definedName name="_xlnm.Print_Area" localSheetId="4">'1-4'!$A$1:$H$114</definedName>
    <definedName name="_xlnm.Print_Area" localSheetId="5">'1-5'!$A$1:$H$54</definedName>
    <definedName name="putrew85">#REF!</definedName>
    <definedName name="pxaq">#REF!</definedName>
    <definedName name="rat">#REF!</definedName>
    <definedName name="rcx">#REF!</definedName>
    <definedName name="rer">#REF!</definedName>
    <definedName name="rex">#REF!</definedName>
    <definedName name="rmexuT">#REF!</definedName>
    <definedName name="ror">#REF!</definedName>
    <definedName name="rot">#REF!</definedName>
    <definedName name="rqwtryj65">#REF!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xu">#REF!</definedName>
    <definedName name="sderfg1478">#REF!</definedName>
    <definedName name="sdxza">#REF!</definedName>
    <definedName name="svidi">#REF!</definedName>
    <definedName name="tea">#REF!</definedName>
    <definedName name="tertmeti">#REF!</definedName>
    <definedName name="tgtgt">#REF!</definedName>
    <definedName name="tormeti">#REF!</definedName>
    <definedName name="tre589">#REF!</definedName>
    <definedName name="trfgdwq65478">#REF!</definedName>
    <definedName name="tri">#REF!</definedName>
    <definedName name="ttty">#REF!</definedName>
    <definedName name="ty859">#REF!</definedName>
    <definedName name="tytu">#REF!</definedName>
    <definedName name="ubez">#REF!</definedName>
    <definedName name="uhn369">#REF!</definedName>
    <definedName name="uijkl254">#REF!</definedName>
    <definedName name="uio2">#REF!</definedName>
    <definedName name="uiok">#REF!</definedName>
    <definedName name="uiop564">'[10]x1'!#REF!</definedName>
    <definedName name="uiyv">#REF!</definedName>
    <definedName name="ukjlo25">#REF!</definedName>
    <definedName name="uqapo896">#REF!</definedName>
    <definedName name="uuuu4">#REF!</definedName>
    <definedName name="uyikj265">#REF!</definedName>
    <definedName name="uyt">#REF!</definedName>
    <definedName name="uytn">#REF!</definedName>
    <definedName name="uytyhjk56">#REF!</definedName>
    <definedName name="uyuy321">#REF!</definedName>
    <definedName name="vbcx">#REF!</definedName>
    <definedName name="vbnm12">#REF!</definedName>
    <definedName name="wqr75">#REF!</definedName>
    <definedName name="xdrt">#REF!</definedName>
    <definedName name="xuti">#REF!</definedName>
    <definedName name="xxcv">'[3]niveloba'!#REF!</definedName>
    <definedName name="ytrer7">#REF!</definedName>
    <definedName name="ytrrjh56">#REF!</definedName>
    <definedName name="ytui458">'[7]x#2'!#REF!</definedName>
    <definedName name="yu621">#REF!</definedName>
    <definedName name="yui56">#REF!</definedName>
    <definedName name="yyyy333">#REF!</definedName>
    <definedName name="zzzz444">#REF!</definedName>
    <definedName name="лллл">#REF!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<sst xmlns="http://schemas.openxmlformats.org/spreadsheetml/2006/main" count="1109" uniqueCount="398">
  <si>
    <t xml:space="preserve">SromiTi danaxarjebi </t>
  </si>
  <si>
    <t>sxvadasxva manqanebi</t>
  </si>
  <si>
    <t>sxva masalebi</t>
  </si>
  <si>
    <t xml:space="preserve"> samSeneblo resursebis mixedviT pirdapiri danaxarjebis jami</t>
  </si>
  <si>
    <t xml:space="preserve">    1. SromiTi resursebi</t>
  </si>
  <si>
    <t xml:space="preserve">    2. samSeneblo manqanebi</t>
  </si>
  <si>
    <t>3. Mmaterialuri resursebi</t>
  </si>
  <si>
    <t>#</t>
  </si>
  <si>
    <t>safuZveli</t>
  </si>
  <si>
    <t>samuSaos dasaxeleba</t>
  </si>
  <si>
    <t>sul</t>
  </si>
  <si>
    <t>kvm</t>
  </si>
  <si>
    <t>kbm</t>
  </si>
  <si>
    <t>lari</t>
  </si>
  <si>
    <t>jami</t>
  </si>
  <si>
    <t>raodenoba</t>
  </si>
  <si>
    <t>c</t>
  </si>
  <si>
    <t>SromiTi danaxarjebi</t>
  </si>
  <si>
    <t>kg</t>
  </si>
  <si>
    <t>-</t>
  </si>
  <si>
    <t>l</t>
  </si>
  <si>
    <t>aTasi</t>
  </si>
  <si>
    <t>lariı</t>
  </si>
  <si>
    <t>cali</t>
  </si>
  <si>
    <t xml:space="preserve">saxarjTaRricxvo mogeba </t>
  </si>
  <si>
    <t xml:space="preserve"> saxarjTaRricxvo Rirebuleba</t>
  </si>
  <si>
    <t xml:space="preserve">        saxarjTaRricxvo xelfasi</t>
  </si>
  <si>
    <t>aTasi lari</t>
  </si>
  <si>
    <t>ganzomilebis erTeuli</t>
  </si>
  <si>
    <t>saxarjT-aRricxvo Rirebuleba</t>
  </si>
  <si>
    <t>ganzomilebis erTeulze</t>
  </si>
  <si>
    <t>saproeqto monacemebze</t>
  </si>
  <si>
    <t>kac/sT</t>
  </si>
  <si>
    <t>m</t>
  </si>
  <si>
    <t>manqanebi</t>
  </si>
  <si>
    <t>sxvadasxva masalebi</t>
  </si>
  <si>
    <t>sabazro</t>
  </si>
  <si>
    <t xml:space="preserve">saxarjTaRricxvo Rirebuleba             </t>
  </si>
  <si>
    <t xml:space="preserve">saxarjTaRricxvo xelfasi               </t>
  </si>
  <si>
    <t>saxarjTaRricxvo Rirebuleba</t>
  </si>
  <si>
    <t xml:space="preserve">spilenZisZarRviani sadenis gayvana </t>
  </si>
  <si>
    <t>Cafluli tipis CamrTvelebis montaJi</t>
  </si>
  <si>
    <t>Cafluli tipis Stefseluri rozetis montaJi</t>
  </si>
  <si>
    <t>Stefseluri rozeti</t>
  </si>
  <si>
    <t>lokalur-resursuli uwyisis jami</t>
  </si>
  <si>
    <t>1. SromiTi resursebi</t>
  </si>
  <si>
    <t>2. samSeneblo manqanebi</t>
  </si>
  <si>
    <t xml:space="preserve"> 3. materialuri resursebi</t>
  </si>
  <si>
    <t>samSeneblo resursebis mixedviT pirdapiri danaxarjebis jami</t>
  </si>
  <si>
    <t>zednadebi xarjebi</t>
  </si>
  <si>
    <t>10c</t>
  </si>
  <si>
    <t>ventili</t>
  </si>
  <si>
    <t>WanWiki qanCiT</t>
  </si>
  <si>
    <t xml:space="preserve"> </t>
  </si>
  <si>
    <t>s.n.daw 8_409_2</t>
  </si>
  <si>
    <t>sadeni ppv-2X2,5 kvmm</t>
  </si>
  <si>
    <t>s.n.daw 8_407_1</t>
  </si>
  <si>
    <t>mili d-25mm</t>
  </si>
  <si>
    <t>s.n.daw 8_591_1</t>
  </si>
  <si>
    <t>hermetuli CamrTvelebis montaJi</t>
  </si>
  <si>
    <t>s.n.daw 8_534_1</t>
  </si>
  <si>
    <t>kolofi</t>
  </si>
  <si>
    <t>s.n.daw 8_591_8</t>
  </si>
  <si>
    <t>hermetuli  Stefseluri rozetis montaJi</t>
  </si>
  <si>
    <t>s.n.daw 8_593_1</t>
  </si>
  <si>
    <t>sanaTi naTuriT</t>
  </si>
  <si>
    <t xml:space="preserve"> aTasi lari</t>
  </si>
  <si>
    <t xml:space="preserve"> saxarjTaRricxvo xelfasi</t>
  </si>
  <si>
    <t xml:space="preserve">100m    </t>
  </si>
  <si>
    <t xml:space="preserve">samS. Nn. da w. 16_6_2  </t>
  </si>
  <si>
    <t>plastmasis fasonuri  nawilebi</t>
  </si>
  <si>
    <t>fasonuri  nawilebi</t>
  </si>
  <si>
    <t>kronSteini</t>
  </si>
  <si>
    <t>sxvadasxva masala</t>
  </si>
  <si>
    <t xml:space="preserve">samS. nN. da  w. 18_5-3  </t>
  </si>
  <si>
    <t>ormagi regulirebis onkanebi (radiatoris)</t>
  </si>
  <si>
    <t xml:space="preserve"> cali</t>
  </si>
  <si>
    <t>onkani</t>
  </si>
  <si>
    <t>miltuCi</t>
  </si>
  <si>
    <t xml:space="preserve">samS .n N. da  w. 18_5-3  </t>
  </si>
  <si>
    <t>sul xarjTaRricxvis jami</t>
  </si>
  <si>
    <t>3. materialuri resursebi</t>
  </si>
  <si>
    <t>pirdapiri danaxarjebis jami</t>
  </si>
  <si>
    <t>jami zednadeb xarjebTan erTad</t>
  </si>
  <si>
    <t xml:space="preserve">                                                                                                           3.01.2006</t>
  </si>
  <si>
    <t>gegmiuri dagroveba</t>
  </si>
  <si>
    <t>1 ტ</t>
  </si>
  <si>
    <t>ელექტროდი</t>
  </si>
  <si>
    <t>s.n.da w.    15-168-7</t>
  </si>
  <si>
    <t xml:space="preserve">ს.ნ.და წ.46-15-2                                                                                                                                                                                                         </t>
  </si>
  <si>
    <t>საბაზრო</t>
  </si>
  <si>
    <t>არსებული ფანჯრის ბლოკების რეგულირება</t>
  </si>
  <si>
    <t>კვმ</t>
  </si>
  <si>
    <t>შრომითი დანახარჯები</t>
  </si>
  <si>
    <t>კაც/სთ</t>
  </si>
  <si>
    <t>სხვადასხვა მანქანები</t>
  </si>
  <si>
    <t>ლ</t>
  </si>
  <si>
    <t>კბმ</t>
  </si>
  <si>
    <t>ლარიı</t>
  </si>
  <si>
    <t>სამშენებლო ნანგრევების გატანა შენობიდან და ა/მანქანებზე დატვირთვა</t>
  </si>
  <si>
    <t>კუბ.მ.</t>
  </si>
  <si>
    <t xml:space="preserve">შრომითი დანახარჯები </t>
  </si>
  <si>
    <t xml:space="preserve">სამშენებლო ნანგრევების გატანა ა/მანქანებით </t>
  </si>
  <si>
    <t>ტ</t>
  </si>
  <si>
    <t>ცემენტის ხსნარი წყობის</t>
  </si>
  <si>
    <t>ცალი</t>
  </si>
  <si>
    <t>სხვა მასალები</t>
  </si>
  <si>
    <t>ლარი</t>
  </si>
  <si>
    <t>გრუნტი ანტიკოროზიული</t>
  </si>
  <si>
    <t>კგ</t>
  </si>
  <si>
    <t>საღებავი ლითობის ანტიკოროზიული</t>
  </si>
  <si>
    <t>ბეტონის ტუმბო</t>
  </si>
  <si>
    <t>ცემენტის ხსნარი მოსაპირკეთებელი</t>
  </si>
  <si>
    <t xml:space="preserve">    წებო-ცემენტი ჰიდროსაიზოლაციო</t>
  </si>
  <si>
    <t>ლამინირებული  პარკეტის იატაკის მოწყობა, პლინტუსებით აქსესურებით</t>
  </si>
  <si>
    <t xml:space="preserve">ლამინირებული პარკეტი აქსესუარებით, პლინტუსებით, ქვესაგებით </t>
  </si>
  <si>
    <t>ხსნარის ტუმბო 1 კუბ/სთ</t>
  </si>
  <si>
    <t>მან/სთ</t>
  </si>
  <si>
    <t>ქვიშა ცემენტის  ხსნარი</t>
  </si>
  <si>
    <t>ფითხი</t>
  </si>
  <si>
    <t xml:space="preserve"> სამშენებლო რესურსების მიხედვით პირდაპირი დანახარჯების ჯამი</t>
  </si>
  <si>
    <t xml:space="preserve">    1. შრომითი რესურსები</t>
  </si>
  <si>
    <t xml:space="preserve">    2. სამშენებლო მანქანები</t>
  </si>
  <si>
    <t>3. მატერიალური რესურსები</t>
  </si>
  <si>
    <t>ზედნადები ხარჯები</t>
  </si>
  <si>
    <t>ჯამი</t>
  </si>
  <si>
    <t xml:space="preserve">სახარჯთაღრიცხვო მოგება </t>
  </si>
  <si>
    <t>სულ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</si>
  <si>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</si>
  <si>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</si>
  <si>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</si>
  <si>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</si>
  <si>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სახარჯთ-აღრიცხვო ღირებულება</t>
  </si>
  <si>
    <t>განზომილების ერთეულზე</t>
  </si>
  <si>
    <t>საპროექტო მონაცემებზე</t>
  </si>
  <si>
    <t>კედლის წყობა 40*20*10 სატიხრე  ბეტონის ბლოკებით, ღიობის შევსება</t>
  </si>
  <si>
    <t>mili d-32mm</t>
  </si>
  <si>
    <t>s.n.daw 8_525_2</t>
  </si>
  <si>
    <t>grunti ანტიკოროზიული</t>
  </si>
  <si>
    <t>ლითონის ელემენტების შეღებვა სპეც. ლითონის ანტიკოროზიული საღებავით</t>
  </si>
  <si>
    <t>გრძმ</t>
  </si>
  <si>
    <t xml:space="preserve">samS. nN. da w. 16_6_1 </t>
  </si>
  <si>
    <t xml:space="preserve">gaTbobis folgiani polieTilenis milis mowyoba d=20 mm  </t>
  </si>
  <si>
    <t xml:space="preserve">samS. Nn. da  w. 18_5--1  </t>
  </si>
  <si>
    <t>k=1.15</t>
  </si>
  <si>
    <t>ს.ნ.და წ. 46_30_2</t>
  </si>
  <si>
    <t>ბლოკი 40*20*10</t>
  </si>
  <si>
    <t>ხე მასალა</t>
  </si>
  <si>
    <t xml:space="preserve">იატაკზე ხელოვნური გრანიტის ფილების მოწყობა   ჰიდროსაიზოლაციო წებო-ცემენტით </t>
  </si>
  <si>
    <t>s.n.daw 8_402_2</t>
  </si>
  <si>
    <t>s.n.daw 8_591_2</t>
  </si>
  <si>
    <t>CamrTveli erTklaviSiani</t>
  </si>
  <si>
    <t>s.n.daw 8_591_7</t>
  </si>
  <si>
    <t>ბეტონი B15</t>
  </si>
  <si>
    <t>იატაკები</t>
  </si>
  <si>
    <t xml:space="preserve">იატაკზე არსებული ღიობების შევსება რკინაბეტონით </t>
  </si>
  <si>
    <t>არმატურა</t>
  </si>
  <si>
    <t>ფარი ხის</t>
  </si>
  <si>
    <t>ხელ. გრანიტის პლინტუსების მოწყობა</t>
  </si>
  <si>
    <t xml:space="preserve">შიდა ფანჯრისა და კარის  ფერდოების შელესვა </t>
  </si>
  <si>
    <t>საღებავი მაღალხარისხოვანი საღებავი</t>
  </si>
  <si>
    <t>ცემენტის   ხსნარი</t>
  </si>
  <si>
    <t xml:space="preserve"> ჭერის შეღებვა წყალემულსიური საღებავით მაღალხარისხოვანი</t>
  </si>
  <si>
    <t>საღებავი მაღალხარისხოვანი</t>
  </si>
  <si>
    <t>ათასი ლარი</t>
  </si>
  <si>
    <t xml:space="preserve"> სახარჯთაღრიცხვო ღირებულება</t>
  </si>
  <si>
    <t xml:space="preserve">        სახარჯთაღრიცხვო ხელფასი</t>
  </si>
  <si>
    <t>saRebavi antikoroziuli</t>
  </si>
  <si>
    <t xml:space="preserve">ს.ნ.და წ. 46-32-3                                                                                                                                                                                                       </t>
  </si>
  <si>
    <t xml:space="preserve">ს.ნ.და წ.1-79_3                             </t>
  </si>
  <si>
    <t>ს.ნ.და წ. 8-3</t>
  </si>
  <si>
    <t>ს.ნ.და წ.  8-15-1</t>
  </si>
  <si>
    <t>ს.ნ.და წ.  15-164-8</t>
  </si>
  <si>
    <r>
      <t xml:space="preserve">ს.ნ.და წ. 9-5-4 </t>
    </r>
    <r>
      <rPr>
        <b/>
        <sz val="8"/>
        <rFont val="Sylfaen"/>
        <family val="1"/>
      </rPr>
      <t>misadagebiT</t>
    </r>
  </si>
  <si>
    <t xml:space="preserve">ს.ნ.და წ.   6-16-1                                                                                                                                                                                                                 </t>
  </si>
  <si>
    <t xml:space="preserve">ს.ნ.და წ. 11-8--1-2                                                                                                                                                                                                                 </t>
  </si>
  <si>
    <t>ს.ნ.და წ. 11-20-3</t>
  </si>
  <si>
    <t>ს.ნ.და წ. 11-36-3</t>
  </si>
  <si>
    <r>
      <t xml:space="preserve">ს.ნ.და წ.11-27-7 </t>
    </r>
    <r>
      <rPr>
        <b/>
        <sz val="8"/>
        <rFont val="Sylfaen"/>
        <family val="1"/>
      </rPr>
      <t>misadagebiT</t>
    </r>
  </si>
  <si>
    <t xml:space="preserve">ს.ნ.და წ. 15-168-6--8                                                                                                                                                                                                            </t>
  </si>
  <si>
    <t>ს.ნ.და წ. 15-56-1</t>
  </si>
  <si>
    <t>4 c 40X60</t>
  </si>
  <si>
    <t>440 l</t>
  </si>
  <si>
    <t xml:space="preserve">ხელოვნური გრანიტის ფილები                                                                                                                                                                   </t>
  </si>
  <si>
    <t>კ-1,15</t>
  </si>
  <si>
    <t>არსებული იატაკის დემონტაჟი</t>
  </si>
  <si>
    <t xml:space="preserve">შიდა კედლების, კარისა და ფანჯრის ფერდოების  შეღებვა მაღალხარისხოვანი საღებავით, </t>
  </si>
  <si>
    <t xml:space="preserve"> შიდა არსებული და ახალი კედლების  მაღალხარისხოვანი შელესვა ქვიშა ცემენტის ხსნარით </t>
  </si>
  <si>
    <t>სავენტილაციო არხების დემონტაჟი</t>
  </si>
  <si>
    <t>ცელოფანი</t>
  </si>
  <si>
    <r>
      <t xml:space="preserve">სახანძრო ბალონები დატუმბული  </t>
    </r>
    <r>
      <rPr>
        <sz val="10"/>
        <rFont val="Times New Roman"/>
        <family val="1"/>
      </rPr>
      <t>АБЦ</t>
    </r>
  </si>
  <si>
    <t xml:space="preserve">LliTonis ახალი Taroebis (stelaJebis) mowyoba </t>
  </si>
  <si>
    <t>ექსპერტიზის ხარჯები  1,7%</t>
  </si>
  <si>
    <t xml:space="preserve"> loTonis milebSi    spilenZisZarRviani sadenis gayvana </t>
  </si>
  <si>
    <t>liTonis milis damagreba kedelze da Werze</t>
  </si>
  <si>
    <t>s.n.daw 8_605_1</t>
  </si>
  <si>
    <t xml:space="preserve"> sanaTis da WaRis dakideba</t>
  </si>
  <si>
    <t xml:space="preserve">zednadebi xarjebi SromiT danaxarjebze 75%                               </t>
  </si>
  <si>
    <t xml:space="preserve"> SromiTi danaxarjebi</t>
  </si>
  <si>
    <t>moZraobis deteqtoris montaJi</t>
  </si>
  <si>
    <t>moZraobis deteqtori</t>
  </si>
  <si>
    <t>kabelis montaJi</t>
  </si>
  <si>
    <t>1. SromiTi danaxarjebi</t>
  </si>
  <si>
    <t xml:space="preserve">   3. materialuri resursebi</t>
  </si>
  <si>
    <t>zedanadebi xarjebi samontaJo  samuSaoebze 65%</t>
  </si>
  <si>
    <t>ჭერის მოწყობის სამუშაოები</t>
  </si>
  <si>
    <t>ს.ნ.და წ.   15-168-7</t>
  </si>
  <si>
    <t xml:space="preserve"> კედლებიდან  ძველი  საღებავის მოცილება, ადგილ ადგილ ბათქაში ჩამოყრა</t>
  </si>
  <si>
    <t>კედლების მოპირკეთების სამუშაოები</t>
  </si>
  <si>
    <t>ლითონის ბადეზე</t>
  </si>
  <si>
    <t>ღიობის გამოტეხვა</t>
  </si>
  <si>
    <t>split kondecioneris montaJi</t>
  </si>
  <si>
    <t>samisamarTo (saxanZro) bolis  deteqtoris montaJi</t>
  </si>
  <si>
    <t xml:space="preserve">ს.ნ.და წ. 46-16-2                                                                                                                                                                                                   </t>
  </si>
  <si>
    <t>თაბაშირმუყაოს ჭერის  მოწყობა თეთრი  1,2*2,5 მ თაბაშირმუყაოს  12,5 მმ სისქის ფილებით ლითონის პროფილებზე</t>
  </si>
  <si>
    <t xml:space="preserve">ცემენტის მჭიმის მოწყობა 4-5 სმ სისქის ლითონის ბადეზე </t>
  </si>
  <si>
    <t>plastmasis mili ფოლგიანი d=20mm</t>
  </si>
  <si>
    <t>ventilი რადიატორის</t>
  </si>
  <si>
    <t xml:space="preserve">ხელოვნური გრანიტის ფილები                                                                                                                                                                     </t>
  </si>
  <si>
    <t xml:space="preserve">zolovana 50X3 mm;                 kuTxovana 50X50X3 mm; </t>
  </si>
  <si>
    <t>არსებული გათბობის მილის დემონტაჟი–მონტაჟი გადაბმების დამატებით, ახალი მასალის დამტებით</t>
  </si>
  <si>
    <t>radiatori პანელური 1 მ</t>
  </si>
  <si>
    <t xml:space="preserve">sxva masalebi </t>
  </si>
  <si>
    <t>( ankerebi ლ 15 სმ)</t>
  </si>
  <si>
    <t xml:space="preserve">gaTbobis folgiani polieTilenis milis mowyoba d=40 mm  </t>
  </si>
  <si>
    <t>plastmasis mili ფოლგიანი d=40mm</t>
  </si>
  <si>
    <t>ბეტონის იატაკის დაშლა მილის დემონტაჟისთვის</t>
  </si>
  <si>
    <t>ბეტონის იატაკის შევსება</t>
  </si>
  <si>
    <t>ბეტონი</t>
  </si>
  <si>
    <r>
      <t xml:space="preserve"> liTonis Taroebis (stelaJebis)  mowyobaze (</t>
    </r>
    <r>
      <rPr>
        <i/>
        <sz val="11"/>
        <rFont val="AcadNusx"/>
        <family val="0"/>
      </rPr>
      <t>I</t>
    </r>
    <r>
      <rPr>
        <sz val="11"/>
        <rFont val="AcadNusx"/>
        <family val="0"/>
      </rPr>
      <t>V სართულზე)</t>
    </r>
  </si>
  <si>
    <t>lokalur-resursuli  xarjTaRricxva #1-5</t>
  </si>
  <si>
    <t>l.r.x.  #1/1</t>
  </si>
  <si>
    <t>l.r.x.  #1/2</t>
  </si>
  <si>
    <t>l.r.x.  #1/3</t>
  </si>
  <si>
    <t>l.r.x.  #1/4</t>
  </si>
  <si>
    <t>l.r.x.  #1/5</t>
  </si>
  <si>
    <t>გვერდითი ფასადის სარემონტო სამუშაოებზე</t>
  </si>
  <si>
    <t>ლოკალურ-რესურსული  ხარჯთაღრიცხვა №2</t>
  </si>
  <si>
    <t>გვერდითი ფასადიდან კედლის პენოპლასტის კარნიზებისა და ფილების დემონტაჟი</t>
  </si>
  <si>
    <r>
      <t>კართოტეკური კარადის დამზადება და მონტაჟი სალაკებზე  5,40</t>
    </r>
    <r>
      <rPr>
        <sz val="10"/>
        <rFont val="Cambria"/>
        <family val="1"/>
      </rPr>
      <t>X2,50X0,45 (220 უჯრიანი)</t>
    </r>
  </si>
  <si>
    <t>კართოტეკური კარადის დამზადება და მონტაჟი სალაკებზე  1,33X0,66X0,35 (24 უჯრიანი)</t>
  </si>
  <si>
    <t xml:space="preserve"> oTaxis centraluri  gaTbobis  mowyobaze</t>
  </si>
  <si>
    <t>არსებული გათბობის რადიატორის დემონტაჟი</t>
  </si>
  <si>
    <t>კ-0,7</t>
  </si>
  <si>
    <t>radiatori პანელური 0,6 მ</t>
  </si>
  <si>
    <t>ლითონის სტელაჟებზე ტოპოგრაფიული მაჩვენებლის მინებიანი დაფების დამზადება და მონტაჟი  0,30X0,20 მ</t>
  </si>
  <si>
    <t xml:space="preserve">სახანძრო ყუთი წყლის ჰიდრანტებისთვის (0,5*0,6*0,15მ) </t>
  </si>
  <si>
    <t>საცავში არსებული დოკუმენტაციის გადალაგება გატანა ფონდის მცველებოის თანდასწრებით</t>
  </si>
  <si>
    <t>არსებული კარის აღდგენა შეღებვა</t>
  </si>
  <si>
    <t xml:space="preserve">ფასადის შეღებვა </t>
  </si>
  <si>
    <t>სახურავი ფილაზე</t>
  </si>
  <si>
    <t>ს.ნ.დაწ.   10-11 მისადაგებით</t>
  </si>
  <si>
    <t xml:space="preserve">ხე მასალა </t>
  </si>
  <si>
    <t>პასტა ანტისეპტიკური</t>
  </si>
  <si>
    <t>ტოლი რუსული</t>
  </si>
  <si>
    <t>შესაკრავი მავთული</t>
  </si>
  <si>
    <t>ანკერი</t>
  </si>
  <si>
    <t>ლურსმანი სამშენებლო</t>
  </si>
  <si>
    <t>ს.ნ.დაწ.   10_38_3</t>
  </si>
  <si>
    <t>ხის კონსტრუქციების ანტისეპტირება</t>
  </si>
  <si>
    <t>100   კვმ</t>
  </si>
  <si>
    <t xml:space="preserve">ხსნარი ანტისეპტიკური         </t>
  </si>
  <si>
    <t>ს.ნ.დაწ. 10_37_3</t>
  </si>
  <si>
    <t>ხის კონსტრუქციების დამუშავება ხანძარსაწინააღმდეგო ხსნარით</t>
  </si>
  <si>
    <t>100      კვმ</t>
  </si>
  <si>
    <t xml:space="preserve">ხსნარი ცეცხლგამძლე          </t>
  </si>
  <si>
    <t>ს.ნ.დაწ.   12-6-1 მისადაგებით</t>
  </si>
  <si>
    <t xml:space="preserve">0,50 მმ სისქის ფერადი პროფილირებული თუნუქის სახურავის მოწყობა </t>
  </si>
  <si>
    <t xml:space="preserve">100   კვმ </t>
  </si>
  <si>
    <t xml:space="preserve"> ფერადი პროფილირებული თუნუქი 0,5 მმ სისქის</t>
  </si>
  <si>
    <t>მეტალოკრამიტის გლუვი ფურცლები 0,45</t>
  </si>
  <si>
    <t xml:space="preserve">ნაჭედი </t>
  </si>
  <si>
    <t>მეტალოკრამიტის შურუპი 1 კვმ-ზე 6 ცალი</t>
  </si>
  <si>
    <t xml:space="preserve">ფილაზე ხის ელემენტების მოწყობა </t>
  </si>
  <si>
    <t>გვერდითი ფასადიდან კედლის პენოპლასტის კარნიზებისა და ფილების გამაგრება</t>
  </si>
  <si>
    <t>გვერდითი ფასადიდან კედლის პენოპლასტის კარნიზებისა და ფილების მონტაჟი არსებულის ანალოგიური</t>
  </si>
  <si>
    <t>პენოპლასტის ფილები სამაგრებით</t>
  </si>
  <si>
    <t>წებო ცემენტი</t>
  </si>
  <si>
    <t>ფანჯრის ბლოკებზე სარნიზებისა და საცრემლეები ს მოწყობა</t>
  </si>
  <si>
    <t>გლუვი  თუნუქი 0,5 მმ სისქის</t>
  </si>
  <si>
    <t>sxvadasxva saxeobis iatakebis Sepirapirebis adgilebSi dekoratiuli liTonis profilis mowyoba</t>
  </si>
  <si>
    <t>grZ.m</t>
  </si>
  <si>
    <t>srf</t>
  </si>
  <si>
    <t xml:space="preserve"> SromiTi danaxarji</t>
  </si>
  <si>
    <t>kac.sT</t>
  </si>
  <si>
    <t>dekoratiuli liTonis profili</t>
  </si>
  <si>
    <t>grm</t>
  </si>
  <si>
    <t>4.2 - 117</t>
  </si>
  <si>
    <t>silikoni</t>
  </si>
  <si>
    <t>tub</t>
  </si>
  <si>
    <r>
      <t xml:space="preserve">sn da w  IV-2-82 </t>
    </r>
    <r>
      <rPr>
        <sz val="9"/>
        <rFont val="AcadNusx"/>
        <family val="0"/>
      </rPr>
      <t>t-2 cx.11-11-8</t>
    </r>
  </si>
  <si>
    <t>ლითონის კარის ბლოკის მოწყობა  აქსესუარებით 2 ცალი ზღურბლის გარეშე</t>
  </si>
  <si>
    <t>ფარდა ჟალუზების მოწყობა</t>
  </si>
  <si>
    <t>მდფ კარის ბლოკის მოწყობა პლინტუსებით აქსესუარებით ზღურბლის გარეშე 2 ცალი</t>
  </si>
  <si>
    <t>sn da w  IV-2-82 t-2  cx.15-15-3</t>
  </si>
  <si>
    <t>kv.m</t>
  </si>
  <si>
    <t xml:space="preserve"> SromiTi danaxarji 1,15*2,19</t>
  </si>
  <si>
    <t xml:space="preserve"> manqanebi 1,15*0,02</t>
  </si>
  <si>
    <t>duRabi mosapirkeTebeli</t>
  </si>
  <si>
    <t>kubm</t>
  </si>
  <si>
    <t xml:space="preserve"> kafeli</t>
  </si>
  <si>
    <t xml:space="preserve"> sxvadasxva masalebi</t>
  </si>
  <si>
    <t>sveli wertilშi kedlebze 1,5 m simaRleze kafelis filebis akvra</t>
  </si>
  <si>
    <t>სნ და წ  15-160-3</t>
  </si>
  <si>
    <t xml:space="preserve"> ხის ნაკეთობების  ზედაპირების დამუშავება ზეთოვანი საღებავით ხის ფაქტურის შენარჩუნებით</t>
  </si>
  <si>
    <t>4-2-005</t>
  </si>
  <si>
    <t xml:space="preserve">ლაქი ნიტრო </t>
  </si>
  <si>
    <t>4-2-001</t>
  </si>
  <si>
    <t>ლაქი ხის</t>
  </si>
  <si>
    <t>4-2-096</t>
  </si>
  <si>
    <t>ფითხი ხის</t>
  </si>
  <si>
    <t>სხვადასხვა მასალები</t>
  </si>
  <si>
    <t xml:space="preserve">სკამის ხის დეტალები </t>
  </si>
  <si>
    <t>არსებულ სკამზე ხის ძელების მოწყობა ხის დეტალები (განდეტალებული დამუშავებული ხის ძელი 4*5 სმ*13 ცალი*2,50 გრძმ)</t>
  </si>
  <si>
    <t>საზურგე ხის დეტალი 20*3 დამუშავებული გალაქული</t>
  </si>
  <si>
    <t>s.n.da w.    11--11-- 11-12</t>
  </si>
  <si>
    <t>cementi 400 markiani</t>
  </si>
  <si>
    <t>kvarcis sila</t>
  </si>
  <si>
    <t>t</t>
  </si>
  <si>
    <t xml:space="preserve">q. baTumSi  saarqivo  sammarTvelos  Senobis  IV  sarTulis    el. ganaTebaze </t>
  </si>
  <si>
    <t>s.n.daw  8_612_9</t>
  </si>
  <si>
    <t>el.gamanawilebeli faris mowyoba da momzadeba CarTvisaTvis</t>
  </si>
  <si>
    <t xml:space="preserve">el. gamanawilebeli dafa </t>
  </si>
  <si>
    <t>erTfaza  avtomaturi amomrTvelebi 32a</t>
  </si>
  <si>
    <t>avtomaturi amomrTvelebi 32a</t>
  </si>
  <si>
    <t xml:space="preserve">samfaza avtomaturi amomrTvelis montaJi 40a </t>
  </si>
  <si>
    <t xml:space="preserve"> 3faza avtomaturi amomrTveli 40a</t>
  </si>
  <si>
    <t>sadeni  ПУНП-3X2,5 kvmm</t>
  </si>
  <si>
    <t>gamanawilebeli kolofis montaJi CamrTvelebisaTvis</t>
  </si>
  <si>
    <r>
      <t xml:space="preserve"> hermetuli civi naTebis  sanaTis  gamocvla damcavi badiT </t>
    </r>
  </si>
  <si>
    <t>sanaTi dioduri naTuriT 5vt</t>
  </si>
  <si>
    <t>WaRi xuTsanaTiani</t>
  </si>
  <si>
    <t>dioduri naTura</t>
  </si>
  <si>
    <t>kolonuri kondecioneris montaJi</t>
  </si>
  <si>
    <t>kolonuri kondecioneri</t>
  </si>
  <si>
    <t>amwe koSkura (avtomobilze)</t>
  </si>
  <si>
    <t>manq/sT</t>
  </si>
  <si>
    <t>split kondecioneri  farTi 35kvm</t>
  </si>
  <si>
    <t>split kondecioneri   80kvm</t>
  </si>
  <si>
    <t xml:space="preserve"> kondecioneris Slangi</t>
  </si>
  <si>
    <t>s.n da w    46-19-2</t>
  </si>
  <si>
    <t xml:space="preserve">betonis kedlebSi xvrelebis gamotexva </t>
  </si>
  <si>
    <t>100   xvr</t>
  </si>
  <si>
    <t>betonis kedlebSi xvrelebis amovseba</t>
  </si>
  <si>
    <t>betoni</t>
  </si>
  <si>
    <t>vvg- 4X16 spilenZisZarRviani kabelis gayvana kondecionerebisaTvis</t>
  </si>
  <si>
    <t>kabeli vvg-3X16 spilenZisZarRviani</t>
  </si>
  <si>
    <t>kabeli vvg-2X4 spilenZisZarRviani</t>
  </si>
  <si>
    <t>q. baTumSi  saarqivo  sammarTvelos  Senobis  IV  sarTulis                                                                                                                                                            sust denebze</t>
  </si>
  <si>
    <r>
      <t>samisamarTo (saxanZro) bolis deteqtori</t>
    </r>
  </si>
  <si>
    <t>magnituri kontaqti (gerkoni)</t>
  </si>
  <si>
    <t>saxanZro signalizaciis kabeli 4X0.22</t>
  </si>
  <si>
    <t xml:space="preserve"> signalizaciis kabeli 8X0.22</t>
  </si>
  <si>
    <t>plastmasis sakabelo arxi</t>
  </si>
  <si>
    <t>plastmasis sakabelo arxi  16X20</t>
  </si>
  <si>
    <t>plastmasis gamanawilebeli yuTi 90X90</t>
  </si>
  <si>
    <t>zonebis gamafarToebeli</t>
  </si>
  <si>
    <t>arsebuli videokameris demontaJi Semdegi montaJiT</t>
  </si>
  <si>
    <t>gegmiuri dagroveba 8%</t>
  </si>
  <si>
    <t>აჭარის ავტონომიური რესპუბლიკის მთავრობის საქვეუწყებო დაწესებულება - საარქივო სამმართველოს შენობის მეოთხე სართულზე ფონდსაცავის სარემონტო სარეკონსტრუქციო  სამუშაოებზე</t>
  </si>
  <si>
    <t>არსებული კარის ბლოკების დემონტაჟი     (4 ცალი)</t>
  </si>
  <si>
    <t xml:space="preserve">არსებული კარის დემონტაჟი შეკეთება მონტაჟი (საკეტი მექანიზმის შეცვლით) </t>
  </si>
  <si>
    <t xml:space="preserve">betonis iatakis morkinva cementiT m 400 da moprialeba </t>
  </si>
  <si>
    <t>25</t>
  </si>
  <si>
    <t>split kondecioneri  farTi 40kvm</t>
  </si>
  <si>
    <t>gegmiuri dagroveba 10%</t>
  </si>
  <si>
    <t>ლოკალურ-რესურსული  ხარჯთაღრიცხვა №1/1</t>
  </si>
  <si>
    <t>lokalur-resursuli  xarjTaRricxva  #1/3</t>
  </si>
  <si>
    <t>lokalur-resursuli  xarjTaRricxva #1/4</t>
  </si>
  <si>
    <t xml:space="preserve"> პანელური რადიატორის მოწყობა</t>
  </si>
  <si>
    <t>sacavSi არსებული  გათბობის მილის დემონტაჟი</t>
  </si>
  <si>
    <t>გვერდით  ფასადზე არსებული კონდიციონერის დემონტაჟი შეკეთება და მონტაჟი , მილების ჩასმა კაბელ არხებში</t>
  </si>
  <si>
    <t>არსებული სტელაჟეbის დემონტაჟი დa ჩატანა</t>
  </si>
  <si>
    <t>liTonis detalebis damuSaveba da SeRebva ( ახალი სტელაჟები)</t>
  </si>
  <si>
    <t>xarjTaRricxvis nomeri</t>
  </si>
  <si>
    <t xml:space="preserve">samuSaoTa dasaxeleba </t>
  </si>
  <si>
    <t>saerTo saxarjTaRricxvo Rirebuleba</t>
  </si>
  <si>
    <t>l.r.x.  #2</t>
  </si>
  <si>
    <t>liTonis Taroebis (stelaJebis)  mowyobaze (IV სართულზე)</t>
  </si>
  <si>
    <t>პრეტენდენტის ხელმოწერა -----------------------------------</t>
  </si>
  <si>
    <t>პრეტენდენტის დასახელება ------------------------------------------------</t>
  </si>
  <si>
    <t>აჭარის ავტონომიური რესპუბლიკის მთავრობის საქვეუწყებო დაწესებულება - საარქივო სამმართველოს შენობის მეოთხე სართულზე ფონდსაცავის სარემონტო სარეკონსტრუქციო სამუშაოები</t>
  </si>
  <si>
    <t>დამატებული ღირებულების გადასახადი 18 %</t>
  </si>
  <si>
    <t>სულ ღირებულება</t>
  </si>
  <si>
    <t>პრეტენდენტის ხელმოწერა ----------------------------</t>
  </si>
  <si>
    <t>lokalur-resursuli xarjTaRricxva #1/2</t>
  </si>
  <si>
    <t>პრეტენდენტის ხელმოწერა -------------------------</t>
  </si>
  <si>
    <t>პრეტენდენტის ხელმოწერა -----------------------</t>
  </si>
  <si>
    <t>პრეტენდენტის ხელმოწერა -------------</t>
  </si>
  <si>
    <t>პრეტენდენტის ხელმოწერა ---------------</t>
  </si>
  <si>
    <t>21.1</t>
  </si>
  <si>
    <t>21.2</t>
  </si>
  <si>
    <t>21.3</t>
  </si>
  <si>
    <t>25.1</t>
  </si>
  <si>
    <t>25.2</t>
  </si>
  <si>
    <t>25.3</t>
  </si>
  <si>
    <t>25.4</t>
  </si>
  <si>
    <t>25.5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</si>
</sst>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TL&quot;;\-#,##0\ &quot;TL&quot;"/>
    <numFmt numFmtId="189" formatCode="#,##0\ &quot;TL&quot;;[Red]\-#,##0\ &quot;TL&quot;"/>
    <numFmt numFmtId="190" formatCode="#,##0.00\ &quot;TL&quot;;\-#,##0.00\ &quot;TL&quot;"/>
    <numFmt numFmtId="191" formatCode="#,##0.00\ &quot;TL&quot;;[Red]\-#,##0.00\ &quot;TL&quot;"/>
    <numFmt numFmtId="192" formatCode="_-* #,##0\ &quot;TL&quot;_-;\-* #,##0\ &quot;TL&quot;_-;_-* &quot;-&quot;\ &quot;TL&quot;_-;_-@_-"/>
    <numFmt numFmtId="193" formatCode="_-* #,##0\ _T_L_-;\-* #,##0\ _T_L_-;_-* &quot;-&quot;\ _T_L_-;_-@_-"/>
    <numFmt numFmtId="194" formatCode="_-* #,##0.00\ &quot;TL&quot;_-;\-* #,##0.00\ &quot;TL&quot;_-;_-* &quot;-&quot;??\ &quot;TL&quot;_-;_-@_-"/>
    <numFmt numFmtId="195" formatCode="_-* #,##0.00\ _T_L_-;\-* #,##0.00\ _T_L_-;_-* &quot;-&quot;??\ _T_L_-;_-@_-"/>
    <numFmt numFmtId="196" formatCode="0.0"/>
    <numFmt numFmtId="197" formatCode="0.000"/>
    <numFmt numFmtId="198" formatCode="0.0000"/>
    <numFmt numFmtId="199" formatCode="#,##0.000"/>
    <numFmt numFmtId="200" formatCode="#,##0.0"/>
    <numFmt numFmtId="201" formatCode="#,##0.0000"/>
    <numFmt numFmtId="202" formatCode="_-* #,##0_р_._-;\-* #,##0_р_._-;_-* &quot;-&quot;??_р_._-;_-@_-"/>
    <numFmt numFmtId="203" formatCode="_-* #,##0.0_р_._-;\-* #,##0.0_р_._-;_-* &quot;-&quot;??_р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000"/>
    <numFmt numFmtId="209" formatCode="0.00000"/>
    <numFmt numFmtId="210" formatCode="#,##0.00000"/>
    <numFmt numFmtId="211" formatCode="#,##0.000000"/>
    <numFmt numFmtId="212" formatCode="#,##0.0000000"/>
    <numFmt numFmtId="213" formatCode="0.000%"/>
    <numFmt numFmtId="214" formatCode="0.0%"/>
  </numFmts>
  <fonts count="83">
    <font>
      <sz val="10"/>
      <name val="Arial Cyr"/>
      <family val="0"/>
    </font>
    <font>
      <sz val="12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2"/>
      <name val="AcadNusx"/>
      <family val="0"/>
    </font>
    <font>
      <b/>
      <sz val="10"/>
      <name val="AcadNusx"/>
      <family val="0"/>
    </font>
    <font>
      <b/>
      <sz val="11"/>
      <name val="AcadNusx"/>
      <family val="0"/>
    </font>
    <font>
      <sz val="10"/>
      <color indexed="10"/>
      <name val="AcadNusx"/>
      <family val="0"/>
    </font>
    <font>
      <b/>
      <sz val="10"/>
      <color indexed="8"/>
      <name val="AcadNusx"/>
      <family val="0"/>
    </font>
    <font>
      <sz val="10"/>
      <color indexed="12"/>
      <name val="AcadNusx"/>
      <family val="0"/>
    </font>
    <font>
      <b/>
      <sz val="10"/>
      <color indexed="10"/>
      <name val="AcadNusx"/>
      <family val="0"/>
    </font>
    <font>
      <sz val="10"/>
      <name val="Arial"/>
      <family val="2"/>
    </font>
    <font>
      <sz val="11"/>
      <name val="AcadNusx"/>
      <family val="0"/>
    </font>
    <font>
      <b/>
      <sz val="9"/>
      <name val="AcadNusx"/>
      <family val="0"/>
    </font>
    <font>
      <sz val="10"/>
      <color indexed="48"/>
      <name val="AcadNusx"/>
      <family val="0"/>
    </font>
    <font>
      <sz val="8"/>
      <name val="Arial Cyr"/>
      <family val="0"/>
    </font>
    <font>
      <sz val="10"/>
      <name val="Sylfaen"/>
      <family val="1"/>
    </font>
    <font>
      <b/>
      <sz val="10"/>
      <name val="Sylfaen"/>
      <family val="1"/>
    </font>
    <font>
      <sz val="10"/>
      <color indexed="10"/>
      <name val="Sylfaen"/>
      <family val="1"/>
    </font>
    <font>
      <sz val="10"/>
      <color indexed="48"/>
      <name val="Sylfaen"/>
      <family val="1"/>
    </font>
    <font>
      <sz val="12"/>
      <name val="Sylfaen"/>
      <family val="1"/>
    </font>
    <font>
      <sz val="11"/>
      <name val="Sylfaen"/>
      <family val="1"/>
    </font>
    <font>
      <b/>
      <sz val="10"/>
      <color indexed="8"/>
      <name val="Sylfaen"/>
      <family val="1"/>
    </font>
    <font>
      <sz val="10"/>
      <color indexed="12"/>
      <name val="Sylfaen"/>
      <family val="1"/>
    </font>
    <font>
      <b/>
      <sz val="10"/>
      <color indexed="10"/>
      <name val="Sylfaen"/>
      <family val="1"/>
    </font>
    <font>
      <sz val="12"/>
      <color indexed="10"/>
      <name val="Sylfaen"/>
      <family val="1"/>
    </font>
    <font>
      <b/>
      <sz val="8"/>
      <name val="Sylfaen"/>
      <family val="1"/>
    </font>
    <font>
      <sz val="8"/>
      <name val="Sylfaen"/>
      <family val="1"/>
    </font>
    <font>
      <b/>
      <sz val="9"/>
      <name val="Sylfaen"/>
      <family val="1"/>
    </font>
    <font>
      <b/>
      <i/>
      <u val="single"/>
      <sz val="10"/>
      <name val="Sylfaen"/>
      <family val="1"/>
    </font>
    <font>
      <i/>
      <u val="single"/>
      <sz val="10"/>
      <name val="Sylfaen"/>
      <family val="1"/>
    </font>
    <font>
      <sz val="10"/>
      <color indexed="30"/>
      <name val="Sylfaen"/>
      <family val="1"/>
    </font>
    <font>
      <b/>
      <sz val="11"/>
      <name val="Sylfaen"/>
      <family val="1"/>
    </font>
    <font>
      <sz val="10"/>
      <name val="Times New Roman"/>
      <family val="1"/>
    </font>
    <font>
      <sz val="12"/>
      <name val="Calibri"/>
      <family val="2"/>
    </font>
    <font>
      <i/>
      <sz val="11"/>
      <name val="AcadNusx"/>
      <family val="0"/>
    </font>
    <font>
      <sz val="10"/>
      <name val="Cambria"/>
      <family val="1"/>
    </font>
    <font>
      <sz val="9"/>
      <name val="AcadNusx"/>
      <family val="0"/>
    </font>
    <font>
      <b/>
      <sz val="12"/>
      <name val="Simple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0"/>
      <name val="Sylfaen"/>
      <family val="1"/>
    </font>
    <font>
      <sz val="11"/>
      <color indexed="10"/>
      <name val="Sylfaen"/>
      <family val="1"/>
    </font>
    <font>
      <sz val="10"/>
      <color indexed="62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cadNusx"/>
      <family val="0"/>
    </font>
    <font>
      <sz val="10"/>
      <color rgb="FFFF0000"/>
      <name val="Sylfaen"/>
      <family val="1"/>
    </font>
    <font>
      <b/>
      <sz val="10"/>
      <color rgb="FF00B0F0"/>
      <name val="Sylfaen"/>
      <family val="1"/>
    </font>
    <font>
      <sz val="11"/>
      <color rgb="FFFF0000"/>
      <name val="Sylfaen"/>
      <family val="1"/>
    </font>
    <font>
      <sz val="10"/>
      <color rgb="FF3942F5"/>
      <name val="Sylfaen"/>
      <family val="1"/>
    </font>
    <font>
      <sz val="10"/>
      <color theme="3" tint="0.39998000860214233"/>
      <name val="AcadNusx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87" fontId="0" fillId="0" borderId="0" applyFont="0" applyFill="0" applyBorder="0" applyAlignment="0" applyProtection="0"/>
    <xf numFmtId="179" fontId="12" fillId="0" borderId="0" applyFont="0" applyFill="0" applyBorder="0" applyAlignment="0" applyProtection="0"/>
  </cellStyleXfs>
  <cellXfs count="47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2" fontId="2" fillId="0" borderId="0" xfId="0" applyNumberFormat="1" applyFont="1" applyBorder="1" applyAlignment="1">
      <alignment horizontal="center" vertical="center" wrapText="1"/>
    </xf>
    <xf numFmtId="196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96" fontId="2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1" fontId="6" fillId="34" borderId="17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196" fontId="2" fillId="0" borderId="12" xfId="0" applyNumberFormat="1" applyFont="1" applyBorder="1" applyAlignment="1">
      <alignment horizontal="center" vertical="center" wrapText="1"/>
    </xf>
    <xf numFmtId="197" fontId="1" fillId="0" borderId="0" xfId="0" applyNumberFormat="1" applyFont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201" fontId="2" fillId="0" borderId="11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99" fontId="6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96" fontId="6" fillId="0" borderId="14" xfId="0" applyNumberFormat="1" applyFont="1" applyFill="1" applyBorder="1" applyAlignment="1">
      <alignment horizontal="center" vertical="center" wrapText="1"/>
    </xf>
    <xf numFmtId="196" fontId="8" fillId="0" borderId="10" xfId="0" applyNumberFormat="1" applyFont="1" applyBorder="1" applyAlignment="1">
      <alignment horizontal="center" vertical="center" wrapText="1"/>
    </xf>
    <xf numFmtId="199" fontId="19" fillId="0" borderId="10" xfId="0" applyNumberFormat="1" applyFont="1" applyFill="1" applyBorder="1" applyAlignment="1">
      <alignment horizontal="center" vertical="center" wrapText="1"/>
    </xf>
    <xf numFmtId="201" fontId="20" fillId="0" borderId="12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97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196" fontId="17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2" fontId="77" fillId="0" borderId="0" xfId="0" applyNumberFormat="1" applyFont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2" fontId="25" fillId="0" borderId="0" xfId="0" applyNumberFormat="1" applyFont="1" applyFill="1" applyAlignment="1">
      <alignment horizontal="center" vertical="center" wrapText="1"/>
    </xf>
    <xf numFmtId="1" fontId="17" fillId="0" borderId="0" xfId="0" applyNumberFormat="1" applyFont="1" applyFill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textRotation="90" wrapText="1"/>
    </xf>
    <xf numFmtId="1" fontId="26" fillId="0" borderId="0" xfId="0" applyNumberFormat="1" applyFont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 wrapText="1"/>
    </xf>
    <xf numFmtId="2" fontId="18" fillId="0" borderId="17" xfId="0" applyNumberFormat="1" applyFont="1" applyFill="1" applyBorder="1" applyAlignment="1">
      <alignment horizontal="center" vertical="center" wrapText="1"/>
    </xf>
    <xf numFmtId="1" fontId="18" fillId="34" borderId="0" xfId="0" applyNumberFormat="1" applyFont="1" applyFill="1" applyBorder="1" applyAlignment="1">
      <alignment horizontal="center" vertical="center" wrapText="1"/>
    </xf>
    <xf numFmtId="2" fontId="18" fillId="34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197" fontId="21" fillId="0" borderId="0" xfId="0" applyNumberFormat="1" applyFont="1" applyFill="1" applyAlignment="1">
      <alignment horizontal="center" vertical="center" wrapText="1"/>
    </xf>
    <xf numFmtId="209" fontId="19" fillId="0" borderId="0" xfId="0" applyNumberFormat="1" applyFont="1" applyBorder="1" applyAlignment="1">
      <alignment horizontal="center" vertical="center" wrapText="1"/>
    </xf>
    <xf numFmtId="2" fontId="18" fillId="0" borderId="18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2" fontId="79" fillId="0" borderId="17" xfId="0" applyNumberFormat="1" applyFont="1" applyFill="1" applyBorder="1" applyAlignment="1">
      <alignment horizontal="center" vertical="center" wrapText="1"/>
    </xf>
    <xf numFmtId="2" fontId="79" fillId="0" borderId="18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200" fontId="18" fillId="0" borderId="17" xfId="0" applyNumberFormat="1" applyFont="1" applyFill="1" applyBorder="1" applyAlignment="1">
      <alignment horizontal="center" vertical="center" wrapText="1"/>
    </xf>
    <xf numFmtId="200" fontId="18" fillId="0" borderId="18" xfId="0" applyNumberFormat="1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96" fontId="17" fillId="0" borderId="11" xfId="0" applyNumberFormat="1" applyFont="1" applyFill="1" applyBorder="1" applyAlignment="1">
      <alignment horizontal="center" vertical="center" wrapText="1"/>
    </xf>
    <xf numFmtId="201" fontId="17" fillId="0" borderId="11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2" fontId="17" fillId="0" borderId="18" xfId="0" applyNumberFormat="1" applyFont="1" applyFill="1" applyBorder="1" applyAlignment="1">
      <alignment horizontal="center" vertical="center" wrapText="1"/>
    </xf>
    <xf numFmtId="4" fontId="18" fillId="0" borderId="25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197" fontId="19" fillId="0" borderId="0" xfId="0" applyNumberFormat="1" applyFont="1" applyBorder="1" applyAlignment="1">
      <alignment horizontal="center" vertical="center" wrapText="1"/>
    </xf>
    <xf numFmtId="201" fontId="17" fillId="0" borderId="12" xfId="0" applyNumberFormat="1" applyFont="1" applyFill="1" applyBorder="1" applyAlignment="1">
      <alignment horizontal="center" vertical="center" wrapText="1"/>
    </xf>
    <xf numFmtId="199" fontId="20" fillId="0" borderId="11" xfId="0" applyNumberFormat="1" applyFont="1" applyFill="1" applyBorder="1" applyAlignment="1">
      <alignment horizontal="center" vertical="center" wrapText="1"/>
    </xf>
    <xf numFmtId="196" fontId="17" fillId="0" borderId="12" xfId="0" applyNumberFormat="1" applyFont="1" applyFill="1" applyBorder="1" applyAlignment="1">
      <alignment horizontal="center" vertical="center" wrapText="1"/>
    </xf>
    <xf numFmtId="199" fontId="17" fillId="0" borderId="11" xfId="0" applyNumberFormat="1" applyFont="1" applyFill="1" applyBorder="1" applyAlignment="1">
      <alignment horizontal="center" vertical="center" wrapText="1"/>
    </xf>
    <xf numFmtId="199" fontId="17" fillId="0" borderId="12" xfId="0" applyNumberFormat="1" applyFont="1" applyFill="1" applyBorder="1" applyAlignment="1">
      <alignment horizontal="center" vertical="center" wrapText="1"/>
    </xf>
    <xf numFmtId="196" fontId="18" fillId="0" borderId="17" xfId="0" applyNumberFormat="1" applyFont="1" applyFill="1" applyBorder="1" applyAlignment="1">
      <alignment horizontal="center" vertical="center" wrapText="1"/>
    </xf>
    <xf numFmtId="197" fontId="17" fillId="0" borderId="11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9" fontId="17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1" fontId="17" fillId="0" borderId="25" xfId="0" applyNumberFormat="1" applyFont="1" applyFill="1" applyBorder="1" applyAlignment="1">
      <alignment horizontal="center" vertical="center" wrapText="1"/>
    </xf>
    <xf numFmtId="201" fontId="15" fillId="0" borderId="11" xfId="0" applyNumberFormat="1" applyFont="1" applyFill="1" applyBorder="1" applyAlignment="1">
      <alignment horizontal="center" vertical="center" wrapText="1"/>
    </xf>
    <xf numFmtId="199" fontId="8" fillId="0" borderId="1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 horizontal="left" vertical="center" wrapText="1"/>
    </xf>
    <xf numFmtId="1" fontId="17" fillId="0" borderId="11" xfId="0" applyNumberFormat="1" applyFont="1" applyFill="1" applyBorder="1" applyAlignment="1">
      <alignment horizontal="center" vertical="center" textRotation="90" wrapText="1"/>
    </xf>
    <xf numFmtId="1" fontId="17" fillId="0" borderId="13" xfId="0" applyNumberFormat="1" applyFont="1" applyFill="1" applyBorder="1" applyAlignment="1">
      <alignment horizontal="center" vertical="center" wrapText="1"/>
    </xf>
    <xf numFmtId="1" fontId="18" fillId="0" borderId="17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1" fontId="18" fillId="0" borderId="26" xfId="0" applyNumberFormat="1" applyFont="1" applyFill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1" fontId="79" fillId="0" borderId="17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textRotation="90" wrapText="1"/>
    </xf>
    <xf numFmtId="1" fontId="2" fillId="0" borderId="13" xfId="0" applyNumberFormat="1" applyFont="1" applyBorder="1" applyAlignment="1">
      <alignment horizontal="center" vertical="center" wrapText="1"/>
    </xf>
    <xf numFmtId="1" fontId="6" fillId="34" borderId="26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18" fillId="34" borderId="11" xfId="0" applyNumberFormat="1" applyFont="1" applyFill="1" applyBorder="1" applyAlignment="1">
      <alignment horizontal="center" vertical="center" wrapText="1"/>
    </xf>
    <xf numFmtId="1" fontId="19" fillId="33" borderId="11" xfId="0" applyNumberFormat="1" applyFont="1" applyFill="1" applyBorder="1" applyAlignment="1">
      <alignment horizontal="center" vertical="center" wrapText="1"/>
    </xf>
    <xf numFmtId="1" fontId="24" fillId="33" borderId="11" xfId="0" applyNumberFormat="1" applyFont="1" applyFill="1" applyBorder="1" applyAlignment="1">
      <alignment horizontal="center" vertical="center" wrapText="1"/>
    </xf>
    <xf numFmtId="1" fontId="17" fillId="33" borderId="11" xfId="0" applyNumberFormat="1" applyFont="1" applyFill="1" applyBorder="1" applyAlignment="1">
      <alignment horizontal="center" vertical="center" wrapText="1"/>
    </xf>
    <xf numFmtId="197" fontId="2" fillId="0" borderId="0" xfId="0" applyNumberFormat="1" applyFont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196" fontId="6" fillId="0" borderId="11" xfId="0" applyNumberFormat="1" applyFont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6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198" fontId="19" fillId="0" borderId="10" xfId="0" applyNumberFormat="1" applyFont="1" applyFill="1" applyBorder="1" applyAlignment="1">
      <alignment horizontal="center" vertical="center" wrapText="1"/>
    </xf>
    <xf numFmtId="201" fontId="20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2" fontId="32" fillId="0" borderId="11" xfId="0" applyNumberFormat="1" applyFont="1" applyFill="1" applyBorder="1" applyAlignment="1">
      <alignment horizontal="center" vertical="center" wrapText="1"/>
    </xf>
    <xf numFmtId="1" fontId="32" fillId="0" borderId="11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center" vertical="center" wrapText="1"/>
    </xf>
    <xf numFmtId="199" fontId="17" fillId="0" borderId="18" xfId="0" applyNumberFormat="1" applyFont="1" applyFill="1" applyBorder="1" applyAlignment="1">
      <alignment horizontal="center" vertical="center" wrapText="1"/>
    </xf>
    <xf numFmtId="2" fontId="17" fillId="0" borderId="17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 wrapText="1"/>
    </xf>
    <xf numFmtId="1" fontId="17" fillId="0" borderId="17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196" fontId="2" fillId="35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0" fontId="17" fillId="0" borderId="2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2" fontId="6" fillId="36" borderId="14" xfId="0" applyNumberFormat="1" applyFont="1" applyFill="1" applyBorder="1" applyAlignment="1">
      <alignment horizontal="center" vertical="center" wrapText="1"/>
    </xf>
    <xf numFmtId="1" fontId="6" fillId="36" borderId="26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2" fontId="10" fillId="36" borderId="11" xfId="0" applyNumberFormat="1" applyFont="1" applyFill="1" applyBorder="1" applyAlignment="1">
      <alignment horizontal="center" vertical="center" wrapText="1"/>
    </xf>
    <xf numFmtId="1" fontId="10" fillId="36" borderId="11" xfId="0" applyNumberFormat="1" applyFont="1" applyFill="1" applyBorder="1" applyAlignment="1">
      <alignment horizontal="center" vertical="center" wrapText="1"/>
    </xf>
    <xf numFmtId="1" fontId="18" fillId="36" borderId="16" xfId="0" applyNumberFormat="1" applyFont="1" applyFill="1" applyBorder="1" applyAlignment="1">
      <alignment horizontal="center" vertical="center" wrapText="1"/>
    </xf>
    <xf numFmtId="0" fontId="33" fillId="36" borderId="17" xfId="0" applyFont="1" applyFill="1" applyBorder="1" applyAlignment="1">
      <alignment horizontal="center" vertical="center" wrapText="1"/>
    </xf>
    <xf numFmtId="0" fontId="17" fillId="36" borderId="18" xfId="0" applyFont="1" applyFill="1" applyBorder="1" applyAlignment="1">
      <alignment horizontal="center" vertical="center" wrapText="1"/>
    </xf>
    <xf numFmtId="4" fontId="17" fillId="36" borderId="17" xfId="0" applyNumberFormat="1" applyFont="1" applyFill="1" applyBorder="1" applyAlignment="1">
      <alignment horizontal="center" vertical="center" wrapText="1"/>
    </xf>
    <xf numFmtId="199" fontId="17" fillId="36" borderId="18" xfId="0" applyNumberFormat="1" applyFont="1" applyFill="1" applyBorder="1" applyAlignment="1">
      <alignment horizontal="center" vertical="center" wrapText="1"/>
    </xf>
    <xf numFmtId="2" fontId="17" fillId="36" borderId="17" xfId="0" applyNumberFormat="1" applyFont="1" applyFill="1" applyBorder="1" applyAlignment="1">
      <alignment horizontal="center" vertical="center" wrapText="1"/>
    </xf>
    <xf numFmtId="4" fontId="17" fillId="36" borderId="18" xfId="0" applyNumberFormat="1" applyFont="1" applyFill="1" applyBorder="1" applyAlignment="1">
      <alignment horizontal="center" vertical="center" wrapText="1"/>
    </xf>
    <xf numFmtId="1" fontId="17" fillId="36" borderId="17" xfId="0" applyNumberFormat="1" applyFont="1" applyFill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 wrapText="1"/>
    </xf>
    <xf numFmtId="0" fontId="18" fillId="36" borderId="18" xfId="0" applyFont="1" applyFill="1" applyBorder="1" applyAlignment="1">
      <alignment horizontal="center" vertical="center" wrapText="1"/>
    </xf>
    <xf numFmtId="4" fontId="18" fillId="36" borderId="17" xfId="0" applyNumberFormat="1" applyFont="1" applyFill="1" applyBorder="1" applyAlignment="1">
      <alignment horizontal="center" vertical="center" wrapText="1"/>
    </xf>
    <xf numFmtId="200" fontId="18" fillId="36" borderId="17" xfId="0" applyNumberFormat="1" applyFont="1" applyFill="1" applyBorder="1" applyAlignment="1">
      <alignment horizontal="center" vertical="center" wrapText="1"/>
    </xf>
    <xf numFmtId="200" fontId="18" fillId="36" borderId="18" xfId="0" applyNumberFormat="1" applyFont="1" applyFill="1" applyBorder="1" applyAlignment="1">
      <alignment horizontal="center" vertical="center" wrapText="1"/>
    </xf>
    <xf numFmtId="1" fontId="18" fillId="36" borderId="17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2" fontId="81" fillId="0" borderId="12" xfId="0" applyNumberFormat="1" applyFont="1" applyFill="1" applyBorder="1" applyAlignment="1">
      <alignment horizontal="center" vertical="center" wrapText="1"/>
    </xf>
    <xf numFmtId="4" fontId="17" fillId="0" borderId="21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 wrapText="1"/>
    </xf>
    <xf numFmtId="4" fontId="81" fillId="0" borderId="11" xfId="0" applyNumberFormat="1" applyFont="1" applyFill="1" applyBorder="1" applyAlignment="1">
      <alignment horizontal="center" vertical="center" wrapText="1"/>
    </xf>
    <xf numFmtId="2" fontId="81" fillId="0" borderId="11" xfId="0" applyNumberFormat="1" applyFont="1" applyFill="1" applyBorder="1" applyAlignment="1">
      <alignment horizontal="center" vertical="center" wrapText="1"/>
    </xf>
    <xf numFmtId="196" fontId="17" fillId="0" borderId="22" xfId="0" applyNumberFormat="1" applyFont="1" applyFill="1" applyBorder="1" applyAlignment="1">
      <alignment horizontal="center" vertical="center" wrapText="1"/>
    </xf>
    <xf numFmtId="2" fontId="18" fillId="0" borderId="26" xfId="0" applyNumberFormat="1" applyFont="1" applyFill="1" applyBorder="1" applyAlignment="1">
      <alignment horizontal="center" vertical="center" wrapText="1"/>
    </xf>
    <xf numFmtId="199" fontId="17" fillId="0" borderId="17" xfId="0" applyNumberFormat="1" applyFont="1" applyFill="1" applyBorder="1" applyAlignment="1">
      <alignment horizontal="center" vertical="center" wrapText="1"/>
    </xf>
    <xf numFmtId="199" fontId="18" fillId="0" borderId="17" xfId="0" applyNumberFormat="1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199" fontId="20" fillId="0" borderId="12" xfId="0" applyNumberFormat="1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center" vertical="center" wrapText="1"/>
    </xf>
    <xf numFmtId="199" fontId="17" fillId="0" borderId="1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3" fontId="6" fillId="37" borderId="28" xfId="0" applyNumberFormat="1" applyFont="1" applyFill="1" applyBorder="1" applyAlignment="1">
      <alignment horizontal="center" vertical="center" wrapText="1"/>
    </xf>
    <xf numFmtId="3" fontId="2" fillId="38" borderId="29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49" fontId="38" fillId="0" borderId="33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49" fontId="38" fillId="0" borderId="30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196" fontId="6" fillId="0" borderId="24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98" fontId="2" fillId="0" borderId="11" xfId="0" applyNumberFormat="1" applyFont="1" applyFill="1" applyBorder="1" applyAlignment="1">
      <alignment horizontal="center" vertical="center" wrapText="1"/>
    </xf>
    <xf numFmtId="49" fontId="38" fillId="33" borderId="11" xfId="0" applyNumberFormat="1" applyFont="1" applyFill="1" applyBorder="1" applyAlignment="1">
      <alignment horizontal="center" vertical="center" wrapText="1"/>
    </xf>
    <xf numFmtId="49" fontId="38" fillId="0" borderId="30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2" fontId="18" fillId="0" borderId="36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10" xfId="66" applyFont="1" applyFill="1" applyBorder="1" applyAlignment="1">
      <alignment horizontal="center" vertical="center" wrapText="1"/>
      <protection/>
    </xf>
    <xf numFmtId="197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/>
    </xf>
    <xf numFmtId="1" fontId="18" fillId="0" borderId="37" xfId="0" applyNumberFormat="1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7" fillId="0" borderId="11" xfId="66" applyFont="1" applyFill="1" applyBorder="1" applyAlignment="1">
      <alignment horizontal="center" vertical="center" wrapText="1"/>
      <protection/>
    </xf>
    <xf numFmtId="4" fontId="17" fillId="0" borderId="11" xfId="66" applyNumberFormat="1" applyFont="1" applyFill="1" applyBorder="1" applyAlignment="1">
      <alignment horizontal="center" vertical="center" wrapText="1"/>
      <protection/>
    </xf>
    <xf numFmtId="0" fontId="2" fillId="0" borderId="12" xfId="65" applyFont="1" applyFill="1" applyBorder="1" applyAlignment="1">
      <alignment horizontal="center" vertical="center" wrapText="1"/>
      <protection/>
    </xf>
    <xf numFmtId="0" fontId="6" fillId="0" borderId="17" xfId="65" applyFont="1" applyFill="1" applyBorder="1" applyAlignment="1">
      <alignment horizontal="center" vertical="center" wrapText="1"/>
      <protection/>
    </xf>
    <xf numFmtId="0" fontId="6" fillId="0" borderId="18" xfId="65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4" fontId="8" fillId="0" borderId="10" xfId="65" applyNumberFormat="1" applyFont="1" applyFill="1" applyBorder="1" applyAlignment="1">
      <alignment horizontal="center" vertical="center" wrapText="1"/>
      <protection/>
    </xf>
    <xf numFmtId="1" fontId="8" fillId="0" borderId="10" xfId="65" applyNumberFormat="1" applyFont="1" applyFill="1" applyBorder="1" applyAlignment="1">
      <alignment horizontal="center" vertical="center" wrapText="1"/>
      <protection/>
    </xf>
    <xf numFmtId="0" fontId="14" fillId="0" borderId="17" xfId="65" applyFont="1" applyFill="1" applyBorder="1" applyAlignment="1">
      <alignment horizontal="center" vertical="center" wrapText="1"/>
      <protection/>
    </xf>
    <xf numFmtId="0" fontId="13" fillId="0" borderId="18" xfId="65" applyFont="1" applyFill="1" applyBorder="1" applyAlignment="1">
      <alignment horizontal="center" vertical="center" wrapText="1"/>
      <protection/>
    </xf>
    <xf numFmtId="197" fontId="6" fillId="0" borderId="17" xfId="65" applyNumberFormat="1" applyFont="1" applyFill="1" applyBorder="1" applyAlignment="1">
      <alignment horizontal="center" vertical="center" wrapText="1"/>
      <protection/>
    </xf>
    <xf numFmtId="0" fontId="2" fillId="0" borderId="18" xfId="65" applyFont="1" applyFill="1" applyBorder="1" applyAlignment="1">
      <alignment horizontal="center" vertical="center" wrapText="1"/>
      <protection/>
    </xf>
    <xf numFmtId="1" fontId="6" fillId="0" borderId="17" xfId="65" applyNumberFormat="1" applyFont="1" applyFill="1" applyBorder="1" applyAlignment="1">
      <alignment horizontal="center" vertical="center" wrapText="1"/>
      <protection/>
    </xf>
    <xf numFmtId="0" fontId="82" fillId="0" borderId="11" xfId="65" applyFont="1" applyFill="1" applyBorder="1" applyAlignment="1">
      <alignment horizontal="center" vertical="center" wrapText="1"/>
      <protection/>
    </xf>
    <xf numFmtId="4" fontId="82" fillId="0" borderId="11" xfId="65" applyNumberFormat="1" applyFont="1" applyFill="1" applyBorder="1" applyAlignment="1">
      <alignment horizontal="center" vertical="center" wrapText="1"/>
      <protection/>
    </xf>
    <xf numFmtId="196" fontId="2" fillId="0" borderId="10" xfId="65" applyNumberFormat="1" applyFont="1" applyFill="1" applyBorder="1" applyAlignment="1">
      <alignment horizontal="center" vertical="center" wrapText="1"/>
      <protection/>
    </xf>
    <xf numFmtId="0" fontId="13" fillId="0" borderId="10" xfId="65" applyFont="1" applyFill="1" applyBorder="1" applyAlignment="1">
      <alignment horizontal="center" vertical="center" wrapText="1"/>
      <protection/>
    </xf>
    <xf numFmtId="0" fontId="13" fillId="0" borderId="11" xfId="65" applyFont="1" applyFill="1" applyBorder="1" applyAlignment="1">
      <alignment horizontal="center" vertical="center" wrapText="1"/>
      <protection/>
    </xf>
    <xf numFmtId="0" fontId="2" fillId="0" borderId="11" xfId="65" applyFont="1" applyFill="1" applyBorder="1" applyAlignment="1">
      <alignment horizontal="center" vertical="center" wrapText="1"/>
      <protection/>
    </xf>
    <xf numFmtId="4" fontId="2" fillId="0" borderId="11" xfId="65" applyNumberFormat="1" applyFont="1" applyFill="1" applyBorder="1" applyAlignment="1">
      <alignment horizontal="center" vertical="center" wrapText="1"/>
      <protection/>
    </xf>
    <xf numFmtId="0" fontId="13" fillId="0" borderId="12" xfId="65" applyFont="1" applyFill="1" applyBorder="1" applyAlignment="1">
      <alignment horizontal="center" vertical="center" wrapText="1"/>
      <protection/>
    </xf>
    <xf numFmtId="4" fontId="2" fillId="0" borderId="12" xfId="65" applyNumberFormat="1" applyFont="1" applyFill="1" applyBorder="1" applyAlignment="1">
      <alignment horizontal="center" vertical="center" wrapText="1"/>
      <protection/>
    </xf>
    <xf numFmtId="1" fontId="6" fillId="0" borderId="16" xfId="65" applyNumberFormat="1" applyFont="1" applyFill="1" applyBorder="1" applyAlignment="1">
      <alignment horizontal="center" vertical="center" wrapText="1"/>
      <protection/>
    </xf>
    <xf numFmtId="1" fontId="8" fillId="33" borderId="11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 wrapText="1"/>
    </xf>
    <xf numFmtId="196" fontId="8" fillId="0" borderId="11" xfId="0" applyNumberFormat="1" applyFont="1" applyBorder="1" applyAlignment="1">
      <alignment horizontal="center" vertical="center" wrapText="1"/>
    </xf>
    <xf numFmtId="0" fontId="5" fillId="39" borderId="33" xfId="0" applyNumberFormat="1" applyFont="1" applyFill="1" applyBorder="1" applyAlignment="1">
      <alignment horizontal="center" vertical="center" wrapText="1"/>
    </xf>
    <xf numFmtId="0" fontId="14" fillId="39" borderId="11" xfId="0" applyNumberFormat="1" applyFont="1" applyFill="1" applyBorder="1" applyAlignment="1">
      <alignment horizontal="center" vertical="center" wrapText="1"/>
    </xf>
    <xf numFmtId="0" fontId="6" fillId="39" borderId="11" xfId="0" applyNumberFormat="1" applyFont="1" applyFill="1" applyBorder="1" applyAlignment="1">
      <alignment horizontal="center" vertical="center" wrapText="1"/>
    </xf>
    <xf numFmtId="0" fontId="6" fillId="39" borderId="29" xfId="0" applyFont="1" applyFill="1" applyBorder="1" applyAlignment="1">
      <alignment horizontal="center" vertical="center" wrapText="1"/>
    </xf>
    <xf numFmtId="1" fontId="2" fillId="39" borderId="22" xfId="0" applyNumberFormat="1" applyFont="1" applyFill="1" applyBorder="1" applyAlignment="1">
      <alignment horizontal="center" vertical="center" wrapText="1"/>
    </xf>
    <xf numFmtId="1" fontId="6" fillId="39" borderId="29" xfId="0" applyNumberFormat="1" applyFont="1" applyFill="1" applyBorder="1" applyAlignment="1">
      <alignment horizontal="center" vertical="center" wrapText="1"/>
    </xf>
    <xf numFmtId="2" fontId="14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187" fontId="2" fillId="39" borderId="29" xfId="42" applyNumberFormat="1" applyFont="1" applyFill="1" applyBorder="1" applyAlignment="1">
      <alignment horizontal="center" vertical="center" wrapText="1"/>
    </xf>
    <xf numFmtId="0" fontId="1" fillId="39" borderId="38" xfId="0" applyNumberFormat="1" applyFont="1" applyFill="1" applyBorder="1" applyAlignment="1">
      <alignment horizontal="center" vertical="center" wrapText="1"/>
    </xf>
    <xf numFmtId="2" fontId="38" fillId="39" borderId="30" xfId="0" applyNumberFormat="1" applyFont="1" applyFill="1" applyBorder="1" applyAlignment="1">
      <alignment horizontal="center" vertical="center" wrapText="1"/>
    </xf>
    <xf numFmtId="2" fontId="2" fillId="39" borderId="30" xfId="0" applyNumberFormat="1" applyFont="1" applyFill="1" applyBorder="1" applyAlignment="1">
      <alignment horizontal="center" vertical="center" wrapText="1"/>
    </xf>
    <xf numFmtId="1" fontId="2" fillId="39" borderId="39" xfId="0" applyNumberFormat="1" applyFont="1" applyFill="1" applyBorder="1" applyAlignment="1">
      <alignment horizontal="center" vertical="center" wrapText="1"/>
    </xf>
    <xf numFmtId="187" fontId="2" fillId="39" borderId="31" xfId="4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4" fontId="18" fillId="39" borderId="0" xfId="0" applyNumberFormat="1" applyFont="1" applyFill="1" applyAlignment="1">
      <alignment horizontal="left" vertical="center" wrapText="1"/>
    </xf>
    <xf numFmtId="200" fontId="17" fillId="0" borderId="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1" fillId="39" borderId="32" xfId="0" applyNumberFormat="1" applyFont="1" applyFill="1" applyBorder="1" applyAlignment="1">
      <alignment horizontal="center" vertical="center" wrapText="1"/>
    </xf>
    <xf numFmtId="0" fontId="1" fillId="39" borderId="33" xfId="0" applyNumberFormat="1" applyFont="1" applyFill="1" applyBorder="1" applyAlignment="1">
      <alignment horizontal="center" vertical="center" wrapText="1"/>
    </xf>
    <xf numFmtId="0" fontId="38" fillId="39" borderId="24" xfId="0" applyNumberFormat="1" applyFont="1" applyFill="1" applyBorder="1" applyAlignment="1">
      <alignment horizontal="center" vertical="center" wrapText="1"/>
    </xf>
    <xf numFmtId="0" fontId="38" fillId="39" borderId="11" xfId="0" applyNumberFormat="1" applyFont="1" applyFill="1" applyBorder="1" applyAlignment="1">
      <alignment horizontal="center" vertical="center" wrapText="1"/>
    </xf>
    <xf numFmtId="0" fontId="2" fillId="39" borderId="24" xfId="0" applyNumberFormat="1" applyFont="1" applyFill="1" applyBorder="1" applyAlignment="1">
      <alignment horizontal="center" vertical="center" wrapText="1"/>
    </xf>
    <xf numFmtId="0" fontId="2" fillId="39" borderId="11" xfId="0" applyNumberFormat="1" applyFont="1" applyFill="1" applyBorder="1" applyAlignment="1">
      <alignment horizontal="center" vertical="center" wrapText="1"/>
    </xf>
    <xf numFmtId="0" fontId="2" fillId="39" borderId="28" xfId="0" applyFont="1" applyFill="1" applyBorder="1" applyAlignment="1">
      <alignment horizontal="center" vertical="center" wrapText="1"/>
    </xf>
    <xf numFmtId="0" fontId="2" fillId="39" borderId="2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1" fontId="17" fillId="0" borderId="18" xfId="0" applyNumberFormat="1" applyFont="1" applyFill="1" applyBorder="1" applyAlignment="1">
      <alignment horizontal="center" vertical="center" wrapText="1"/>
    </xf>
    <xf numFmtId="1" fontId="17" fillId="0" borderId="25" xfId="0" applyNumberFormat="1" applyFont="1" applyFill="1" applyBorder="1" applyAlignment="1">
      <alignment horizontal="center" vertical="center" wrapText="1"/>
    </xf>
    <xf numFmtId="196" fontId="17" fillId="0" borderId="16" xfId="0" applyNumberFormat="1" applyFont="1" applyFill="1" applyBorder="1" applyAlignment="1">
      <alignment horizontal="center" vertical="center" wrapText="1"/>
    </xf>
    <xf numFmtId="196" fontId="17" fillId="0" borderId="18" xfId="0" applyNumberFormat="1" applyFont="1" applyFill="1" applyBorder="1" applyAlignment="1">
      <alignment horizontal="center" vertical="center" wrapText="1"/>
    </xf>
    <xf numFmtId="196" fontId="17" fillId="0" borderId="25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textRotation="90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196" fontId="17" fillId="0" borderId="20" xfId="0" applyNumberFormat="1" applyFont="1" applyFill="1" applyBorder="1" applyAlignment="1">
      <alignment horizontal="center" vertical="center" wrapText="1"/>
    </xf>
    <xf numFmtId="196" fontId="17" fillId="0" borderId="41" xfId="0" applyNumberFormat="1" applyFont="1" applyFill="1" applyBorder="1" applyAlignment="1">
      <alignment horizontal="center" vertical="center" wrapText="1"/>
    </xf>
    <xf numFmtId="196" fontId="17" fillId="0" borderId="42" xfId="0" applyNumberFormat="1" applyFont="1" applyFill="1" applyBorder="1" applyAlignment="1">
      <alignment horizontal="center" vertical="center" wrapText="1"/>
    </xf>
    <xf numFmtId="0" fontId="18" fillId="39" borderId="16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center" vertical="center" wrapText="1"/>
    </xf>
    <xf numFmtId="0" fontId="17" fillId="39" borderId="12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4" xfId="65"/>
    <cellStyle name="Обычный_Лист1" xfId="66"/>
    <cellStyle name="Финансовый 2" xfId="67"/>
    <cellStyle name="Финансовый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QIvi%20stiqia%202016\Documents%20and%20Settings\Tamari\Desktop\SUQUR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RQIvi%20stiqia%202016\Documents%20and%20Settings\Tamari\Desktop\AXALI%20MSENEBLOBA\m%20%20a%20b%20a%20s%20i%20z%20e%20i%201%20xl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r%20agars2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RQIvi%20stiqia%202016\Documents%20and%20Settings\Tamari\Desktop\AXALI%20MSENEBLOBA\gogebasvili.%2022%20x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RQIvi%20stiqia%202016\Documents%20and%20Settings\Tamari\Desktop\FOTI\SUQURA.%20bolo%20xl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RQIvi%20stiqia%202016\Documents%20and%20Settings\Tamari\Desktop\proeqti%202006-III\a-x-II%20%20xl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proeqti%202006-III\a-x%20%20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QIvi%20stiqia%202016\Documents%20and%20Settings\Tamari\Desktop\K%20E%20D%20A\bulv%20%20gamwvaneba%204xl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%20u%20c%20e%20b%20i\&#1053;&#1086;&#1074;&#1072;&#1103;%20&#1087;&#1072;&#1087;&#1082;&#1072;\bulv%20ninos6681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atumi-2005\A%20R%20D%20%20T%20b%20G%20a%20%201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Documents%20and%20Settings\VAHE\My%20Documents\`x%20%20a%20%20l%20%20a501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RQIvi%20stiqia%202016\Documents%20and%20Settings\Tamari\Desktop\AXALI%20MSENEBLOBA\gogebasvili.%20%2018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"/>
      <sheetName val="O"/>
      <sheetName val="1"/>
      <sheetName val="2 "/>
      <sheetName val="3"/>
      <sheetName val="4"/>
      <sheetName val="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2">
        <row r="174">
          <cell r="F174">
            <v>0.58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3"/>
  <sheetViews>
    <sheetView zoomScalePageLayoutView="0" workbookViewId="0" topLeftCell="A4">
      <selection activeCell="H20" sqref="H20"/>
    </sheetView>
  </sheetViews>
  <sheetFormatPr defaultColWidth="9.00390625" defaultRowHeight="12.75"/>
  <cols>
    <col min="1" max="1" width="6.00390625" style="1" customWidth="1"/>
    <col min="2" max="2" width="10.625" style="1" customWidth="1"/>
    <col min="3" max="3" width="52.375" style="1" customWidth="1"/>
    <col min="4" max="4" width="8.25390625" style="1" customWidth="1"/>
    <col min="5" max="5" width="14.25390625" style="1" customWidth="1"/>
    <col min="6" max="16384" width="9.125" style="1" customWidth="1"/>
  </cols>
  <sheetData>
    <row r="1" ht="2.25" customHeight="1"/>
    <row r="2" spans="1:5" ht="30.75" customHeight="1">
      <c r="A2" s="404" t="s">
        <v>380</v>
      </c>
      <c r="B2" s="405"/>
      <c r="C2" s="405"/>
      <c r="D2" s="405"/>
      <c r="E2" s="406"/>
    </row>
    <row r="3" spans="1:5" ht="140.25" customHeight="1" thickBot="1">
      <c r="A3" s="407" t="s">
        <v>381</v>
      </c>
      <c r="B3" s="407"/>
      <c r="C3" s="407"/>
      <c r="D3" s="407"/>
      <c r="E3" s="407"/>
    </row>
    <row r="4" spans="1:5" ht="33" customHeight="1">
      <c r="A4" s="408" t="s">
        <v>7</v>
      </c>
      <c r="B4" s="410" t="s">
        <v>374</v>
      </c>
      <c r="C4" s="412" t="s">
        <v>375</v>
      </c>
      <c r="D4" s="412" t="s">
        <v>28</v>
      </c>
      <c r="E4" s="414" t="s">
        <v>376</v>
      </c>
    </row>
    <row r="5" spans="1:5" ht="36" customHeight="1">
      <c r="A5" s="409"/>
      <c r="B5" s="411"/>
      <c r="C5" s="413"/>
      <c r="D5" s="413"/>
      <c r="E5" s="415"/>
    </row>
    <row r="6" spans="1:5" ht="21" customHeight="1">
      <c r="A6" s="386">
        <v>1</v>
      </c>
      <c r="B6" s="387">
        <v>2</v>
      </c>
      <c r="C6" s="388">
        <v>3</v>
      </c>
      <c r="D6" s="388">
        <v>4</v>
      </c>
      <c r="E6" s="389">
        <v>5</v>
      </c>
    </row>
    <row r="7" spans="1:5" ht="66.75" customHeight="1">
      <c r="A7" s="386">
        <v>1</v>
      </c>
      <c r="B7" s="6" t="s">
        <v>231</v>
      </c>
      <c r="C7" s="388" t="s">
        <v>359</v>
      </c>
      <c r="D7" s="390" t="s">
        <v>13</v>
      </c>
      <c r="E7" s="391">
        <f>'1-1'!H136</f>
        <v>0</v>
      </c>
    </row>
    <row r="8" spans="1:5" ht="79.5" customHeight="1">
      <c r="A8" s="386">
        <v>2</v>
      </c>
      <c r="B8" s="6" t="s">
        <v>232</v>
      </c>
      <c r="C8" s="388" t="s">
        <v>319</v>
      </c>
      <c r="D8" s="390" t="s">
        <v>13</v>
      </c>
      <c r="E8" s="391">
        <f>'1-2'!J94</f>
        <v>0</v>
      </c>
    </row>
    <row r="9" spans="1:5" ht="56.25" customHeight="1">
      <c r="A9" s="386">
        <v>3</v>
      </c>
      <c r="B9" s="6" t="s">
        <v>233</v>
      </c>
      <c r="C9" s="388" t="s">
        <v>348</v>
      </c>
      <c r="D9" s="390" t="s">
        <v>13</v>
      </c>
      <c r="E9" s="391">
        <f>'1-3'!H51</f>
        <v>0</v>
      </c>
    </row>
    <row r="10" spans="1:5" ht="42.75" customHeight="1">
      <c r="A10" s="386">
        <v>4</v>
      </c>
      <c r="B10" s="6" t="s">
        <v>234</v>
      </c>
      <c r="C10" s="388" t="s">
        <v>241</v>
      </c>
      <c r="D10" s="390" t="s">
        <v>13</v>
      </c>
      <c r="E10" s="391">
        <f>'1-4'!H84</f>
        <v>0</v>
      </c>
    </row>
    <row r="11" spans="1:5" ht="62.25" customHeight="1">
      <c r="A11" s="386">
        <v>5</v>
      </c>
      <c r="B11" s="6" t="s">
        <v>235</v>
      </c>
      <c r="C11" s="388" t="s">
        <v>378</v>
      </c>
      <c r="D11" s="390" t="s">
        <v>13</v>
      </c>
      <c r="E11" s="391">
        <f>'1-5'!H44</f>
        <v>0</v>
      </c>
    </row>
    <row r="12" spans="1:5" ht="46.5" customHeight="1">
      <c r="A12" s="386">
        <v>6</v>
      </c>
      <c r="B12" s="6" t="s">
        <v>377</v>
      </c>
      <c r="C12" s="388" t="s">
        <v>236</v>
      </c>
      <c r="D12" s="390" t="s">
        <v>13</v>
      </c>
      <c r="E12" s="391">
        <f>2!H83</f>
        <v>0</v>
      </c>
    </row>
    <row r="13" spans="1:5" ht="46.5" customHeight="1">
      <c r="A13" s="386"/>
      <c r="B13" s="6"/>
      <c r="C13" s="388" t="s">
        <v>125</v>
      </c>
      <c r="D13" s="390" t="s">
        <v>13</v>
      </c>
      <c r="E13" s="391">
        <f>SUM(E7:E12)</f>
        <v>0</v>
      </c>
    </row>
    <row r="14" spans="1:5" ht="38.25" customHeight="1">
      <c r="A14" s="386">
        <v>7</v>
      </c>
      <c r="B14" s="387"/>
      <c r="C14" s="388" t="s">
        <v>192</v>
      </c>
      <c r="D14" s="390" t="s">
        <v>13</v>
      </c>
      <c r="E14" s="389">
        <f>E13*1.7/100</f>
        <v>0</v>
      </c>
    </row>
    <row r="15" spans="1:5" ht="30.75" customHeight="1">
      <c r="A15" s="386"/>
      <c r="B15" s="392"/>
      <c r="C15" s="393" t="s">
        <v>125</v>
      </c>
      <c r="D15" s="390" t="s">
        <v>13</v>
      </c>
      <c r="E15" s="394">
        <f>SUM(E13:E14)</f>
        <v>0</v>
      </c>
    </row>
    <row r="16" spans="1:5" ht="26.25" customHeight="1">
      <c r="A16" s="386"/>
      <c r="B16" s="392"/>
      <c r="C16" s="393" t="s">
        <v>382</v>
      </c>
      <c r="D16" s="390" t="s">
        <v>13</v>
      </c>
      <c r="E16" s="394">
        <f>E15*18/100</f>
        <v>0</v>
      </c>
    </row>
    <row r="17" spans="1:5" ht="15.75" customHeight="1" thickBot="1">
      <c r="A17" s="395"/>
      <c r="B17" s="396"/>
      <c r="C17" s="397" t="s">
        <v>383</v>
      </c>
      <c r="D17" s="398" t="s">
        <v>13</v>
      </c>
      <c r="E17" s="399">
        <f>SUM(E15:E16)</f>
        <v>0</v>
      </c>
    </row>
    <row r="18" spans="1:5" ht="24" customHeight="1">
      <c r="A18" s="400"/>
      <c r="B18" s="400"/>
      <c r="C18" s="400"/>
      <c r="D18" s="400"/>
      <c r="E18" s="400"/>
    </row>
    <row r="19" spans="1:5" ht="61.5" customHeight="1">
      <c r="A19" s="400"/>
      <c r="B19" s="400"/>
      <c r="C19" s="401" t="s">
        <v>379</v>
      </c>
      <c r="D19" s="400"/>
      <c r="E19" s="400"/>
    </row>
    <row r="20" spans="1:5" ht="123" customHeight="1">
      <c r="A20" s="400"/>
      <c r="B20" s="400"/>
      <c r="C20" s="400"/>
      <c r="D20" s="400"/>
      <c r="E20" s="400"/>
    </row>
    <row r="21" spans="1:5" ht="51.75" customHeight="1">
      <c r="A21" s="400"/>
      <c r="B21" s="400"/>
      <c r="C21" s="400"/>
      <c r="D21" s="400"/>
      <c r="E21" s="400"/>
    </row>
    <row r="22" spans="1:5" ht="48" customHeight="1">
      <c r="A22" s="400"/>
      <c r="B22" s="400"/>
      <c r="C22" s="400"/>
      <c r="D22" s="400"/>
      <c r="E22" s="400"/>
    </row>
    <row r="23" spans="1:5" ht="36.75" customHeight="1" hidden="1">
      <c r="A23" s="400"/>
      <c r="B23" s="400"/>
      <c r="C23" s="400"/>
      <c r="D23" s="400"/>
      <c r="E23" s="400"/>
    </row>
    <row r="24" spans="1:6" ht="15.75" customHeight="1">
      <c r="A24" s="400"/>
      <c r="B24" s="400"/>
      <c r="C24" s="400"/>
      <c r="D24" s="400"/>
      <c r="E24" s="400"/>
      <c r="F24" s="11"/>
    </row>
    <row r="25" spans="1:5" ht="16.5" customHeight="1">
      <c r="A25" s="400"/>
      <c r="B25" s="400"/>
      <c r="C25" s="400"/>
      <c r="D25" s="400"/>
      <c r="E25" s="400"/>
    </row>
    <row r="26" spans="1:5" ht="16.5" customHeight="1">
      <c r="A26" s="400"/>
      <c r="B26" s="400"/>
      <c r="C26" s="400"/>
      <c r="D26" s="400"/>
      <c r="E26" s="400"/>
    </row>
    <row r="27" spans="1:5" ht="16.5" customHeight="1">
      <c r="A27" s="400"/>
      <c r="B27" s="400"/>
      <c r="C27" s="400"/>
      <c r="D27" s="400"/>
      <c r="E27" s="400"/>
    </row>
    <row r="28" spans="1:5" ht="16.5" customHeight="1">
      <c r="A28" s="400"/>
      <c r="B28" s="400"/>
      <c r="C28" s="400"/>
      <c r="D28" s="400"/>
      <c r="E28" s="400"/>
    </row>
    <row r="29" spans="1:5" ht="16.5" customHeight="1">
      <c r="A29" s="400"/>
      <c r="B29" s="400"/>
      <c r="C29" s="400"/>
      <c r="D29" s="400"/>
      <c r="E29" s="400"/>
    </row>
    <row r="30" spans="1:5" ht="16.5" customHeight="1">
      <c r="A30" s="400"/>
      <c r="B30" s="400"/>
      <c r="C30" s="400"/>
      <c r="D30" s="400"/>
      <c r="E30" s="400"/>
    </row>
    <row r="31" spans="1:5" ht="16.5" customHeight="1">
      <c r="A31" s="400"/>
      <c r="B31" s="400"/>
      <c r="C31" s="400"/>
      <c r="D31" s="400"/>
      <c r="E31" s="400"/>
    </row>
    <row r="32" spans="1:5" ht="16.5" customHeight="1">
      <c r="A32" s="400"/>
      <c r="B32" s="400"/>
      <c r="C32" s="400"/>
      <c r="D32" s="400"/>
      <c r="E32" s="400"/>
    </row>
    <row r="33" spans="1:5" ht="16.5" customHeight="1">
      <c r="A33" s="400"/>
      <c r="B33" s="400"/>
      <c r="C33" s="400"/>
      <c r="D33" s="400"/>
      <c r="E33" s="400"/>
    </row>
    <row r="34" spans="1:5" ht="16.5" customHeight="1">
      <c r="A34" s="400"/>
      <c r="B34" s="400"/>
      <c r="C34" s="400"/>
      <c r="D34" s="400"/>
      <c r="E34" s="400"/>
    </row>
    <row r="35" spans="1:5" ht="16.5" customHeight="1">
      <c r="A35" s="400"/>
      <c r="B35" s="400"/>
      <c r="C35" s="400"/>
      <c r="D35" s="400"/>
      <c r="E35" s="400"/>
    </row>
    <row r="36" spans="1:5" ht="16.5" customHeight="1">
      <c r="A36" s="400"/>
      <c r="B36" s="400"/>
      <c r="C36" s="400"/>
      <c r="D36" s="400"/>
      <c r="E36" s="400"/>
    </row>
    <row r="37" spans="1:5" ht="16.5" customHeight="1">
      <c r="A37" s="400"/>
      <c r="B37" s="400"/>
      <c r="C37" s="400"/>
      <c r="D37" s="400"/>
      <c r="E37" s="400"/>
    </row>
    <row r="38" spans="1:5" ht="32.25" customHeight="1">
      <c r="A38" s="400"/>
      <c r="B38" s="400"/>
      <c r="C38" s="400"/>
      <c r="D38" s="400"/>
      <c r="E38" s="400"/>
    </row>
    <row r="39" spans="1:5" ht="15.75" customHeight="1">
      <c r="A39" s="400"/>
      <c r="B39" s="400"/>
      <c r="C39" s="400"/>
      <c r="D39" s="400"/>
      <c r="E39" s="400"/>
    </row>
    <row r="40" spans="1:5" ht="15.75" customHeight="1">
      <c r="A40" s="400"/>
      <c r="B40" s="400"/>
      <c r="C40" s="400"/>
      <c r="D40" s="400"/>
      <c r="E40" s="400"/>
    </row>
    <row r="41" spans="1:5" ht="15.75" customHeight="1">
      <c r="A41" s="400"/>
      <c r="B41" s="400"/>
      <c r="C41" s="400"/>
      <c r="D41" s="400"/>
      <c r="E41" s="400"/>
    </row>
    <row r="42" spans="1:5" ht="27.75" customHeight="1">
      <c r="A42" s="400"/>
      <c r="B42" s="400"/>
      <c r="C42" s="400"/>
      <c r="D42" s="400"/>
      <c r="E42" s="400"/>
    </row>
    <row r="43" spans="1:5" ht="20.25" customHeight="1">
      <c r="A43" s="400"/>
      <c r="B43" s="400"/>
      <c r="C43" s="400"/>
      <c r="D43" s="400"/>
      <c r="E43" s="400"/>
    </row>
    <row r="44" spans="1:5" ht="20.25" customHeight="1">
      <c r="A44" s="400"/>
      <c r="B44" s="400"/>
      <c r="C44" s="400"/>
      <c r="D44" s="400"/>
      <c r="E44" s="400"/>
    </row>
    <row r="45" spans="1:5" ht="20.25" customHeight="1">
      <c r="A45" s="400"/>
      <c r="B45" s="400"/>
      <c r="C45" s="400"/>
      <c r="D45" s="400"/>
      <c r="E45" s="400"/>
    </row>
    <row r="46" spans="1:5" ht="29.25" customHeight="1">
      <c r="A46" s="400"/>
      <c r="B46" s="400"/>
      <c r="C46" s="400"/>
      <c r="D46" s="400"/>
      <c r="E46" s="400"/>
    </row>
    <row r="47" spans="1:5" ht="18" customHeight="1">
      <c r="A47" s="400"/>
      <c r="B47" s="400"/>
      <c r="C47" s="400"/>
      <c r="D47" s="400"/>
      <c r="E47" s="400"/>
    </row>
    <row r="48" spans="1:5" ht="18" customHeight="1">
      <c r="A48" s="400"/>
      <c r="B48" s="400"/>
      <c r="C48" s="400"/>
      <c r="D48" s="400"/>
      <c r="E48" s="400"/>
    </row>
    <row r="49" spans="1:5" ht="47.25" customHeight="1">
      <c r="A49" s="400"/>
      <c r="B49" s="400"/>
      <c r="C49" s="400"/>
      <c r="D49" s="400"/>
      <c r="E49" s="400"/>
    </row>
    <row r="50" spans="1:5" ht="24" customHeight="1">
      <c r="A50" s="400"/>
      <c r="B50" s="400"/>
      <c r="C50" s="400"/>
      <c r="D50" s="400"/>
      <c r="E50" s="400"/>
    </row>
    <row r="51" spans="1:5" ht="24" customHeight="1">
      <c r="A51" s="400"/>
      <c r="B51" s="400"/>
      <c r="C51" s="400"/>
      <c r="D51" s="400"/>
      <c r="E51" s="400"/>
    </row>
    <row r="52" spans="1:6" ht="24" customHeight="1">
      <c r="A52" s="400"/>
      <c r="B52" s="400"/>
      <c r="C52" s="400"/>
      <c r="D52" s="400"/>
      <c r="E52" s="400"/>
      <c r="F52" s="11"/>
    </row>
    <row r="53" spans="1:5" ht="30.75" customHeight="1">
      <c r="A53" s="400"/>
      <c r="B53" s="400"/>
      <c r="C53" s="400"/>
      <c r="D53" s="400"/>
      <c r="E53" s="400"/>
    </row>
    <row r="54" spans="1:6" ht="19.5" customHeight="1">
      <c r="A54" s="400"/>
      <c r="B54" s="400"/>
      <c r="C54" s="400"/>
      <c r="D54" s="400"/>
      <c r="E54" s="400"/>
      <c r="F54" s="82"/>
    </row>
    <row r="55" spans="1:5" ht="19.5" customHeight="1">
      <c r="A55" s="400"/>
      <c r="B55" s="400"/>
      <c r="C55" s="400"/>
      <c r="D55" s="400"/>
      <c r="E55" s="400"/>
    </row>
    <row r="56" spans="1:6" ht="19.5" customHeight="1">
      <c r="A56" s="400"/>
      <c r="B56" s="400"/>
      <c r="C56" s="400"/>
      <c r="D56" s="400"/>
      <c r="E56" s="400"/>
      <c r="F56" s="82"/>
    </row>
    <row r="57" spans="1:5" ht="19.5" customHeight="1">
      <c r="A57" s="7"/>
      <c r="B57" s="7"/>
      <c r="C57" s="41"/>
      <c r="D57" s="42"/>
      <c r="E57" s="42"/>
    </row>
    <row r="58" spans="1:5" ht="19.5" customHeight="1">
      <c r="A58" s="7"/>
      <c r="B58" s="7"/>
      <c r="C58" s="41"/>
      <c r="D58" s="42"/>
      <c r="E58" s="42"/>
    </row>
    <row r="59" spans="1:5" ht="33.75" customHeight="1">
      <c r="A59" s="5"/>
      <c r="B59" s="5"/>
      <c r="C59" s="17"/>
      <c r="D59" s="17"/>
      <c r="E59" s="17"/>
    </row>
    <row r="60" spans="1:5" ht="24.75" customHeight="1">
      <c r="A60" s="5"/>
      <c r="B60" s="5"/>
      <c r="C60" s="17"/>
      <c r="D60" s="17"/>
      <c r="E60" s="17"/>
    </row>
    <row r="61" spans="1:5" ht="36" customHeight="1">
      <c r="A61" s="5"/>
      <c r="B61" s="5"/>
      <c r="C61" s="17"/>
      <c r="D61" s="17"/>
      <c r="E61" s="17"/>
    </row>
    <row r="62" spans="1:2" ht="19.5" customHeight="1">
      <c r="A62" s="5"/>
      <c r="B62" s="5"/>
    </row>
    <row r="63" spans="1:5" ht="19.5" customHeight="1">
      <c r="A63" s="5"/>
      <c r="B63" s="5"/>
      <c r="C63" s="5"/>
      <c r="D63" s="5"/>
      <c r="E63" s="5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</sheetData>
  <sheetProtection/>
  <mergeCells count="7">
    <mergeCell ref="A2:E2"/>
    <mergeCell ref="A3:E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9"/>
  <sheetViews>
    <sheetView tabSelected="1" view="pageBreakPreview" zoomScale="98" zoomScaleSheetLayoutView="98" zoomScalePageLayoutView="0" workbookViewId="0" topLeftCell="A24">
      <selection activeCell="H10" sqref="H10"/>
    </sheetView>
  </sheetViews>
  <sheetFormatPr defaultColWidth="9.00390625" defaultRowHeight="12.75"/>
  <cols>
    <col min="1" max="1" width="5.625" style="142" customWidth="1"/>
    <col min="2" max="2" width="10.00390625" style="142" customWidth="1"/>
    <col min="3" max="3" width="42.75390625" style="142" customWidth="1"/>
    <col min="4" max="4" width="7.625" style="142" customWidth="1"/>
    <col min="5" max="5" width="7.375" style="142" customWidth="1"/>
    <col min="6" max="6" width="8.75390625" style="142" customWidth="1"/>
    <col min="7" max="7" width="7.875" style="142" customWidth="1"/>
    <col min="8" max="8" width="11.875" style="199" customWidth="1"/>
    <col min="9" max="16384" width="9.125" style="93" customWidth="1"/>
  </cols>
  <sheetData>
    <row r="1" spans="1:8" ht="23.25" customHeight="1">
      <c r="A1" s="416" t="s">
        <v>366</v>
      </c>
      <c r="B1" s="416"/>
      <c r="C1" s="416"/>
      <c r="D1" s="416"/>
      <c r="E1" s="416"/>
      <c r="F1" s="416"/>
      <c r="G1" s="416"/>
      <c r="H1" s="416"/>
    </row>
    <row r="2" spans="1:8" ht="39" customHeight="1">
      <c r="A2" s="417" t="s">
        <v>359</v>
      </c>
      <c r="B2" s="417"/>
      <c r="C2" s="417"/>
      <c r="D2" s="417"/>
      <c r="E2" s="417"/>
      <c r="F2" s="417"/>
      <c r="G2" s="417"/>
      <c r="H2" s="417"/>
    </row>
    <row r="3" spans="1:8" s="94" customFormat="1" ht="42.75" customHeight="1">
      <c r="A3" s="416" t="s">
        <v>165</v>
      </c>
      <c r="B3" s="416"/>
      <c r="C3" s="416"/>
      <c r="D3" s="144">
        <f>H136/1000</f>
        <v>0</v>
      </c>
      <c r="E3" s="416" t="s">
        <v>164</v>
      </c>
      <c r="F3" s="416"/>
      <c r="G3" s="145"/>
      <c r="H3" s="211"/>
    </row>
    <row r="4" spans="1:8" ht="39" customHeight="1">
      <c r="A4" s="425" t="s">
        <v>7</v>
      </c>
      <c r="B4" s="427" t="s">
        <v>128</v>
      </c>
      <c r="C4" s="425" t="s">
        <v>129</v>
      </c>
      <c r="D4" s="427" t="s">
        <v>130</v>
      </c>
      <c r="E4" s="429" t="s">
        <v>131</v>
      </c>
      <c r="F4" s="430"/>
      <c r="G4" s="429" t="s">
        <v>132</v>
      </c>
      <c r="H4" s="430"/>
    </row>
    <row r="5" spans="1:8" ht="74.25" customHeight="1">
      <c r="A5" s="426"/>
      <c r="B5" s="428"/>
      <c r="C5" s="426"/>
      <c r="D5" s="428"/>
      <c r="E5" s="150" t="s">
        <v>133</v>
      </c>
      <c r="F5" s="150" t="s">
        <v>134</v>
      </c>
      <c r="G5" s="150" t="s">
        <v>133</v>
      </c>
      <c r="H5" s="212" t="s">
        <v>127</v>
      </c>
    </row>
    <row r="6" spans="1:8" ht="16.5" customHeight="1" thickBot="1">
      <c r="A6" s="141">
        <v>1</v>
      </c>
      <c r="B6" s="141">
        <v>2</v>
      </c>
      <c r="C6" s="141">
        <v>3</v>
      </c>
      <c r="D6" s="123">
        <v>4</v>
      </c>
      <c r="E6" s="123">
        <v>5</v>
      </c>
      <c r="F6" s="123">
        <v>6</v>
      </c>
      <c r="G6" s="123">
        <v>7</v>
      </c>
      <c r="H6" s="213">
        <v>8</v>
      </c>
    </row>
    <row r="7" spans="1:8" ht="40.5" customHeight="1" thickBot="1">
      <c r="A7" s="140">
        <v>1</v>
      </c>
      <c r="B7" s="86" t="s">
        <v>168</v>
      </c>
      <c r="C7" s="127" t="s">
        <v>360</v>
      </c>
      <c r="D7" s="86" t="s">
        <v>92</v>
      </c>
      <c r="E7" s="153"/>
      <c r="F7" s="132">
        <v>12.1</v>
      </c>
      <c r="G7" s="153"/>
      <c r="H7" s="214"/>
    </row>
    <row r="8" spans="1:9" ht="16.5" customHeight="1">
      <c r="A8" s="102">
        <f>A7+0.1</f>
        <v>1.1</v>
      </c>
      <c r="B8" s="130"/>
      <c r="C8" s="103" t="s">
        <v>93</v>
      </c>
      <c r="D8" s="103" t="s">
        <v>94</v>
      </c>
      <c r="E8" s="105">
        <f>88.7/100</f>
        <v>0.89</v>
      </c>
      <c r="F8" s="105">
        <f>F7*E8</f>
        <v>10.77</v>
      </c>
      <c r="G8" s="118"/>
      <c r="H8" s="215"/>
      <c r="I8" s="93">
        <f>G8*F8</f>
        <v>0</v>
      </c>
    </row>
    <row r="9" spans="1:9" ht="16.5" customHeight="1" thickBot="1">
      <c r="A9" s="123">
        <f>A8+0.1</f>
        <v>1.2</v>
      </c>
      <c r="B9" s="119"/>
      <c r="C9" s="119" t="s">
        <v>95</v>
      </c>
      <c r="D9" s="128" t="s">
        <v>96</v>
      </c>
      <c r="E9" s="158">
        <f>9.84/100</f>
        <v>0.1</v>
      </c>
      <c r="F9" s="158">
        <f>F7*E9</f>
        <v>1.21</v>
      </c>
      <c r="G9" s="158"/>
      <c r="H9" s="216"/>
      <c r="I9" s="93">
        <f aca="true" t="shared" si="0" ref="I9:I69">G9*F9</f>
        <v>0</v>
      </c>
    </row>
    <row r="10" spans="1:9" ht="48" customHeight="1" thickBot="1">
      <c r="A10" s="100">
        <f>A7+1</f>
        <v>2</v>
      </c>
      <c r="B10" s="101" t="s">
        <v>145</v>
      </c>
      <c r="C10" s="101" t="s">
        <v>185</v>
      </c>
      <c r="D10" s="256" t="s">
        <v>92</v>
      </c>
      <c r="E10" s="101"/>
      <c r="F10" s="257">
        <f>F57</f>
        <v>335.4</v>
      </c>
      <c r="G10" s="101"/>
      <c r="H10" s="217"/>
      <c r="I10" s="93">
        <f t="shared" si="0"/>
        <v>0</v>
      </c>
    </row>
    <row r="11" spans="1:9" ht="16.5" customHeight="1" thickBot="1">
      <c r="A11" s="102">
        <f>A10+0.1</f>
        <v>2.1</v>
      </c>
      <c r="B11" s="103"/>
      <c r="C11" s="102" t="s">
        <v>93</v>
      </c>
      <c r="D11" s="103" t="s">
        <v>94</v>
      </c>
      <c r="E11" s="104">
        <f>28.9/100</f>
        <v>0.289</v>
      </c>
      <c r="F11" s="105">
        <f>F10*E11</f>
        <v>96.93</v>
      </c>
      <c r="G11" s="105"/>
      <c r="H11" s="215"/>
      <c r="I11" s="93">
        <f t="shared" si="0"/>
        <v>0</v>
      </c>
    </row>
    <row r="12" spans="1:9" ht="34.5" customHeight="1" thickBot="1">
      <c r="A12" s="468">
        <v>3</v>
      </c>
      <c r="B12" s="86" t="s">
        <v>213</v>
      </c>
      <c r="C12" s="127" t="s">
        <v>210</v>
      </c>
      <c r="D12" s="86" t="s">
        <v>97</v>
      </c>
      <c r="E12" s="153"/>
      <c r="F12" s="132">
        <v>1.9</v>
      </c>
      <c r="G12" s="153"/>
      <c r="H12" s="214"/>
      <c r="I12" s="93">
        <f t="shared" si="0"/>
        <v>0</v>
      </c>
    </row>
    <row r="13" spans="1:9" ht="16.5" customHeight="1">
      <c r="A13" s="469">
        <f>A12+0.1</f>
        <v>3.1</v>
      </c>
      <c r="B13" s="130"/>
      <c r="C13" s="103" t="s">
        <v>93</v>
      </c>
      <c r="D13" s="103" t="s">
        <v>94</v>
      </c>
      <c r="E13" s="105">
        <v>21.1</v>
      </c>
      <c r="F13" s="105">
        <f>F12*E13</f>
        <v>40.09</v>
      </c>
      <c r="G13" s="118"/>
      <c r="H13" s="215"/>
      <c r="I13" s="93">
        <f t="shared" si="0"/>
        <v>0</v>
      </c>
    </row>
    <row r="14" spans="1:9" ht="16.5" customHeight="1" thickBot="1">
      <c r="A14" s="470">
        <f>A13+0.1</f>
        <v>3.2</v>
      </c>
      <c r="B14" s="119"/>
      <c r="C14" s="119" t="s">
        <v>95</v>
      </c>
      <c r="D14" s="128" t="s">
        <v>96</v>
      </c>
      <c r="E14" s="158">
        <v>14.7</v>
      </c>
      <c r="F14" s="158">
        <f>F12*E14</f>
        <v>27.93</v>
      </c>
      <c r="G14" s="158"/>
      <c r="H14" s="216"/>
      <c r="I14" s="93">
        <f t="shared" si="0"/>
        <v>0</v>
      </c>
    </row>
    <row r="15" spans="1:9" ht="52.5" customHeight="1" thickBot="1">
      <c r="A15" s="100">
        <v>4</v>
      </c>
      <c r="B15" s="101" t="s">
        <v>90</v>
      </c>
      <c r="C15" s="101" t="s">
        <v>188</v>
      </c>
      <c r="D15" s="254" t="s">
        <v>140</v>
      </c>
      <c r="E15" s="255"/>
      <c r="F15" s="254">
        <v>100</v>
      </c>
      <c r="G15" s="255"/>
      <c r="H15" s="217"/>
      <c r="I15" s="93">
        <f t="shared" si="0"/>
        <v>0</v>
      </c>
    </row>
    <row r="16" spans="1:9" ht="16.5" customHeight="1" hidden="1">
      <c r="A16" s="102"/>
      <c r="B16" s="130"/>
      <c r="C16" s="103"/>
      <c r="D16" s="118"/>
      <c r="E16" s="118">
        <v>426</v>
      </c>
      <c r="F16" s="118"/>
      <c r="G16" s="118"/>
      <c r="H16" s="215"/>
      <c r="I16" s="93">
        <f t="shared" si="0"/>
        <v>0</v>
      </c>
    </row>
    <row r="17" spans="1:9" ht="16.5" customHeight="1" hidden="1" thickBot="1">
      <c r="A17" s="123"/>
      <c r="B17" s="119"/>
      <c r="C17" s="119"/>
      <c r="D17" s="120"/>
      <c r="E17" s="120">
        <v>217</v>
      </c>
      <c r="F17" s="120"/>
      <c r="G17" s="120"/>
      <c r="H17" s="218"/>
      <c r="I17" s="93">
        <f t="shared" si="0"/>
        <v>0</v>
      </c>
    </row>
    <row r="18" spans="1:9" ht="56.25" customHeight="1" thickBot="1">
      <c r="A18" s="140">
        <f>A15+1</f>
        <v>5</v>
      </c>
      <c r="B18" s="86" t="s">
        <v>89</v>
      </c>
      <c r="C18" s="127" t="s">
        <v>207</v>
      </c>
      <c r="D18" s="129" t="s">
        <v>92</v>
      </c>
      <c r="E18" s="127"/>
      <c r="F18" s="132">
        <f>F115</f>
        <v>455.1</v>
      </c>
      <c r="G18" s="127"/>
      <c r="H18" s="214"/>
      <c r="I18" s="93">
        <f t="shared" si="0"/>
        <v>0</v>
      </c>
    </row>
    <row r="19" spans="1:9" ht="16.5" customHeight="1">
      <c r="A19" s="160">
        <f>A18+0.1</f>
        <v>5.1</v>
      </c>
      <c r="B19" s="130"/>
      <c r="C19" s="103" t="s">
        <v>93</v>
      </c>
      <c r="D19" s="118" t="s">
        <v>94</v>
      </c>
      <c r="E19" s="98">
        <f>18.6/100</f>
        <v>0.186</v>
      </c>
      <c r="F19" s="118">
        <f>F18*E19</f>
        <v>84.65</v>
      </c>
      <c r="G19" s="118"/>
      <c r="H19" s="215"/>
      <c r="I19" s="93">
        <f t="shared" si="0"/>
        <v>0</v>
      </c>
    </row>
    <row r="20" spans="1:9" ht="16.5" customHeight="1" thickBot="1">
      <c r="A20" s="141">
        <f>A19+0.1</f>
        <v>5.2</v>
      </c>
      <c r="B20" s="119"/>
      <c r="C20" s="119" t="s">
        <v>95</v>
      </c>
      <c r="D20" s="120" t="s">
        <v>98</v>
      </c>
      <c r="E20" s="99">
        <f>0.16/100</f>
        <v>0.0016</v>
      </c>
      <c r="F20" s="120">
        <f>F18*E20</f>
        <v>0.73</v>
      </c>
      <c r="G20" s="120"/>
      <c r="H20" s="218"/>
      <c r="I20" s="93">
        <f t="shared" si="0"/>
        <v>0</v>
      </c>
    </row>
    <row r="21" spans="1:9" ht="49.5" customHeight="1" thickBot="1">
      <c r="A21" s="140">
        <v>6</v>
      </c>
      <c r="B21" s="86" t="s">
        <v>169</v>
      </c>
      <c r="C21" s="127" t="s">
        <v>99</v>
      </c>
      <c r="D21" s="86" t="s">
        <v>100</v>
      </c>
      <c r="E21" s="127"/>
      <c r="F21" s="154">
        <f>451*0.01+1.9</f>
        <v>6.41</v>
      </c>
      <c r="G21" s="163"/>
      <c r="H21" s="214"/>
      <c r="I21" s="93">
        <f t="shared" si="0"/>
        <v>0</v>
      </c>
    </row>
    <row r="22" spans="1:9" ht="16.5" customHeight="1" thickBot="1">
      <c r="A22" s="141">
        <f>A21+0.1</f>
        <v>6.1</v>
      </c>
      <c r="B22" s="141"/>
      <c r="C22" s="130" t="s">
        <v>101</v>
      </c>
      <c r="D22" s="131" t="s">
        <v>94</v>
      </c>
      <c r="E22" s="164">
        <f>3.37</f>
        <v>3.37</v>
      </c>
      <c r="F22" s="164">
        <f>F21*E22</f>
        <v>21.6</v>
      </c>
      <c r="G22" s="165"/>
      <c r="H22" s="219"/>
      <c r="I22" s="93">
        <f t="shared" si="0"/>
        <v>0</v>
      </c>
    </row>
    <row r="23" spans="1:9" ht="35.25" customHeight="1" thickBot="1">
      <c r="A23" s="140">
        <f>A21+1</f>
        <v>7</v>
      </c>
      <c r="B23" s="86" t="s">
        <v>170</v>
      </c>
      <c r="C23" s="137" t="s">
        <v>102</v>
      </c>
      <c r="D23" s="138" t="s">
        <v>103</v>
      </c>
      <c r="E23" s="137"/>
      <c r="F23" s="166">
        <f>F21*2.4</f>
        <v>15.38</v>
      </c>
      <c r="G23" s="167"/>
      <c r="H23" s="220"/>
      <c r="I23" s="93">
        <f t="shared" si="0"/>
        <v>0</v>
      </c>
    </row>
    <row r="24" spans="1:9" ht="48" customHeight="1" thickBot="1">
      <c r="A24" s="140">
        <f>A23+1</f>
        <v>8</v>
      </c>
      <c r="B24" s="86" t="s">
        <v>171</v>
      </c>
      <c r="C24" s="127" t="s">
        <v>135</v>
      </c>
      <c r="D24" s="86" t="s">
        <v>97</v>
      </c>
      <c r="E24" s="153"/>
      <c r="F24" s="132">
        <v>4.22</v>
      </c>
      <c r="G24" s="153"/>
      <c r="H24" s="214"/>
      <c r="I24" s="93">
        <f t="shared" si="0"/>
        <v>0</v>
      </c>
    </row>
    <row r="25" spans="1:9" ht="16.5" customHeight="1">
      <c r="A25" s="102">
        <f>A24+0.1</f>
        <v>8.1</v>
      </c>
      <c r="B25" s="258" t="s">
        <v>144</v>
      </c>
      <c r="C25" s="103" t="s">
        <v>93</v>
      </c>
      <c r="D25" s="103" t="s">
        <v>94</v>
      </c>
      <c r="E25" s="118">
        <f>3.36*1.15</f>
        <v>3.86</v>
      </c>
      <c r="F25" s="105">
        <f>F24*E25</f>
        <v>16.29</v>
      </c>
      <c r="G25" s="118"/>
      <c r="H25" s="215"/>
      <c r="I25" s="93">
        <f t="shared" si="0"/>
        <v>0</v>
      </c>
    </row>
    <row r="26" spans="1:9" ht="16.5" customHeight="1">
      <c r="A26" s="122">
        <f>A25+0.1</f>
        <v>8.2</v>
      </c>
      <c r="B26" s="169" t="s">
        <v>144</v>
      </c>
      <c r="C26" s="121" t="s">
        <v>95</v>
      </c>
      <c r="D26" s="121" t="s">
        <v>98</v>
      </c>
      <c r="E26" s="133">
        <f>0.92*1.15</f>
        <v>1.06</v>
      </c>
      <c r="F26" s="133">
        <f>F24*E26</f>
        <v>4.47</v>
      </c>
      <c r="G26" s="133"/>
      <c r="H26" s="221"/>
      <c r="I26" s="93">
        <f t="shared" si="0"/>
        <v>0</v>
      </c>
    </row>
    <row r="27" spans="1:9" ht="16.5" customHeight="1">
      <c r="A27" s="122">
        <f>A26+0.1</f>
        <v>8.3</v>
      </c>
      <c r="B27" s="169"/>
      <c r="C27" s="122" t="s">
        <v>104</v>
      </c>
      <c r="D27" s="122" t="s">
        <v>97</v>
      </c>
      <c r="E27" s="135">
        <f>0.11</f>
        <v>0.11</v>
      </c>
      <c r="F27" s="135">
        <f>F24*E27</f>
        <v>0.46</v>
      </c>
      <c r="G27" s="135"/>
      <c r="H27" s="222"/>
      <c r="I27" s="93">
        <f t="shared" si="0"/>
        <v>0</v>
      </c>
    </row>
    <row r="28" spans="1:9" ht="16.5" customHeight="1">
      <c r="A28" s="122">
        <f>A27+0.1</f>
        <v>8.4</v>
      </c>
      <c r="B28" s="169"/>
      <c r="C28" s="122" t="s">
        <v>146</v>
      </c>
      <c r="D28" s="122" t="s">
        <v>105</v>
      </c>
      <c r="E28" s="171">
        <v>125</v>
      </c>
      <c r="F28" s="171">
        <f>F24*E28</f>
        <v>527.5</v>
      </c>
      <c r="G28" s="135"/>
      <c r="H28" s="222"/>
      <c r="I28" s="93">
        <f t="shared" si="0"/>
        <v>0</v>
      </c>
    </row>
    <row r="29" spans="1:9" ht="23.25" customHeight="1" thickBot="1">
      <c r="A29" s="122">
        <f>A28+0.1</f>
        <v>8.5</v>
      </c>
      <c r="B29" s="172"/>
      <c r="C29" s="123" t="s">
        <v>106</v>
      </c>
      <c r="D29" s="123" t="s">
        <v>107</v>
      </c>
      <c r="E29" s="136">
        <v>0.16</v>
      </c>
      <c r="F29" s="136">
        <f>F24*E29</f>
        <v>0.68</v>
      </c>
      <c r="G29" s="136"/>
      <c r="H29" s="223"/>
      <c r="I29" s="93">
        <f t="shared" si="0"/>
        <v>0</v>
      </c>
    </row>
    <row r="30" spans="1:9" ht="42.75" customHeight="1" thickBot="1">
      <c r="A30" s="298">
        <f>A25+1</f>
        <v>9</v>
      </c>
      <c r="B30" s="306" t="s">
        <v>90</v>
      </c>
      <c r="C30" s="307" t="s">
        <v>91</v>
      </c>
      <c r="D30" s="308" t="s">
        <v>105</v>
      </c>
      <c r="E30" s="300"/>
      <c r="F30" s="309">
        <v>23</v>
      </c>
      <c r="G30" s="310"/>
      <c r="H30" s="311"/>
      <c r="I30" s="93">
        <f t="shared" si="0"/>
        <v>0</v>
      </c>
    </row>
    <row r="31" spans="1:9" ht="57" customHeight="1" thickBot="1">
      <c r="A31" s="298">
        <f>A30+1</f>
        <v>10</v>
      </c>
      <c r="B31" s="306" t="s">
        <v>90</v>
      </c>
      <c r="C31" s="307" t="s">
        <v>361</v>
      </c>
      <c r="D31" s="308" t="s">
        <v>105</v>
      </c>
      <c r="E31" s="300"/>
      <c r="F31" s="309">
        <v>1</v>
      </c>
      <c r="G31" s="310"/>
      <c r="H31" s="311"/>
      <c r="I31" s="93">
        <f t="shared" si="0"/>
        <v>0</v>
      </c>
    </row>
    <row r="32" spans="1:9" ht="51.75" customHeight="1" thickBot="1">
      <c r="A32" s="298">
        <f>A31+1</f>
        <v>11</v>
      </c>
      <c r="B32" s="306" t="s">
        <v>90</v>
      </c>
      <c r="C32" s="307" t="s">
        <v>292</v>
      </c>
      <c r="D32" s="308" t="s">
        <v>92</v>
      </c>
      <c r="E32" s="300"/>
      <c r="F32" s="309">
        <v>28</v>
      </c>
      <c r="G32" s="310"/>
      <c r="H32" s="311"/>
      <c r="I32" s="93">
        <f t="shared" si="0"/>
        <v>0</v>
      </c>
    </row>
    <row r="33" spans="1:9" ht="60.75" customHeight="1" thickBot="1">
      <c r="A33" s="174">
        <f>A32+1</f>
        <v>12</v>
      </c>
      <c r="B33" s="86" t="s">
        <v>90</v>
      </c>
      <c r="C33" s="127" t="s">
        <v>293</v>
      </c>
      <c r="D33" s="132" t="s">
        <v>92</v>
      </c>
      <c r="E33" s="124"/>
      <c r="F33" s="132">
        <f>0.9*2+0.9*2.3</f>
        <v>3.87</v>
      </c>
      <c r="G33" s="176"/>
      <c r="H33" s="214"/>
      <c r="I33" s="93">
        <f t="shared" si="0"/>
        <v>0</v>
      </c>
    </row>
    <row r="34" spans="1:9" ht="60.75" customHeight="1" thickBot="1">
      <c r="A34" s="174">
        <f>A33+1</f>
        <v>13</v>
      </c>
      <c r="B34" s="86" t="s">
        <v>173</v>
      </c>
      <c r="C34" s="127" t="s">
        <v>291</v>
      </c>
      <c r="D34" s="132" t="s">
        <v>92</v>
      </c>
      <c r="E34" s="124"/>
      <c r="F34" s="132">
        <f>0.9*2.3*1+1.4*2.4</f>
        <v>5.43</v>
      </c>
      <c r="G34" s="153"/>
      <c r="H34" s="214"/>
      <c r="I34" s="93">
        <f t="shared" si="0"/>
        <v>0</v>
      </c>
    </row>
    <row r="35" spans="1:9" ht="60.75" customHeight="1" thickBot="1">
      <c r="A35" s="174">
        <f>A34+1</f>
        <v>14</v>
      </c>
      <c r="B35" s="86" t="s">
        <v>172</v>
      </c>
      <c r="C35" s="127" t="s">
        <v>139</v>
      </c>
      <c r="D35" s="86" t="s">
        <v>92</v>
      </c>
      <c r="E35" s="127"/>
      <c r="F35" s="154">
        <f>F34*2</f>
        <v>10.86</v>
      </c>
      <c r="G35" s="127"/>
      <c r="H35" s="214"/>
      <c r="I35" s="93">
        <f t="shared" si="0"/>
        <v>0</v>
      </c>
    </row>
    <row r="36" spans="1:9" ht="19.5" customHeight="1">
      <c r="A36" s="177">
        <f>A35+0.1</f>
        <v>14.1</v>
      </c>
      <c r="B36" s="178"/>
      <c r="C36" s="103" t="s">
        <v>93</v>
      </c>
      <c r="D36" s="103" t="s">
        <v>94</v>
      </c>
      <c r="E36" s="118">
        <f>65.8/100</f>
        <v>0.66</v>
      </c>
      <c r="F36" s="105">
        <f>F35*E36</f>
        <v>7.17</v>
      </c>
      <c r="G36" s="118"/>
      <c r="H36" s="215"/>
      <c r="I36" s="93">
        <f t="shared" si="0"/>
        <v>0</v>
      </c>
    </row>
    <row r="37" spans="1:9" ht="21.75" customHeight="1">
      <c r="A37" s="177">
        <f>A36+0.1</f>
        <v>14.2</v>
      </c>
      <c r="B37" s="134"/>
      <c r="C37" s="121" t="s">
        <v>95</v>
      </c>
      <c r="D37" s="121" t="s">
        <v>98</v>
      </c>
      <c r="E37" s="133">
        <v>0.01</v>
      </c>
      <c r="F37" s="170">
        <f>F35*E37</f>
        <v>0.11</v>
      </c>
      <c r="G37" s="170"/>
      <c r="H37" s="221"/>
      <c r="I37" s="93">
        <f t="shared" si="0"/>
        <v>0</v>
      </c>
    </row>
    <row r="38" spans="1:9" ht="21.75" customHeight="1">
      <c r="A38" s="177">
        <f>A37+0.1</f>
        <v>14.3</v>
      </c>
      <c r="B38" s="134"/>
      <c r="C38" s="122" t="s">
        <v>108</v>
      </c>
      <c r="D38" s="122" t="s">
        <v>109</v>
      </c>
      <c r="E38" s="135" t="s">
        <v>19</v>
      </c>
      <c r="F38" s="171">
        <f>F35*0.15*1.1</f>
        <v>1.79</v>
      </c>
      <c r="G38" s="179"/>
      <c r="H38" s="222"/>
      <c r="I38" s="93">
        <f t="shared" si="0"/>
        <v>0</v>
      </c>
    </row>
    <row r="39" spans="1:9" ht="21.75" customHeight="1">
      <c r="A39" s="177">
        <f>A38+0.1</f>
        <v>14.4</v>
      </c>
      <c r="B39" s="134"/>
      <c r="C39" s="122" t="s">
        <v>110</v>
      </c>
      <c r="D39" s="122" t="s">
        <v>109</v>
      </c>
      <c r="E39" s="135" t="s">
        <v>19</v>
      </c>
      <c r="F39" s="171">
        <f>F35*0.15*1.1</f>
        <v>1.79</v>
      </c>
      <c r="G39" s="179"/>
      <c r="H39" s="222"/>
      <c r="I39" s="93">
        <f t="shared" si="0"/>
        <v>0</v>
      </c>
    </row>
    <row r="40" spans="1:9" ht="21.75" customHeight="1" thickBot="1">
      <c r="A40" s="177">
        <f>A39+0.1</f>
        <v>14.5</v>
      </c>
      <c r="B40" s="128"/>
      <c r="C40" s="123" t="s">
        <v>106</v>
      </c>
      <c r="D40" s="123" t="s">
        <v>98</v>
      </c>
      <c r="E40" s="180">
        <f>1.6/100</f>
        <v>0.016</v>
      </c>
      <c r="F40" s="171">
        <f>F35*E40</f>
        <v>0.17</v>
      </c>
      <c r="G40" s="123"/>
      <c r="H40" s="223"/>
      <c r="I40" s="93">
        <f t="shared" si="0"/>
        <v>0</v>
      </c>
    </row>
    <row r="41" spans="1:9" ht="63" customHeight="1" thickBot="1">
      <c r="A41" s="174">
        <f>A39+1</f>
        <v>15</v>
      </c>
      <c r="B41" s="86" t="s">
        <v>172</v>
      </c>
      <c r="C41" s="127" t="s">
        <v>248</v>
      </c>
      <c r="D41" s="86" t="s">
        <v>92</v>
      </c>
      <c r="E41" s="127"/>
      <c r="F41" s="154">
        <f>6</f>
        <v>6</v>
      </c>
      <c r="G41" s="127"/>
      <c r="H41" s="214"/>
      <c r="I41" s="93">
        <f t="shared" si="0"/>
        <v>0</v>
      </c>
    </row>
    <row r="42" spans="1:9" ht="21.75" customHeight="1">
      <c r="A42" s="177">
        <f>A41+0.1</f>
        <v>15.1</v>
      </c>
      <c r="B42" s="178"/>
      <c r="C42" s="103" t="s">
        <v>93</v>
      </c>
      <c r="D42" s="103" t="s">
        <v>94</v>
      </c>
      <c r="E42" s="118">
        <f>65.8/100</f>
        <v>0.66</v>
      </c>
      <c r="F42" s="105">
        <f>F41*E42</f>
        <v>3.96</v>
      </c>
      <c r="G42" s="118"/>
      <c r="H42" s="215"/>
      <c r="I42" s="93">
        <f t="shared" si="0"/>
        <v>0</v>
      </c>
    </row>
    <row r="43" spans="1:9" ht="21.75" customHeight="1">
      <c r="A43" s="177">
        <f>A42+0.1</f>
        <v>15.2</v>
      </c>
      <c r="B43" s="134"/>
      <c r="C43" s="121" t="s">
        <v>95</v>
      </c>
      <c r="D43" s="121" t="s">
        <v>98</v>
      </c>
      <c r="E43" s="133">
        <v>0.01</v>
      </c>
      <c r="F43" s="170">
        <f>F41*E43</f>
        <v>0.06</v>
      </c>
      <c r="G43" s="170"/>
      <c r="H43" s="221"/>
      <c r="I43" s="93">
        <f t="shared" si="0"/>
        <v>0</v>
      </c>
    </row>
    <row r="44" spans="1:9" ht="21.75" customHeight="1">
      <c r="A44" s="177">
        <f>A43+0.1</f>
        <v>15.3</v>
      </c>
      <c r="B44" s="134"/>
      <c r="C44" s="122" t="s">
        <v>108</v>
      </c>
      <c r="D44" s="122" t="s">
        <v>109</v>
      </c>
      <c r="E44" s="135" t="s">
        <v>19</v>
      </c>
      <c r="F44" s="171">
        <f>F41*0.15*1.1</f>
        <v>0.99</v>
      </c>
      <c r="G44" s="179"/>
      <c r="H44" s="222"/>
      <c r="I44" s="93">
        <f t="shared" si="0"/>
        <v>0</v>
      </c>
    </row>
    <row r="45" spans="1:9" ht="21.75" customHeight="1">
      <c r="A45" s="177">
        <f>A44+0.1</f>
        <v>15.4</v>
      </c>
      <c r="B45" s="134"/>
      <c r="C45" s="122" t="s">
        <v>110</v>
      </c>
      <c r="D45" s="122" t="s">
        <v>109</v>
      </c>
      <c r="E45" s="135" t="s">
        <v>19</v>
      </c>
      <c r="F45" s="171">
        <f>F41*0.15*1.1</f>
        <v>0.99</v>
      </c>
      <c r="G45" s="179"/>
      <c r="H45" s="222"/>
      <c r="I45" s="93">
        <f t="shared" si="0"/>
        <v>0</v>
      </c>
    </row>
    <row r="46" spans="1:9" ht="21.75" customHeight="1" thickBot="1">
      <c r="A46" s="177">
        <f>A45+0.1</f>
        <v>15.5</v>
      </c>
      <c r="B46" s="128"/>
      <c r="C46" s="123" t="s">
        <v>106</v>
      </c>
      <c r="D46" s="123" t="s">
        <v>98</v>
      </c>
      <c r="E46" s="180">
        <f>1.6/100</f>
        <v>0.016</v>
      </c>
      <c r="F46" s="171">
        <f>F41*E46</f>
        <v>0.1</v>
      </c>
      <c r="G46" s="123"/>
      <c r="H46" s="223"/>
      <c r="I46" s="93">
        <f t="shared" si="0"/>
        <v>0</v>
      </c>
    </row>
    <row r="47" spans="1:9" ht="13.5" customHeight="1" thickBot="1">
      <c r="A47" s="181"/>
      <c r="B47" s="182"/>
      <c r="C47" s="124" t="s">
        <v>154</v>
      </c>
      <c r="D47" s="124"/>
      <c r="E47" s="183"/>
      <c r="F47" s="183"/>
      <c r="G47" s="124"/>
      <c r="H47" s="208"/>
      <c r="I47" s="93">
        <f t="shared" si="0"/>
        <v>0</v>
      </c>
    </row>
    <row r="48" spans="1:9" ht="42.75" customHeight="1" thickBot="1">
      <c r="A48" s="174">
        <f>A41+1</f>
        <v>16</v>
      </c>
      <c r="B48" s="86" t="s">
        <v>174</v>
      </c>
      <c r="C48" s="127" t="s">
        <v>155</v>
      </c>
      <c r="D48" s="132" t="s">
        <v>97</v>
      </c>
      <c r="E48" s="153"/>
      <c r="F48" s="132">
        <v>0.7</v>
      </c>
      <c r="G48" s="184"/>
      <c r="H48" s="214"/>
      <c r="I48" s="93">
        <f t="shared" si="0"/>
        <v>0</v>
      </c>
    </row>
    <row r="49" spans="1:9" ht="19.5" customHeight="1">
      <c r="A49" s="102">
        <f aca="true" t="shared" si="1" ref="A49:A56">A48+0.1</f>
        <v>16.1</v>
      </c>
      <c r="B49" s="185"/>
      <c r="C49" s="103" t="s">
        <v>93</v>
      </c>
      <c r="D49" s="118" t="s">
        <v>94</v>
      </c>
      <c r="E49" s="118">
        <v>1.37</v>
      </c>
      <c r="F49" s="118">
        <f>F48*E49</f>
        <v>0.96</v>
      </c>
      <c r="G49" s="118"/>
      <c r="H49" s="215"/>
      <c r="I49" s="93">
        <f t="shared" si="0"/>
        <v>0</v>
      </c>
    </row>
    <row r="50" spans="1:9" ht="19.5" customHeight="1">
      <c r="A50" s="122">
        <f t="shared" si="1"/>
        <v>16.2</v>
      </c>
      <c r="B50" s="169"/>
      <c r="C50" s="121" t="s">
        <v>95</v>
      </c>
      <c r="D50" s="133" t="s">
        <v>98</v>
      </c>
      <c r="E50" s="133">
        <f>28.3/100</f>
        <v>0.28</v>
      </c>
      <c r="F50" s="133">
        <f>F48*E50</f>
        <v>0.2</v>
      </c>
      <c r="G50" s="133"/>
      <c r="H50" s="221"/>
      <c r="I50" s="93">
        <f t="shared" si="0"/>
        <v>0</v>
      </c>
    </row>
    <row r="51" spans="1:9" ht="19.5" customHeight="1">
      <c r="A51" s="122">
        <f t="shared" si="1"/>
        <v>16.3</v>
      </c>
      <c r="B51" s="169"/>
      <c r="C51" s="134" t="s">
        <v>111</v>
      </c>
      <c r="D51" s="134" t="s">
        <v>100</v>
      </c>
      <c r="E51" s="134">
        <f>101.5/100</f>
        <v>1.015</v>
      </c>
      <c r="F51" s="186">
        <f>E51*F48</f>
        <v>0.71</v>
      </c>
      <c r="G51" s="186"/>
      <c r="H51" s="224"/>
      <c r="I51" s="93">
        <f t="shared" si="0"/>
        <v>0</v>
      </c>
    </row>
    <row r="52" spans="1:9" ht="19.5" customHeight="1">
      <c r="A52" s="122">
        <f t="shared" si="1"/>
        <v>16.4</v>
      </c>
      <c r="B52" s="169"/>
      <c r="C52" s="122" t="s">
        <v>153</v>
      </c>
      <c r="D52" s="135" t="s">
        <v>97</v>
      </c>
      <c r="E52" s="135">
        <v>1.02</v>
      </c>
      <c r="F52" s="135">
        <f>F48*E52</f>
        <v>0.71</v>
      </c>
      <c r="G52" s="135"/>
      <c r="H52" s="222"/>
      <c r="I52" s="93">
        <f t="shared" si="0"/>
        <v>0</v>
      </c>
    </row>
    <row r="53" spans="1:9" ht="19.5" customHeight="1">
      <c r="A53" s="122">
        <f t="shared" si="1"/>
        <v>16.5</v>
      </c>
      <c r="B53" s="172"/>
      <c r="C53" s="123" t="s">
        <v>156</v>
      </c>
      <c r="D53" s="136" t="s">
        <v>109</v>
      </c>
      <c r="E53" s="136">
        <f>7760/100</f>
        <v>77.6</v>
      </c>
      <c r="F53" s="136">
        <f>F48*E53</f>
        <v>54.32</v>
      </c>
      <c r="G53" s="136"/>
      <c r="H53" s="222"/>
      <c r="I53" s="93">
        <f t="shared" si="0"/>
        <v>0</v>
      </c>
    </row>
    <row r="54" spans="1:9" ht="19.5" customHeight="1">
      <c r="A54" s="122">
        <f t="shared" si="1"/>
        <v>16.6</v>
      </c>
      <c r="B54" s="172"/>
      <c r="C54" s="123" t="s">
        <v>157</v>
      </c>
      <c r="D54" s="136" t="s">
        <v>92</v>
      </c>
      <c r="E54" s="136">
        <v>1.37</v>
      </c>
      <c r="F54" s="136">
        <f>F48*E54</f>
        <v>0.96</v>
      </c>
      <c r="G54" s="136"/>
      <c r="H54" s="222"/>
      <c r="I54" s="93">
        <f t="shared" si="0"/>
        <v>0</v>
      </c>
    </row>
    <row r="55" spans="1:9" ht="19.5" customHeight="1">
      <c r="A55" s="122">
        <f t="shared" si="1"/>
        <v>16.7</v>
      </c>
      <c r="B55" s="172"/>
      <c r="C55" s="123" t="s">
        <v>147</v>
      </c>
      <c r="D55" s="136" t="s">
        <v>97</v>
      </c>
      <c r="E55" s="188">
        <f>3.66/100</f>
        <v>0.0366</v>
      </c>
      <c r="F55" s="136">
        <f>F48*E55</f>
        <v>0.03</v>
      </c>
      <c r="G55" s="136"/>
      <c r="H55" s="222"/>
      <c r="I55" s="93">
        <f t="shared" si="0"/>
        <v>0</v>
      </c>
    </row>
    <row r="56" spans="1:9" ht="19.5" customHeight="1" thickBot="1">
      <c r="A56" s="122">
        <f t="shared" si="1"/>
        <v>16.8</v>
      </c>
      <c r="B56" s="172"/>
      <c r="C56" s="123" t="s">
        <v>106</v>
      </c>
      <c r="D56" s="136" t="s">
        <v>98</v>
      </c>
      <c r="E56" s="136">
        <v>0.62</v>
      </c>
      <c r="F56" s="136">
        <f>F48*E56</f>
        <v>0.43</v>
      </c>
      <c r="G56" s="136"/>
      <c r="H56" s="222"/>
      <c r="I56" s="93">
        <f t="shared" si="0"/>
        <v>0</v>
      </c>
    </row>
    <row r="57" spans="1:9" ht="40.5" customHeight="1" thickBot="1">
      <c r="A57" s="174">
        <f>A48+1</f>
        <v>17</v>
      </c>
      <c r="B57" s="86" t="s">
        <v>175</v>
      </c>
      <c r="C57" s="127" t="s">
        <v>215</v>
      </c>
      <c r="D57" s="132" t="s">
        <v>92</v>
      </c>
      <c r="E57" s="153"/>
      <c r="F57" s="175">
        <f>F69+F80</f>
        <v>335.4</v>
      </c>
      <c r="G57" s="184"/>
      <c r="H57" s="214"/>
      <c r="I57" s="93">
        <f t="shared" si="0"/>
        <v>0</v>
      </c>
    </row>
    <row r="58" spans="1:9" ht="19.5" customHeight="1">
      <c r="A58" s="177">
        <f>A57+0.1</f>
        <v>17.1</v>
      </c>
      <c r="B58" s="258"/>
      <c r="C58" s="103" t="s">
        <v>93</v>
      </c>
      <c r="D58" s="118" t="s">
        <v>94</v>
      </c>
      <c r="E58" s="118">
        <f>19.48/100</f>
        <v>0.19</v>
      </c>
      <c r="F58" s="118">
        <f>F57*E58</f>
        <v>63.73</v>
      </c>
      <c r="G58" s="118"/>
      <c r="H58" s="215"/>
      <c r="I58" s="93">
        <f t="shared" si="0"/>
        <v>0</v>
      </c>
    </row>
    <row r="59" spans="1:9" ht="19.5" customHeight="1">
      <c r="A59" s="179">
        <f>A58+0.1</f>
        <v>17.2</v>
      </c>
      <c r="B59" s="169"/>
      <c r="C59" s="121" t="s">
        <v>95</v>
      </c>
      <c r="D59" s="133" t="s">
        <v>98</v>
      </c>
      <c r="E59" s="133">
        <f>0.95/100</f>
        <v>0.01</v>
      </c>
      <c r="F59" s="133">
        <f>F57*E59</f>
        <v>3.35</v>
      </c>
      <c r="G59" s="133"/>
      <c r="H59" s="221"/>
      <c r="I59" s="93">
        <f t="shared" si="0"/>
        <v>0</v>
      </c>
    </row>
    <row r="60" spans="1:9" ht="19.5" customHeight="1">
      <c r="A60" s="179">
        <f>A59+0.1</f>
        <v>17.3</v>
      </c>
      <c r="B60" s="169"/>
      <c r="C60" s="122" t="s">
        <v>112</v>
      </c>
      <c r="D60" s="135" t="s">
        <v>97</v>
      </c>
      <c r="E60" s="180">
        <f>2.04/100+0.51*4/100</f>
        <v>0.0408</v>
      </c>
      <c r="F60" s="135">
        <f>F57*E60</f>
        <v>13.68</v>
      </c>
      <c r="G60" s="135"/>
      <c r="H60" s="222"/>
      <c r="I60" s="93">
        <f t="shared" si="0"/>
        <v>0</v>
      </c>
    </row>
    <row r="61" spans="1:9" ht="19.5" customHeight="1">
      <c r="A61" s="179">
        <f>A60+0.1</f>
        <v>17.4</v>
      </c>
      <c r="B61" s="172"/>
      <c r="C61" s="123" t="s">
        <v>209</v>
      </c>
      <c r="D61" s="136"/>
      <c r="E61" s="136"/>
      <c r="F61" s="136">
        <f>F57</f>
        <v>335.4</v>
      </c>
      <c r="G61" s="136"/>
      <c r="H61" s="222"/>
      <c r="I61" s="93">
        <f t="shared" si="0"/>
        <v>0</v>
      </c>
    </row>
    <row r="62" spans="1:9" ht="19.5" customHeight="1" thickBot="1">
      <c r="A62" s="190">
        <f>A61+0.1</f>
        <v>17.5</v>
      </c>
      <c r="B62" s="172"/>
      <c r="C62" s="123" t="s">
        <v>106</v>
      </c>
      <c r="D62" s="136" t="s">
        <v>98</v>
      </c>
      <c r="E62" s="188">
        <f>6.36/100</f>
        <v>0.0636</v>
      </c>
      <c r="F62" s="136">
        <f>F57*E62</f>
        <v>21.33</v>
      </c>
      <c r="G62" s="136"/>
      <c r="H62" s="223"/>
      <c r="I62" s="93">
        <f t="shared" si="0"/>
        <v>0</v>
      </c>
    </row>
    <row r="63" spans="1:9" ht="44.25" customHeight="1" thickBot="1">
      <c r="A63" s="382">
        <v>17</v>
      </c>
      <c r="B63" s="368" t="s">
        <v>315</v>
      </c>
      <c r="C63" s="364" t="s">
        <v>362</v>
      </c>
      <c r="D63" s="363" t="s">
        <v>11</v>
      </c>
      <c r="E63" s="369"/>
      <c r="F63" s="370">
        <v>286.8</v>
      </c>
      <c r="G63" s="371"/>
      <c r="H63" s="372"/>
      <c r="I63" s="93">
        <f t="shared" si="0"/>
        <v>0</v>
      </c>
    </row>
    <row r="64" spans="1:9" ht="23.25" customHeight="1">
      <c r="A64" s="375">
        <v>17.1</v>
      </c>
      <c r="B64" s="376"/>
      <c r="C64" s="365" t="s">
        <v>17</v>
      </c>
      <c r="D64" s="366" t="s">
        <v>32</v>
      </c>
      <c r="E64" s="366">
        <f>93.7/100</f>
        <v>0.94</v>
      </c>
      <c r="F64" s="118">
        <f>F63*E64</f>
        <v>269.59</v>
      </c>
      <c r="G64" s="366"/>
      <c r="H64" s="367"/>
      <c r="I64" s="93">
        <f t="shared" si="0"/>
        <v>0</v>
      </c>
    </row>
    <row r="65" spans="1:9" ht="23.25" customHeight="1">
      <c r="A65" s="375">
        <v>17.2</v>
      </c>
      <c r="B65" s="377"/>
      <c r="C65" s="373" t="s">
        <v>1</v>
      </c>
      <c r="D65" s="374" t="s">
        <v>22</v>
      </c>
      <c r="E65" s="374">
        <f>1.38/100</f>
        <v>0.01</v>
      </c>
      <c r="F65" s="133">
        <f>F63*E65</f>
        <v>2.87</v>
      </c>
      <c r="G65" s="374"/>
      <c r="H65" s="367"/>
      <c r="I65" s="93">
        <f t="shared" si="0"/>
        <v>0</v>
      </c>
    </row>
    <row r="66" spans="1:9" ht="23.25" customHeight="1">
      <c r="A66" s="375">
        <v>17.3</v>
      </c>
      <c r="B66" s="377"/>
      <c r="C66" s="378" t="s">
        <v>316</v>
      </c>
      <c r="D66" s="378" t="s">
        <v>18</v>
      </c>
      <c r="E66" s="379">
        <v>1.1</v>
      </c>
      <c r="F66" s="135">
        <f>F63*E66</f>
        <v>315.48</v>
      </c>
      <c r="G66" s="379"/>
      <c r="H66" s="367"/>
      <c r="I66" s="93">
        <f t="shared" si="0"/>
        <v>0</v>
      </c>
    </row>
    <row r="67" spans="1:9" ht="23.25" customHeight="1">
      <c r="A67" s="375">
        <v>17.4</v>
      </c>
      <c r="B67" s="377"/>
      <c r="C67" s="378" t="s">
        <v>317</v>
      </c>
      <c r="D67" s="378" t="s">
        <v>318</v>
      </c>
      <c r="E67" s="379">
        <v>0.02</v>
      </c>
      <c r="F67" s="379">
        <f>F63*E67</f>
        <v>5.74</v>
      </c>
      <c r="G67" s="379"/>
      <c r="H67" s="367"/>
      <c r="I67" s="93">
        <f t="shared" si="0"/>
        <v>0</v>
      </c>
    </row>
    <row r="68" spans="1:9" ht="23.25" customHeight="1" thickBot="1">
      <c r="A68" s="375">
        <v>17.5</v>
      </c>
      <c r="B68" s="380"/>
      <c r="C68" s="362" t="s">
        <v>2</v>
      </c>
      <c r="D68" s="362" t="s">
        <v>22</v>
      </c>
      <c r="E68" s="381">
        <v>0.16</v>
      </c>
      <c r="F68" s="381">
        <f>F63*E68</f>
        <v>45.89</v>
      </c>
      <c r="G68" s="381"/>
      <c r="H68" s="367"/>
      <c r="I68" s="93">
        <f t="shared" si="0"/>
        <v>0</v>
      </c>
    </row>
    <row r="69" spans="1:9" ht="70.5" customHeight="1" thickBot="1">
      <c r="A69" s="174">
        <f>A63+1</f>
        <v>18</v>
      </c>
      <c r="B69" s="86" t="s">
        <v>176</v>
      </c>
      <c r="C69" s="127" t="s">
        <v>148</v>
      </c>
      <c r="D69" s="132" t="s">
        <v>92</v>
      </c>
      <c r="E69" s="153"/>
      <c r="F69" s="132">
        <v>302</v>
      </c>
      <c r="G69" s="153"/>
      <c r="H69" s="214"/>
      <c r="I69" s="93">
        <f t="shared" si="0"/>
        <v>0</v>
      </c>
    </row>
    <row r="70" spans="1:9" ht="19.5" customHeight="1">
      <c r="A70" s="102">
        <f>A69+0.1</f>
        <v>18.1</v>
      </c>
      <c r="B70" s="103"/>
      <c r="C70" s="103" t="s">
        <v>93</v>
      </c>
      <c r="D70" s="118" t="s">
        <v>94</v>
      </c>
      <c r="E70" s="105">
        <f>1.08</f>
        <v>1.08</v>
      </c>
      <c r="F70" s="105">
        <f>F69*E70</f>
        <v>326.16</v>
      </c>
      <c r="G70" s="118"/>
      <c r="H70" s="215"/>
      <c r="I70" s="93">
        <f aca="true" t="shared" si="2" ref="I70:I127">G70*F70</f>
        <v>0</v>
      </c>
    </row>
    <row r="71" spans="1:9" ht="19.5" customHeight="1">
      <c r="A71" s="122">
        <f>A70+0.1</f>
        <v>18.2</v>
      </c>
      <c r="B71" s="121"/>
      <c r="C71" s="121" t="s">
        <v>95</v>
      </c>
      <c r="D71" s="133" t="s">
        <v>98</v>
      </c>
      <c r="E71" s="189">
        <f>4.52/100</f>
        <v>0.045</v>
      </c>
      <c r="F71" s="133">
        <f>F69*E71</f>
        <v>13.59</v>
      </c>
      <c r="G71" s="133"/>
      <c r="H71" s="221"/>
      <c r="I71" s="93">
        <f t="shared" si="2"/>
        <v>0</v>
      </c>
    </row>
    <row r="72" spans="1:9" ht="29.25" customHeight="1">
      <c r="A72" s="122">
        <f>A71+0.1</f>
        <v>18.3</v>
      </c>
      <c r="B72" s="122"/>
      <c r="C72" s="122" t="s">
        <v>183</v>
      </c>
      <c r="D72" s="135" t="s">
        <v>92</v>
      </c>
      <c r="E72" s="135">
        <v>1.02</v>
      </c>
      <c r="F72" s="135">
        <f>F69*E72</f>
        <v>308.04</v>
      </c>
      <c r="G72" s="135"/>
      <c r="H72" s="222"/>
      <c r="I72" s="93">
        <f t="shared" si="2"/>
        <v>0</v>
      </c>
    </row>
    <row r="73" spans="1:9" ht="19.5" customHeight="1">
      <c r="A73" s="122">
        <f>A72+0.1</f>
        <v>18.4</v>
      </c>
      <c r="B73" s="122"/>
      <c r="C73" s="122" t="s">
        <v>113</v>
      </c>
      <c r="D73" s="135" t="s">
        <v>109</v>
      </c>
      <c r="E73" s="135" t="s">
        <v>19</v>
      </c>
      <c r="F73" s="135">
        <f>F69*4.6</f>
        <v>1389.2</v>
      </c>
      <c r="G73" s="135"/>
      <c r="H73" s="222"/>
      <c r="I73" s="93">
        <f t="shared" si="2"/>
        <v>0</v>
      </c>
    </row>
    <row r="74" spans="1:9" ht="22.5" customHeight="1" thickBot="1">
      <c r="A74" s="123">
        <f>A73+0.1</f>
        <v>18.5</v>
      </c>
      <c r="B74" s="123"/>
      <c r="C74" s="123" t="s">
        <v>106</v>
      </c>
      <c r="D74" s="136" t="s">
        <v>98</v>
      </c>
      <c r="E74" s="188">
        <f>4.66/100</f>
        <v>0.0466</v>
      </c>
      <c r="F74" s="136">
        <f>F69*E74</f>
        <v>14.07</v>
      </c>
      <c r="G74" s="136"/>
      <c r="H74" s="223"/>
      <c r="I74" s="93">
        <f t="shared" si="2"/>
        <v>0</v>
      </c>
    </row>
    <row r="75" spans="1:9" ht="56.25" customHeight="1" thickBot="1">
      <c r="A75" s="174">
        <f>A69+1</f>
        <v>19</v>
      </c>
      <c r="B75" s="86" t="s">
        <v>177</v>
      </c>
      <c r="C75" s="127" t="s">
        <v>158</v>
      </c>
      <c r="D75" s="86" t="s">
        <v>140</v>
      </c>
      <c r="E75" s="127"/>
      <c r="F75" s="86">
        <v>142.2</v>
      </c>
      <c r="G75" s="127"/>
      <c r="H75" s="214"/>
      <c r="I75" s="93">
        <f t="shared" si="2"/>
        <v>0</v>
      </c>
    </row>
    <row r="76" spans="1:9" ht="19.5" customHeight="1">
      <c r="A76" s="102">
        <f>A75+0.1</f>
        <v>19.1</v>
      </c>
      <c r="B76" s="259"/>
      <c r="C76" s="103" t="s">
        <v>93</v>
      </c>
      <c r="D76" s="118" t="s">
        <v>94</v>
      </c>
      <c r="E76" s="260">
        <f>26.9/100</f>
        <v>0.269</v>
      </c>
      <c r="F76" s="105">
        <f>F75*E76</f>
        <v>38.25</v>
      </c>
      <c r="G76" s="118"/>
      <c r="H76" s="215"/>
      <c r="I76" s="93">
        <f t="shared" si="2"/>
        <v>0</v>
      </c>
    </row>
    <row r="77" spans="1:9" ht="19.5" customHeight="1">
      <c r="A77" s="122">
        <f>A76+0.1</f>
        <v>19.2</v>
      </c>
      <c r="B77" s="121"/>
      <c r="C77" s="121" t="s">
        <v>95</v>
      </c>
      <c r="D77" s="133" t="s">
        <v>98</v>
      </c>
      <c r="E77" s="261">
        <f>1.16/100</f>
        <v>0.0116</v>
      </c>
      <c r="F77" s="133">
        <f>F75*E77</f>
        <v>1.65</v>
      </c>
      <c r="G77" s="133"/>
      <c r="H77" s="221"/>
      <c r="I77" s="93">
        <f t="shared" si="2"/>
        <v>0</v>
      </c>
    </row>
    <row r="78" spans="1:9" ht="35.25" customHeight="1">
      <c r="A78" s="102">
        <f>A77+0.1</f>
        <v>19.3</v>
      </c>
      <c r="B78" s="169"/>
      <c r="C78" s="122" t="s">
        <v>218</v>
      </c>
      <c r="D78" s="135" t="s">
        <v>92</v>
      </c>
      <c r="E78" s="191">
        <f>15.7/100</f>
        <v>0.157</v>
      </c>
      <c r="F78" s="135">
        <f>F75*E78</f>
        <v>22.33</v>
      </c>
      <c r="G78" s="135"/>
      <c r="H78" s="222"/>
      <c r="I78" s="93">
        <f t="shared" si="2"/>
        <v>0</v>
      </c>
    </row>
    <row r="79" spans="1:9" ht="19.5" customHeight="1" thickBot="1">
      <c r="A79" s="122">
        <f>A78+0.1</f>
        <v>19.4</v>
      </c>
      <c r="B79" s="172"/>
      <c r="C79" s="122" t="s">
        <v>113</v>
      </c>
      <c r="D79" s="135" t="s">
        <v>109</v>
      </c>
      <c r="E79" s="135" t="s">
        <v>19</v>
      </c>
      <c r="F79" s="135">
        <f>F78*6</f>
        <v>133.98</v>
      </c>
      <c r="G79" s="135"/>
      <c r="H79" s="222"/>
      <c r="I79" s="93">
        <f t="shared" si="2"/>
        <v>0</v>
      </c>
    </row>
    <row r="80" spans="1:9" ht="44.25" customHeight="1" thickBot="1">
      <c r="A80" s="174">
        <f>A75+1</f>
        <v>20</v>
      </c>
      <c r="B80" s="86" t="s">
        <v>178</v>
      </c>
      <c r="C80" s="127" t="s">
        <v>114</v>
      </c>
      <c r="D80" s="132" t="s">
        <v>92</v>
      </c>
      <c r="E80" s="153"/>
      <c r="F80" s="132">
        <v>33.44</v>
      </c>
      <c r="G80" s="153"/>
      <c r="H80" s="214"/>
      <c r="I80" s="93">
        <f t="shared" si="2"/>
        <v>0</v>
      </c>
    </row>
    <row r="81" spans="1:9" ht="16.5" customHeight="1">
      <c r="A81" s="177">
        <f>A80+0.1</f>
        <v>20.1</v>
      </c>
      <c r="B81" s="103"/>
      <c r="C81" s="103" t="s">
        <v>93</v>
      </c>
      <c r="D81" s="118" t="s">
        <v>94</v>
      </c>
      <c r="E81" s="118">
        <f>1.29</f>
        <v>1.29</v>
      </c>
      <c r="F81" s="118">
        <f>F80*E81</f>
        <v>43.14</v>
      </c>
      <c r="G81" s="118"/>
      <c r="H81" s="215"/>
      <c r="I81" s="93">
        <f t="shared" si="2"/>
        <v>0</v>
      </c>
    </row>
    <row r="82" spans="1:9" ht="16.5" customHeight="1">
      <c r="A82" s="179">
        <f>A81+0.1</f>
        <v>20.2</v>
      </c>
      <c r="B82" s="121"/>
      <c r="C82" s="121" t="s">
        <v>95</v>
      </c>
      <c r="D82" s="133" t="s">
        <v>98</v>
      </c>
      <c r="E82" s="189">
        <f>3.4/100</f>
        <v>0.034</v>
      </c>
      <c r="F82" s="133">
        <f>F80*E82</f>
        <v>1.14</v>
      </c>
      <c r="G82" s="133"/>
      <c r="H82" s="221"/>
      <c r="I82" s="93">
        <f t="shared" si="2"/>
        <v>0</v>
      </c>
    </row>
    <row r="83" spans="1:9" ht="43.5" customHeight="1">
      <c r="A83" s="179">
        <f>A82+0.1</f>
        <v>20.3</v>
      </c>
      <c r="B83" s="122"/>
      <c r="C83" s="122" t="s">
        <v>115</v>
      </c>
      <c r="D83" s="135" t="s">
        <v>92</v>
      </c>
      <c r="E83" s="191">
        <f>101.5/100</f>
        <v>1.015</v>
      </c>
      <c r="F83" s="135">
        <f>F80*E83</f>
        <v>33.94</v>
      </c>
      <c r="G83" s="135"/>
      <c r="H83" s="222"/>
      <c r="I83" s="93">
        <f t="shared" si="2"/>
        <v>0</v>
      </c>
    </row>
    <row r="84" spans="1:9" ht="16.5" customHeight="1" thickBot="1">
      <c r="A84" s="190">
        <f>A83+0.1</f>
        <v>20.4</v>
      </c>
      <c r="B84" s="123"/>
      <c r="C84" s="123" t="s">
        <v>106</v>
      </c>
      <c r="D84" s="136" t="s">
        <v>98</v>
      </c>
      <c r="E84" s="192">
        <f>18.2/100</f>
        <v>0.182</v>
      </c>
      <c r="F84" s="136">
        <f>F80*E84</f>
        <v>6.09</v>
      </c>
      <c r="G84" s="136"/>
      <c r="H84" s="223"/>
      <c r="I84" s="93">
        <f t="shared" si="2"/>
        <v>0</v>
      </c>
    </row>
    <row r="85" spans="1:9" s="49" customFormat="1" ht="77.25" customHeight="1">
      <c r="A85" s="335">
        <f>A80+1</f>
        <v>21</v>
      </c>
      <c r="B85" s="336" t="s">
        <v>290</v>
      </c>
      <c r="C85" s="328" t="s">
        <v>280</v>
      </c>
      <c r="D85" s="328" t="s">
        <v>281</v>
      </c>
      <c r="E85" s="328"/>
      <c r="F85" s="328">
        <f>4*1.2</f>
        <v>4.8</v>
      </c>
      <c r="G85" s="328"/>
      <c r="H85" s="329"/>
      <c r="I85" s="93">
        <f t="shared" si="2"/>
        <v>0</v>
      </c>
    </row>
    <row r="86" spans="1:9" s="49" customFormat="1" ht="19.5" customHeight="1">
      <c r="A86" s="337" t="s">
        <v>390</v>
      </c>
      <c r="B86" s="338" t="s">
        <v>282</v>
      </c>
      <c r="C86" s="18" t="s">
        <v>283</v>
      </c>
      <c r="D86" s="18" t="s">
        <v>284</v>
      </c>
      <c r="E86" s="18">
        <v>0.206</v>
      </c>
      <c r="F86" s="27">
        <f>E86*F85</f>
        <v>0.99</v>
      </c>
      <c r="G86" s="18"/>
      <c r="H86" s="330"/>
      <c r="I86" s="93">
        <f t="shared" si="2"/>
        <v>0</v>
      </c>
    </row>
    <row r="87" spans="1:9" s="49" customFormat="1" ht="19.5" customHeight="1">
      <c r="A87" s="337" t="s">
        <v>391</v>
      </c>
      <c r="B87" s="339" t="s">
        <v>36</v>
      </c>
      <c r="C87" s="58" t="s">
        <v>285</v>
      </c>
      <c r="D87" s="58" t="s">
        <v>286</v>
      </c>
      <c r="E87" s="58">
        <v>1.1</v>
      </c>
      <c r="F87" s="78">
        <f>F85*E87</f>
        <v>5.28</v>
      </c>
      <c r="G87" s="58"/>
      <c r="H87" s="331"/>
      <c r="I87" s="93">
        <f t="shared" si="2"/>
        <v>0</v>
      </c>
    </row>
    <row r="88" spans="1:9" s="40" customFormat="1" ht="19.5" customHeight="1" thickBot="1">
      <c r="A88" s="337" t="s">
        <v>392</v>
      </c>
      <c r="B88" s="340" t="s">
        <v>287</v>
      </c>
      <c r="C88" s="332" t="s">
        <v>288</v>
      </c>
      <c r="D88" s="332" t="s">
        <v>289</v>
      </c>
      <c r="E88" s="332">
        <v>0.1</v>
      </c>
      <c r="F88" s="333">
        <f>F85*E88</f>
        <v>0.48</v>
      </c>
      <c r="G88" s="332"/>
      <c r="H88" s="334"/>
      <c r="I88" s="93">
        <f t="shared" si="2"/>
        <v>0</v>
      </c>
    </row>
    <row r="89" spans="1:9" ht="39.75" customHeight="1" thickBot="1">
      <c r="A89" s="174">
        <f>A85+1</f>
        <v>22</v>
      </c>
      <c r="B89" s="268" t="s">
        <v>90</v>
      </c>
      <c r="C89" s="124" t="s">
        <v>314</v>
      </c>
      <c r="D89" s="269" t="s">
        <v>140</v>
      </c>
      <c r="E89" s="270"/>
      <c r="F89" s="271">
        <v>8</v>
      </c>
      <c r="G89" s="272"/>
      <c r="H89" s="273"/>
      <c r="I89" s="93">
        <f t="shared" si="2"/>
        <v>0</v>
      </c>
    </row>
    <row r="90" spans="1:9" ht="16.5" customHeight="1" thickBot="1">
      <c r="A90" s="418" t="s">
        <v>205</v>
      </c>
      <c r="B90" s="419"/>
      <c r="C90" s="419"/>
      <c r="D90" s="419"/>
      <c r="E90" s="419"/>
      <c r="F90" s="419"/>
      <c r="G90" s="419"/>
      <c r="H90" s="420"/>
      <c r="I90" s="93">
        <f t="shared" si="2"/>
        <v>0</v>
      </c>
    </row>
    <row r="91" spans="1:9" ht="56.25" customHeight="1" thickBot="1">
      <c r="A91" s="174">
        <f>A89+1</f>
        <v>23</v>
      </c>
      <c r="B91" s="86" t="s">
        <v>90</v>
      </c>
      <c r="C91" s="127" t="s">
        <v>214</v>
      </c>
      <c r="D91" s="132" t="s">
        <v>92</v>
      </c>
      <c r="E91" s="153"/>
      <c r="F91" s="175">
        <v>337.6</v>
      </c>
      <c r="G91" s="153"/>
      <c r="H91" s="214"/>
      <c r="I91" s="93">
        <f t="shared" si="2"/>
        <v>0</v>
      </c>
    </row>
    <row r="92" spans="1:9" ht="42.75" customHeight="1" thickBot="1">
      <c r="A92" s="174">
        <f>A91+1</f>
        <v>24</v>
      </c>
      <c r="B92" s="195" t="s">
        <v>179</v>
      </c>
      <c r="C92" s="127" t="s">
        <v>162</v>
      </c>
      <c r="D92" s="132" t="s">
        <v>92</v>
      </c>
      <c r="E92" s="153"/>
      <c r="F92" s="175">
        <f>F91</f>
        <v>337.6</v>
      </c>
      <c r="G92" s="153"/>
      <c r="H92" s="214"/>
      <c r="I92" s="93">
        <f t="shared" si="2"/>
        <v>0</v>
      </c>
    </row>
    <row r="93" spans="1:9" ht="16.5" customHeight="1">
      <c r="A93" s="177">
        <f>A92+0.1</f>
        <v>24.1</v>
      </c>
      <c r="B93" s="103" t="s">
        <v>184</v>
      </c>
      <c r="C93" s="103" t="s">
        <v>93</v>
      </c>
      <c r="D93" s="103" t="s">
        <v>92</v>
      </c>
      <c r="E93" s="98">
        <f>85.6/100*1.15</f>
        <v>0.984</v>
      </c>
      <c r="F93" s="105">
        <f>F92*E93</f>
        <v>332.2</v>
      </c>
      <c r="G93" s="118"/>
      <c r="H93" s="215"/>
      <c r="I93" s="93">
        <f t="shared" si="2"/>
        <v>0</v>
      </c>
    </row>
    <row r="94" spans="1:9" ht="16.5" customHeight="1">
      <c r="A94" s="179">
        <f>A93+0.1</f>
        <v>24.2</v>
      </c>
      <c r="B94" s="121" t="s">
        <v>184</v>
      </c>
      <c r="C94" s="121" t="s">
        <v>95</v>
      </c>
      <c r="D94" s="121" t="s">
        <v>98</v>
      </c>
      <c r="E94" s="133">
        <f>1.2/100*1.15</f>
        <v>0.01</v>
      </c>
      <c r="F94" s="170">
        <f>F92*E94</f>
        <v>3.38</v>
      </c>
      <c r="G94" s="133"/>
      <c r="H94" s="221"/>
      <c r="I94" s="93">
        <f t="shared" si="2"/>
        <v>0</v>
      </c>
    </row>
    <row r="95" spans="1:9" ht="16.5" customHeight="1">
      <c r="A95" s="179">
        <f>A94+0.1</f>
        <v>24.3</v>
      </c>
      <c r="B95" s="121"/>
      <c r="C95" s="122" t="s">
        <v>119</v>
      </c>
      <c r="D95" s="122" t="s">
        <v>109</v>
      </c>
      <c r="E95" s="135">
        <v>0.55</v>
      </c>
      <c r="F95" s="171">
        <f>F92*E95</f>
        <v>185.68</v>
      </c>
      <c r="G95" s="135"/>
      <c r="H95" s="222"/>
      <c r="I95" s="93">
        <f t="shared" si="2"/>
        <v>0</v>
      </c>
    </row>
    <row r="96" spans="1:9" ht="16.5" customHeight="1">
      <c r="A96" s="179">
        <f>A95+0.1</f>
        <v>24.4</v>
      </c>
      <c r="B96" s="169"/>
      <c r="C96" s="122" t="s">
        <v>163</v>
      </c>
      <c r="D96" s="135" t="s">
        <v>109</v>
      </c>
      <c r="E96" s="135">
        <v>0.63</v>
      </c>
      <c r="F96" s="171">
        <f>F92*E96</f>
        <v>212.69</v>
      </c>
      <c r="G96" s="135"/>
      <c r="H96" s="222"/>
      <c r="I96" s="93">
        <f t="shared" si="2"/>
        <v>0</v>
      </c>
    </row>
    <row r="97" spans="1:9" ht="16.5" customHeight="1" thickBot="1">
      <c r="A97" s="190">
        <f>A96+0.1</f>
        <v>24.5</v>
      </c>
      <c r="B97" s="172"/>
      <c r="C97" s="123" t="s">
        <v>106</v>
      </c>
      <c r="D97" s="136" t="s">
        <v>107</v>
      </c>
      <c r="E97" s="192">
        <f>1.8/100</f>
        <v>0.018</v>
      </c>
      <c r="F97" s="173">
        <f>F92*E97</f>
        <v>6.08</v>
      </c>
      <c r="G97" s="136"/>
      <c r="H97" s="223"/>
      <c r="I97" s="93">
        <f t="shared" si="2"/>
        <v>0</v>
      </c>
    </row>
    <row r="98" spans="1:9" ht="16.5" customHeight="1" thickBot="1">
      <c r="A98" s="421" t="s">
        <v>208</v>
      </c>
      <c r="B98" s="422"/>
      <c r="C98" s="422"/>
      <c r="D98" s="422"/>
      <c r="E98" s="422"/>
      <c r="F98" s="422"/>
      <c r="G98" s="422"/>
      <c r="H98" s="423"/>
      <c r="I98" s="93">
        <f t="shared" si="2"/>
        <v>0</v>
      </c>
    </row>
    <row r="99" spans="1:9" s="49" customFormat="1" ht="43.5" customHeight="1">
      <c r="A99" s="341" t="s">
        <v>363</v>
      </c>
      <c r="B99" s="342" t="s">
        <v>294</v>
      </c>
      <c r="C99" s="328" t="s">
        <v>302</v>
      </c>
      <c r="D99" s="328" t="s">
        <v>295</v>
      </c>
      <c r="E99" s="328"/>
      <c r="F99" s="343">
        <v>1.5</v>
      </c>
      <c r="G99" s="328"/>
      <c r="H99" s="329"/>
      <c r="I99" s="93">
        <f t="shared" si="2"/>
        <v>0</v>
      </c>
    </row>
    <row r="100" spans="1:9" s="49" customFormat="1" ht="15.75" customHeight="1">
      <c r="A100" s="344" t="s">
        <v>393</v>
      </c>
      <c r="B100" s="338" t="s">
        <v>282</v>
      </c>
      <c r="C100" s="18" t="s">
        <v>296</v>
      </c>
      <c r="D100" s="18" t="s">
        <v>284</v>
      </c>
      <c r="E100" s="18">
        <f>1.15*2.19</f>
        <v>2.5185</v>
      </c>
      <c r="F100" s="27">
        <f>E100*F99</f>
        <v>3.78</v>
      </c>
      <c r="G100" s="345"/>
      <c r="H100" s="330"/>
      <c r="I100" s="93">
        <f t="shared" si="2"/>
        <v>0</v>
      </c>
    </row>
    <row r="101" spans="1:9" s="49" customFormat="1" ht="15.75" customHeight="1">
      <c r="A101" s="344" t="s">
        <v>394</v>
      </c>
      <c r="B101" s="339" t="s">
        <v>282</v>
      </c>
      <c r="C101" s="18" t="s">
        <v>297</v>
      </c>
      <c r="D101" s="18" t="s">
        <v>13</v>
      </c>
      <c r="E101" s="346">
        <f>1.15*0.02</f>
        <v>0.023</v>
      </c>
      <c r="F101" s="27">
        <f>E101*F99</f>
        <v>0.03</v>
      </c>
      <c r="G101" s="18"/>
      <c r="H101" s="331"/>
      <c r="I101" s="93">
        <f t="shared" si="2"/>
        <v>0</v>
      </c>
    </row>
    <row r="102" spans="1:9" s="49" customFormat="1" ht="15.75" customHeight="1">
      <c r="A102" s="344" t="s">
        <v>395</v>
      </c>
      <c r="B102" s="347" t="s">
        <v>36</v>
      </c>
      <c r="C102" s="18" t="s">
        <v>298</v>
      </c>
      <c r="D102" s="18" t="s">
        <v>299</v>
      </c>
      <c r="E102" s="18">
        <v>0.015</v>
      </c>
      <c r="F102" s="27">
        <f>E102*F99</f>
        <v>0.02</v>
      </c>
      <c r="G102" s="18"/>
      <c r="H102" s="331"/>
      <c r="I102" s="93">
        <f t="shared" si="2"/>
        <v>0</v>
      </c>
    </row>
    <row r="103" spans="1:9" s="49" customFormat="1" ht="15.75" customHeight="1">
      <c r="A103" s="344" t="s">
        <v>396</v>
      </c>
      <c r="B103" s="347" t="s">
        <v>36</v>
      </c>
      <c r="C103" s="18" t="s">
        <v>300</v>
      </c>
      <c r="D103" s="18" t="s">
        <v>11</v>
      </c>
      <c r="E103" s="18">
        <v>1.03</v>
      </c>
      <c r="F103" s="27">
        <f>E103*F99</f>
        <v>1.55</v>
      </c>
      <c r="G103" s="18"/>
      <c r="H103" s="331"/>
      <c r="I103" s="93">
        <f t="shared" si="2"/>
        <v>0</v>
      </c>
    </row>
    <row r="104" spans="1:9" s="49" customFormat="1" ht="15.75" customHeight="1" thickBot="1">
      <c r="A104" s="344" t="s">
        <v>397</v>
      </c>
      <c r="B104" s="348" t="s">
        <v>282</v>
      </c>
      <c r="C104" s="332" t="s">
        <v>301</v>
      </c>
      <c r="D104" s="332" t="s">
        <v>13</v>
      </c>
      <c r="E104" s="332">
        <v>0.007</v>
      </c>
      <c r="F104" s="333">
        <f>E104*F99</f>
        <v>0.01</v>
      </c>
      <c r="G104" s="332"/>
      <c r="H104" s="349"/>
      <c r="I104" s="93">
        <f t="shared" si="2"/>
        <v>0</v>
      </c>
    </row>
    <row r="105" spans="1:9" ht="80.25" customHeight="1" thickBot="1">
      <c r="A105" s="174">
        <v>26</v>
      </c>
      <c r="B105" s="262" t="s">
        <v>90</v>
      </c>
      <c r="C105" s="127" t="s">
        <v>187</v>
      </c>
      <c r="D105" s="86" t="s">
        <v>92</v>
      </c>
      <c r="E105" s="127"/>
      <c r="F105" s="193">
        <v>451</v>
      </c>
      <c r="G105" s="127"/>
      <c r="H105" s="214"/>
      <c r="I105" s="93">
        <f t="shared" si="2"/>
        <v>0</v>
      </c>
    </row>
    <row r="106" spans="1:9" ht="20.25" customHeight="1">
      <c r="A106" s="102">
        <v>26.1</v>
      </c>
      <c r="B106" s="263"/>
      <c r="C106" s="103" t="s">
        <v>93</v>
      </c>
      <c r="D106" s="103" t="s">
        <v>94</v>
      </c>
      <c r="E106" s="103">
        <v>1.01</v>
      </c>
      <c r="F106" s="105">
        <f>F105*E106</f>
        <v>455.51</v>
      </c>
      <c r="G106" s="165"/>
      <c r="H106" s="215"/>
      <c r="I106" s="93">
        <f t="shared" si="2"/>
        <v>0</v>
      </c>
    </row>
    <row r="107" spans="1:9" ht="20.25" customHeight="1">
      <c r="A107" s="122">
        <v>26.2</v>
      </c>
      <c r="B107" s="264"/>
      <c r="C107" s="196" t="s">
        <v>116</v>
      </c>
      <c r="D107" s="196" t="s">
        <v>117</v>
      </c>
      <c r="E107" s="265">
        <f>4.1/100</f>
        <v>0.04</v>
      </c>
      <c r="F107" s="265">
        <f>F105*E107</f>
        <v>18.04</v>
      </c>
      <c r="G107" s="265"/>
      <c r="H107" s="266"/>
      <c r="I107" s="93">
        <f t="shared" si="2"/>
        <v>0</v>
      </c>
    </row>
    <row r="108" spans="1:9" ht="20.25" customHeight="1">
      <c r="A108" s="122">
        <f>A107+0.1</f>
        <v>26.3</v>
      </c>
      <c r="B108" s="264"/>
      <c r="C108" s="196" t="s">
        <v>95</v>
      </c>
      <c r="D108" s="196" t="s">
        <v>96</v>
      </c>
      <c r="E108" s="265">
        <f>2.7/100</f>
        <v>0.03</v>
      </c>
      <c r="F108" s="265">
        <f>F105*E108</f>
        <v>13.53</v>
      </c>
      <c r="G108" s="196"/>
      <c r="H108" s="266"/>
      <c r="I108" s="93">
        <f t="shared" si="2"/>
        <v>0</v>
      </c>
    </row>
    <row r="109" spans="1:9" ht="20.25" customHeight="1">
      <c r="A109" s="122">
        <f>A108+0.1</f>
        <v>26.4</v>
      </c>
      <c r="B109" s="264"/>
      <c r="C109" s="122" t="s">
        <v>118</v>
      </c>
      <c r="D109" s="122" t="s">
        <v>100</v>
      </c>
      <c r="E109" s="122">
        <f>2.38/100</f>
        <v>0.0238</v>
      </c>
      <c r="F109" s="171">
        <f>F105*E109</f>
        <v>10.73</v>
      </c>
      <c r="G109" s="122"/>
      <c r="H109" s="222"/>
      <c r="I109" s="93">
        <f t="shared" si="2"/>
        <v>0</v>
      </c>
    </row>
    <row r="110" spans="1:9" ht="20.25" customHeight="1" thickBot="1">
      <c r="A110" s="122">
        <f>A109+0.1</f>
        <v>26.5</v>
      </c>
      <c r="B110" s="267"/>
      <c r="C110" s="123" t="s">
        <v>106</v>
      </c>
      <c r="D110" s="123" t="s">
        <v>96</v>
      </c>
      <c r="E110" s="123">
        <v>0.03</v>
      </c>
      <c r="F110" s="173">
        <f>F105*E110</f>
        <v>13.53</v>
      </c>
      <c r="G110" s="123"/>
      <c r="H110" s="222"/>
      <c r="I110" s="93">
        <f t="shared" si="2"/>
        <v>0</v>
      </c>
    </row>
    <row r="111" spans="1:9" ht="48" customHeight="1" thickBot="1">
      <c r="A111" s="174">
        <f>A105+1</f>
        <v>27</v>
      </c>
      <c r="B111" s="86" t="s">
        <v>180</v>
      </c>
      <c r="C111" s="127" t="s">
        <v>159</v>
      </c>
      <c r="D111" s="86" t="s">
        <v>92</v>
      </c>
      <c r="E111" s="127"/>
      <c r="F111" s="154">
        <v>4.1</v>
      </c>
      <c r="G111" s="127"/>
      <c r="H111" s="214"/>
      <c r="I111" s="93">
        <f t="shared" si="2"/>
        <v>0</v>
      </c>
    </row>
    <row r="112" spans="1:9" ht="16.5" customHeight="1">
      <c r="A112" s="102">
        <f>A111+0.1</f>
        <v>27.1</v>
      </c>
      <c r="B112" s="102"/>
      <c r="C112" s="103" t="s">
        <v>93</v>
      </c>
      <c r="D112" s="103" t="s">
        <v>94</v>
      </c>
      <c r="E112" s="103">
        <f>1.79</f>
        <v>1.79</v>
      </c>
      <c r="F112" s="105">
        <f>F111*E112</f>
        <v>7.34</v>
      </c>
      <c r="G112" s="118"/>
      <c r="H112" s="215"/>
      <c r="I112" s="93">
        <f t="shared" si="2"/>
        <v>0</v>
      </c>
    </row>
    <row r="113" spans="1:9" ht="16.5" customHeight="1">
      <c r="A113" s="122">
        <f>A112+0.1</f>
        <v>27.2</v>
      </c>
      <c r="B113" s="122"/>
      <c r="C113" s="196" t="s">
        <v>95</v>
      </c>
      <c r="D113" s="196" t="s">
        <v>96</v>
      </c>
      <c r="E113" s="134">
        <f>7.6/100</f>
        <v>0.076</v>
      </c>
      <c r="F113" s="186">
        <f>F111*E113</f>
        <v>0.31</v>
      </c>
      <c r="G113" s="134"/>
      <c r="H113" s="225"/>
      <c r="I113" s="93">
        <f t="shared" si="2"/>
        <v>0</v>
      </c>
    </row>
    <row r="114" spans="1:9" ht="16.5" customHeight="1" thickBot="1">
      <c r="A114" s="123">
        <f>A113+0.1</f>
        <v>27.3</v>
      </c>
      <c r="B114" s="123"/>
      <c r="C114" s="123" t="s">
        <v>161</v>
      </c>
      <c r="D114" s="123" t="s">
        <v>100</v>
      </c>
      <c r="E114" s="123">
        <f>4.4/100</f>
        <v>0.044</v>
      </c>
      <c r="F114" s="173">
        <f>E114*F111</f>
        <v>0.18</v>
      </c>
      <c r="G114" s="123"/>
      <c r="H114" s="223"/>
      <c r="I114" s="93">
        <f t="shared" si="2"/>
        <v>0</v>
      </c>
    </row>
    <row r="115" spans="1:9" ht="69.75" customHeight="1" thickBot="1">
      <c r="A115" s="174">
        <f>A111+1</f>
        <v>28</v>
      </c>
      <c r="B115" s="195" t="s">
        <v>206</v>
      </c>
      <c r="C115" s="127" t="s">
        <v>186</v>
      </c>
      <c r="D115" s="132" t="s">
        <v>92</v>
      </c>
      <c r="E115" s="153"/>
      <c r="F115" s="175">
        <f>F111+F105</f>
        <v>455.1</v>
      </c>
      <c r="G115" s="153"/>
      <c r="H115" s="214"/>
      <c r="I115" s="93">
        <f t="shared" si="2"/>
        <v>0</v>
      </c>
    </row>
    <row r="116" spans="1:9" ht="27" customHeight="1">
      <c r="A116" s="102">
        <f>A115+0.1</f>
        <v>28.1</v>
      </c>
      <c r="B116" s="103"/>
      <c r="C116" s="103" t="s">
        <v>93</v>
      </c>
      <c r="D116" s="103" t="s">
        <v>94</v>
      </c>
      <c r="E116" s="98">
        <f>65.8/100</f>
        <v>0.658</v>
      </c>
      <c r="F116" s="105">
        <f>F115*E116</f>
        <v>299.46</v>
      </c>
      <c r="G116" s="118"/>
      <c r="H116" s="215"/>
      <c r="I116" s="93">
        <f t="shared" si="2"/>
        <v>0</v>
      </c>
    </row>
    <row r="117" spans="1:9" ht="27" customHeight="1">
      <c r="A117" s="102">
        <f>A116+0.1</f>
        <v>28.2</v>
      </c>
      <c r="B117" s="121"/>
      <c r="C117" s="121" t="s">
        <v>95</v>
      </c>
      <c r="D117" s="121" t="s">
        <v>98</v>
      </c>
      <c r="E117" s="189">
        <f>0.01</f>
        <v>0.01</v>
      </c>
      <c r="F117" s="170">
        <f>F115*E117</f>
        <v>4.55</v>
      </c>
      <c r="G117" s="133"/>
      <c r="H117" s="221"/>
      <c r="I117" s="93">
        <f t="shared" si="2"/>
        <v>0</v>
      </c>
    </row>
    <row r="118" spans="1:9" ht="27" customHeight="1">
      <c r="A118" s="102">
        <f>A117+0.1</f>
        <v>28.3</v>
      </c>
      <c r="B118" s="121"/>
      <c r="C118" s="122" t="s">
        <v>160</v>
      </c>
      <c r="D118" s="122" t="s">
        <v>109</v>
      </c>
      <c r="E118" s="135">
        <v>0.63</v>
      </c>
      <c r="F118" s="171">
        <f>F115*E118</f>
        <v>286.71</v>
      </c>
      <c r="G118" s="135"/>
      <c r="H118" s="222"/>
      <c r="I118" s="93">
        <f t="shared" si="2"/>
        <v>0</v>
      </c>
    </row>
    <row r="119" spans="1:9" ht="27" customHeight="1">
      <c r="A119" s="102">
        <f>A118+0.1</f>
        <v>28.4</v>
      </c>
      <c r="B119" s="197"/>
      <c r="C119" s="122" t="s">
        <v>119</v>
      </c>
      <c r="D119" s="135" t="s">
        <v>109</v>
      </c>
      <c r="E119" s="135">
        <v>0.79</v>
      </c>
      <c r="F119" s="171">
        <f>F115*E119</f>
        <v>359.53</v>
      </c>
      <c r="G119" s="135"/>
      <c r="H119" s="222"/>
      <c r="I119" s="93">
        <f t="shared" si="2"/>
        <v>0</v>
      </c>
    </row>
    <row r="120" spans="1:9" ht="27" customHeight="1" thickBot="1">
      <c r="A120" s="141">
        <f>A119+0.1</f>
        <v>28.5</v>
      </c>
      <c r="B120" s="242"/>
      <c r="C120" s="123" t="s">
        <v>106</v>
      </c>
      <c r="D120" s="136" t="s">
        <v>107</v>
      </c>
      <c r="E120" s="192">
        <f>1.6/100</f>
        <v>0.016</v>
      </c>
      <c r="F120" s="173">
        <f>F115*E120</f>
        <v>7.28</v>
      </c>
      <c r="G120" s="136"/>
      <c r="H120" s="223"/>
      <c r="I120" s="93">
        <f t="shared" si="2"/>
        <v>0</v>
      </c>
    </row>
    <row r="121" spans="1:9" ht="39.75" customHeight="1" thickBot="1">
      <c r="A121" s="298">
        <f>A115+1</f>
        <v>29</v>
      </c>
      <c r="B121" s="299" t="s">
        <v>90</v>
      </c>
      <c r="C121" s="300" t="s">
        <v>246</v>
      </c>
      <c r="D121" s="301" t="s">
        <v>105</v>
      </c>
      <c r="E121" s="302"/>
      <c r="F121" s="303">
        <v>1</v>
      </c>
      <c r="G121" s="304"/>
      <c r="H121" s="305"/>
      <c r="I121" s="93">
        <f t="shared" si="2"/>
        <v>0</v>
      </c>
    </row>
    <row r="122" spans="1:9" ht="39.75" customHeight="1" thickBot="1">
      <c r="A122" s="298">
        <v>30</v>
      </c>
      <c r="B122" s="299" t="s">
        <v>90</v>
      </c>
      <c r="C122" s="300" t="s">
        <v>190</v>
      </c>
      <c r="D122" s="301" t="s">
        <v>105</v>
      </c>
      <c r="E122" s="302"/>
      <c r="F122" s="303">
        <v>5</v>
      </c>
      <c r="G122" s="304"/>
      <c r="H122" s="305"/>
      <c r="I122" s="93">
        <f t="shared" si="2"/>
        <v>0</v>
      </c>
    </row>
    <row r="123" spans="1:9" ht="39.75" customHeight="1" thickBot="1">
      <c r="A123" s="298">
        <v>31</v>
      </c>
      <c r="B123" s="299" t="s">
        <v>90</v>
      </c>
      <c r="C123" s="300" t="s">
        <v>239</v>
      </c>
      <c r="D123" s="301" t="s">
        <v>105</v>
      </c>
      <c r="E123" s="302"/>
      <c r="F123" s="303">
        <v>1</v>
      </c>
      <c r="G123" s="304"/>
      <c r="H123" s="305"/>
      <c r="I123" s="93">
        <f t="shared" si="2"/>
        <v>0</v>
      </c>
    </row>
    <row r="124" spans="1:9" ht="39.75" customHeight="1" thickBot="1">
      <c r="A124" s="298">
        <v>32</v>
      </c>
      <c r="B124" s="299" t="s">
        <v>90</v>
      </c>
      <c r="C124" s="300" t="s">
        <v>240</v>
      </c>
      <c r="D124" s="301" t="s">
        <v>105</v>
      </c>
      <c r="E124" s="302"/>
      <c r="F124" s="303">
        <v>1</v>
      </c>
      <c r="G124" s="304"/>
      <c r="H124" s="305"/>
      <c r="I124" s="93">
        <f t="shared" si="2"/>
        <v>0</v>
      </c>
    </row>
    <row r="125" spans="1:9" ht="54.75" customHeight="1" thickBot="1">
      <c r="A125" s="298">
        <v>33</v>
      </c>
      <c r="B125" s="299" t="s">
        <v>90</v>
      </c>
      <c r="C125" s="300" t="s">
        <v>245</v>
      </c>
      <c r="D125" s="301" t="s">
        <v>105</v>
      </c>
      <c r="E125" s="302"/>
      <c r="F125" s="303">
        <v>39</v>
      </c>
      <c r="G125" s="304"/>
      <c r="H125" s="305"/>
      <c r="I125" s="93">
        <f t="shared" si="2"/>
        <v>0</v>
      </c>
    </row>
    <row r="126" spans="1:9" ht="39.75" customHeight="1" thickBot="1">
      <c r="A126" s="174">
        <v>34</v>
      </c>
      <c r="B126" s="268" t="s">
        <v>90</v>
      </c>
      <c r="C126" s="124" t="s">
        <v>189</v>
      </c>
      <c r="D126" s="269" t="s">
        <v>140</v>
      </c>
      <c r="E126" s="270"/>
      <c r="F126" s="271">
        <v>150</v>
      </c>
      <c r="G126" s="272"/>
      <c r="H126" s="273"/>
      <c r="I126" s="93">
        <f t="shared" si="2"/>
        <v>0</v>
      </c>
    </row>
    <row r="127" spans="1:9" ht="75.75" customHeight="1" thickBot="1">
      <c r="A127" s="174">
        <v>35</v>
      </c>
      <c r="B127" s="268" t="s">
        <v>90</v>
      </c>
      <c r="C127" s="124" t="s">
        <v>247</v>
      </c>
      <c r="D127" s="269" t="s">
        <v>103</v>
      </c>
      <c r="E127" s="270"/>
      <c r="F127" s="271">
        <v>30</v>
      </c>
      <c r="G127" s="272"/>
      <c r="H127" s="273"/>
      <c r="I127" s="93">
        <f t="shared" si="2"/>
        <v>0</v>
      </c>
    </row>
    <row r="128" spans="1:8" ht="49.5" customHeight="1">
      <c r="A128" s="102"/>
      <c r="B128" s="102"/>
      <c r="C128" s="243" t="s">
        <v>120</v>
      </c>
      <c r="D128" s="243" t="s">
        <v>107</v>
      </c>
      <c r="E128" s="102"/>
      <c r="F128" s="102"/>
      <c r="G128" s="102"/>
      <c r="H128" s="244">
        <f>H127+H126+H125+H124+H123+H122+H121+H115+H111+H105+H99+H92+H91+H89+H85+H80+H75+H69+H63+H57+H48+H41+H35+H34+H33+H32+H31+H30+H24+H23+H21+H18+H15+H12+H10+H7</f>
        <v>0</v>
      </c>
    </row>
    <row r="129" spans="1:8" ht="21" customHeight="1" hidden="1">
      <c r="A129" s="122"/>
      <c r="B129" s="122"/>
      <c r="C129" s="200" t="s">
        <v>121</v>
      </c>
      <c r="D129" s="122" t="s">
        <v>107</v>
      </c>
      <c r="E129" s="122"/>
      <c r="F129" s="122"/>
      <c r="G129" s="122"/>
      <c r="H129" s="226"/>
    </row>
    <row r="130" spans="1:8" ht="21" customHeight="1" hidden="1">
      <c r="A130" s="122"/>
      <c r="B130" s="122"/>
      <c r="C130" s="200" t="s">
        <v>122</v>
      </c>
      <c r="D130" s="122" t="s">
        <v>107</v>
      </c>
      <c r="E130" s="122"/>
      <c r="F130" s="122"/>
      <c r="G130" s="122"/>
      <c r="H130" s="224"/>
    </row>
    <row r="131" spans="1:8" ht="21" customHeight="1" hidden="1">
      <c r="A131" s="122"/>
      <c r="B131" s="122"/>
      <c r="C131" s="122" t="s">
        <v>123</v>
      </c>
      <c r="D131" s="122" t="s">
        <v>107</v>
      </c>
      <c r="E131" s="122"/>
      <c r="F131" s="122"/>
      <c r="G131" s="122"/>
      <c r="H131" s="222"/>
    </row>
    <row r="132" spans="1:8" ht="44.25" customHeight="1">
      <c r="A132" s="122"/>
      <c r="B132" s="122"/>
      <c r="C132" s="107" t="s">
        <v>120</v>
      </c>
      <c r="D132" s="122" t="s">
        <v>107</v>
      </c>
      <c r="E132" s="122"/>
      <c r="F132" s="122"/>
      <c r="G132" s="122"/>
      <c r="H132" s="207">
        <f>H128</f>
        <v>0</v>
      </c>
    </row>
    <row r="133" spans="1:8" ht="27.75" customHeight="1">
      <c r="A133" s="122"/>
      <c r="B133" s="122"/>
      <c r="C133" s="122" t="s">
        <v>124</v>
      </c>
      <c r="D133" s="204">
        <v>0.1</v>
      </c>
      <c r="E133" s="122"/>
      <c r="F133" s="122"/>
      <c r="G133" s="122"/>
      <c r="H133" s="222">
        <f>D133*H132</f>
        <v>0</v>
      </c>
    </row>
    <row r="134" spans="1:8" ht="27.75" customHeight="1">
      <c r="A134" s="122"/>
      <c r="B134" s="122"/>
      <c r="C134" s="122" t="s">
        <v>125</v>
      </c>
      <c r="D134" s="122" t="s">
        <v>107</v>
      </c>
      <c r="E134" s="122"/>
      <c r="F134" s="122"/>
      <c r="G134" s="122"/>
      <c r="H134" s="207">
        <f>SUM(H132:H133)</f>
        <v>0</v>
      </c>
    </row>
    <row r="135" spans="1:8" ht="27.75" customHeight="1">
      <c r="A135" s="122"/>
      <c r="B135" s="122"/>
      <c r="C135" s="122" t="s">
        <v>126</v>
      </c>
      <c r="D135" s="204">
        <v>0.08</v>
      </c>
      <c r="E135" s="122"/>
      <c r="F135" s="122"/>
      <c r="G135" s="122"/>
      <c r="H135" s="222">
        <f>H134*D135</f>
        <v>0</v>
      </c>
    </row>
    <row r="136" spans="1:8" ht="27.75" customHeight="1">
      <c r="A136" s="122"/>
      <c r="B136" s="122"/>
      <c r="C136" s="107" t="s">
        <v>127</v>
      </c>
      <c r="D136" s="122" t="s">
        <v>107</v>
      </c>
      <c r="E136" s="122"/>
      <c r="F136" s="122"/>
      <c r="G136" s="122"/>
      <c r="H136" s="207">
        <f>SUM(H134:H135)</f>
        <v>0</v>
      </c>
    </row>
    <row r="137" spans="1:8" ht="16.5" customHeight="1">
      <c r="A137" s="205"/>
      <c r="B137" s="205"/>
      <c r="C137" s="206"/>
      <c r="D137" s="205"/>
      <c r="E137" s="205"/>
      <c r="F137" s="205"/>
      <c r="G137" s="205"/>
      <c r="H137" s="198"/>
    </row>
    <row r="138" spans="1:8" ht="30" customHeight="1">
      <c r="A138" s="205"/>
      <c r="B138" s="205"/>
      <c r="C138" s="401" t="s">
        <v>384</v>
      </c>
      <c r="D138" s="205"/>
      <c r="E138" s="424"/>
      <c r="F138" s="424"/>
      <c r="G138" s="424"/>
      <c r="H138" s="198"/>
    </row>
    <row r="139" spans="1:8" ht="16.5" customHeight="1">
      <c r="A139" s="205"/>
      <c r="B139" s="205"/>
      <c r="C139" s="206"/>
      <c r="D139" s="205"/>
      <c r="E139" s="205"/>
      <c r="F139" s="205"/>
      <c r="G139" s="205"/>
      <c r="H139" s="198"/>
    </row>
    <row r="140" spans="1:8" ht="16.5" customHeight="1">
      <c r="A140" s="205"/>
      <c r="B140" s="205"/>
      <c r="C140" s="206"/>
      <c r="D140" s="205"/>
      <c r="E140" s="205"/>
      <c r="F140" s="205"/>
      <c r="G140" s="205"/>
      <c r="H140" s="198"/>
    </row>
    <row r="141" spans="1:8" ht="16.5" customHeight="1">
      <c r="A141" s="205"/>
      <c r="B141" s="205"/>
      <c r="C141" s="206"/>
      <c r="D141" s="205"/>
      <c r="E141" s="205"/>
      <c r="F141" s="205"/>
      <c r="G141" s="205"/>
      <c r="H141" s="198"/>
    </row>
    <row r="142" spans="1:8" ht="16.5" customHeight="1">
      <c r="A142" s="205"/>
      <c r="B142" s="205"/>
      <c r="C142" s="206"/>
      <c r="D142" s="205"/>
      <c r="E142" s="205"/>
      <c r="F142" s="205"/>
      <c r="G142" s="205"/>
      <c r="H142" s="198"/>
    </row>
    <row r="143" spans="1:8" ht="16.5" customHeight="1">
      <c r="A143" s="205"/>
      <c r="B143" s="205"/>
      <c r="C143" s="206"/>
      <c r="D143" s="205"/>
      <c r="E143" s="205"/>
      <c r="F143" s="205"/>
      <c r="G143" s="205"/>
      <c r="H143" s="198"/>
    </row>
    <row r="144" spans="1:8" ht="16.5" customHeight="1">
      <c r="A144" s="205"/>
      <c r="B144" s="205"/>
      <c r="C144" s="206"/>
      <c r="D144" s="205"/>
      <c r="E144" s="205"/>
      <c r="F144" s="205"/>
      <c r="G144" s="205"/>
      <c r="H144" s="198"/>
    </row>
    <row r="145" spans="1:8" ht="16.5" customHeight="1">
      <c r="A145" s="205"/>
      <c r="B145" s="205"/>
      <c r="C145" s="206"/>
      <c r="D145" s="205"/>
      <c r="E145" s="205"/>
      <c r="F145" s="205"/>
      <c r="G145" s="205"/>
      <c r="H145" s="198"/>
    </row>
    <row r="146" spans="1:8" ht="16.5" customHeight="1">
      <c r="A146" s="205"/>
      <c r="B146" s="205"/>
      <c r="C146" s="206"/>
      <c r="D146" s="205"/>
      <c r="E146" s="205"/>
      <c r="F146" s="205"/>
      <c r="G146" s="205"/>
      <c r="H146" s="198"/>
    </row>
    <row r="147" spans="1:8" ht="16.5" customHeight="1">
      <c r="A147" s="205"/>
      <c r="B147" s="205"/>
      <c r="C147" s="206"/>
      <c r="D147" s="205"/>
      <c r="E147" s="205"/>
      <c r="F147" s="205"/>
      <c r="G147" s="205"/>
      <c r="H147" s="198"/>
    </row>
    <row r="148" spans="1:8" ht="16.5" customHeight="1">
      <c r="A148" s="205"/>
      <c r="B148" s="205"/>
      <c r="C148" s="206"/>
      <c r="D148" s="205"/>
      <c r="E148" s="205"/>
      <c r="F148" s="205"/>
      <c r="G148" s="205"/>
      <c r="H148" s="198"/>
    </row>
    <row r="149" spans="1:8" ht="16.5" customHeight="1">
      <c r="A149" s="205"/>
      <c r="B149" s="205"/>
      <c r="C149" s="206"/>
      <c r="D149" s="205"/>
      <c r="E149" s="205"/>
      <c r="F149" s="205"/>
      <c r="G149" s="205"/>
      <c r="H149" s="198"/>
    </row>
    <row r="150" spans="1:8" ht="16.5" customHeight="1">
      <c r="A150" s="205"/>
      <c r="B150" s="205"/>
      <c r="C150" s="206"/>
      <c r="D150" s="205"/>
      <c r="E150" s="205"/>
      <c r="F150" s="205"/>
      <c r="G150" s="205"/>
      <c r="H150" s="198"/>
    </row>
    <row r="151" spans="1:8" ht="16.5" customHeight="1">
      <c r="A151" s="205"/>
      <c r="B151" s="205"/>
      <c r="C151" s="206"/>
      <c r="D151" s="205"/>
      <c r="E151" s="205"/>
      <c r="F151" s="205"/>
      <c r="G151" s="205"/>
      <c r="H151" s="198"/>
    </row>
    <row r="152" spans="1:8" ht="16.5" customHeight="1">
      <c r="A152" s="205"/>
      <c r="B152" s="205"/>
      <c r="C152" s="206"/>
      <c r="D152" s="205"/>
      <c r="E152" s="205"/>
      <c r="F152" s="205"/>
      <c r="G152" s="205"/>
      <c r="H152" s="198"/>
    </row>
    <row r="153" spans="1:8" ht="16.5" customHeight="1">
      <c r="A153" s="205"/>
      <c r="B153" s="205"/>
      <c r="C153" s="206"/>
      <c r="D153" s="205"/>
      <c r="E153" s="205"/>
      <c r="F153" s="205"/>
      <c r="G153" s="205"/>
      <c r="H153" s="198"/>
    </row>
    <row r="154" spans="1:8" ht="16.5" customHeight="1">
      <c r="A154" s="205"/>
      <c r="B154" s="205"/>
      <c r="C154" s="206"/>
      <c r="D154" s="205"/>
      <c r="E154" s="205"/>
      <c r="F154" s="205"/>
      <c r="G154" s="205"/>
      <c r="H154" s="198"/>
    </row>
    <row r="155" spans="1:8" ht="16.5" customHeight="1">
      <c r="A155" s="205"/>
      <c r="B155" s="205"/>
      <c r="C155" s="206"/>
      <c r="D155" s="205"/>
      <c r="E155" s="205"/>
      <c r="F155" s="205"/>
      <c r="G155" s="205"/>
      <c r="H155" s="198"/>
    </row>
    <row r="156" spans="1:8" ht="16.5" customHeight="1">
      <c r="A156" s="205"/>
      <c r="B156" s="205"/>
      <c r="C156" s="206"/>
      <c r="D156" s="205"/>
      <c r="E156" s="205"/>
      <c r="F156" s="205"/>
      <c r="G156" s="205"/>
      <c r="H156" s="198"/>
    </row>
    <row r="157" spans="1:8" ht="16.5" customHeight="1">
      <c r="A157" s="205"/>
      <c r="B157" s="205"/>
      <c r="C157" s="206"/>
      <c r="D157" s="205"/>
      <c r="E157" s="205"/>
      <c r="F157" s="205"/>
      <c r="G157" s="205"/>
      <c r="H157" s="198"/>
    </row>
    <row r="158" spans="1:8" ht="16.5" customHeight="1">
      <c r="A158" s="205"/>
      <c r="B158" s="205"/>
      <c r="C158" s="206"/>
      <c r="D158" s="205"/>
      <c r="E158" s="205"/>
      <c r="F158" s="205"/>
      <c r="G158" s="205"/>
      <c r="H158" s="198"/>
    </row>
    <row r="159" spans="1:8" ht="16.5" customHeight="1">
      <c r="A159" s="205"/>
      <c r="B159" s="205"/>
      <c r="C159" s="206"/>
      <c r="D159" s="205"/>
      <c r="E159" s="205"/>
      <c r="F159" s="205"/>
      <c r="G159" s="205"/>
      <c r="H159" s="198"/>
    </row>
  </sheetData>
  <sheetProtection/>
  <mergeCells count="13">
    <mergeCell ref="E138:G138"/>
    <mergeCell ref="A4:A5"/>
    <mergeCell ref="B4:B5"/>
    <mergeCell ref="C4:C5"/>
    <mergeCell ref="D4:D5"/>
    <mergeCell ref="E4:F4"/>
    <mergeCell ref="G4:H4"/>
    <mergeCell ref="A1:H1"/>
    <mergeCell ref="A2:H2"/>
    <mergeCell ref="A3:C3"/>
    <mergeCell ref="E3:F3"/>
    <mergeCell ref="A90:H90"/>
    <mergeCell ref="A98:H98"/>
  </mergeCells>
  <printOptions/>
  <pageMargins left="0.17" right="0.2" top="0.35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view="pageBreakPreview" zoomScaleSheetLayoutView="100" zoomScalePageLayoutView="0" workbookViewId="0" topLeftCell="A74">
      <selection activeCell="A92" sqref="A92"/>
    </sheetView>
  </sheetViews>
  <sheetFormatPr defaultColWidth="9.00390625" defaultRowHeight="12.75"/>
  <cols>
    <col min="1" max="1" width="4.375" style="5" customWidth="1"/>
    <col min="2" max="2" width="10.375" style="5" customWidth="1"/>
    <col min="3" max="4" width="9.125" style="5" customWidth="1"/>
    <col min="5" max="5" width="23.625" style="5" customWidth="1"/>
    <col min="6" max="6" width="7.375" style="5" customWidth="1"/>
    <col min="7" max="7" width="8.875" style="5" customWidth="1"/>
    <col min="8" max="8" width="7.375" style="5" customWidth="1"/>
    <col min="9" max="9" width="8.125" style="5" customWidth="1"/>
    <col min="10" max="10" width="9.25390625" style="5" customWidth="1"/>
    <col min="11" max="11" width="9.125" style="5" customWidth="1"/>
    <col min="12" max="12" width="12.25390625" style="5" bestFit="1" customWidth="1"/>
    <col min="13" max="13" width="10.375" style="5" bestFit="1" customWidth="1"/>
    <col min="14" max="14" width="12.375" style="5" bestFit="1" customWidth="1"/>
    <col min="15" max="16384" width="9.125" style="5" customWidth="1"/>
  </cols>
  <sheetData>
    <row r="1" spans="1:9" ht="27.75" customHeight="1">
      <c r="A1" s="439" t="s">
        <v>385</v>
      </c>
      <c r="B1" s="439"/>
      <c r="C1" s="439"/>
      <c r="D1" s="439"/>
      <c r="E1" s="439"/>
      <c r="F1" s="439"/>
      <c r="G1" s="439"/>
      <c r="H1" s="439"/>
      <c r="I1" s="439"/>
    </row>
    <row r="2" spans="1:9" ht="31.5" customHeight="1">
      <c r="A2" s="439" t="s">
        <v>319</v>
      </c>
      <c r="B2" s="442"/>
      <c r="C2" s="442"/>
      <c r="D2" s="442"/>
      <c r="E2" s="442"/>
      <c r="F2" s="442"/>
      <c r="G2" s="442"/>
      <c r="H2" s="442"/>
      <c r="I2" s="442"/>
    </row>
    <row r="3" spans="1:9" ht="13.5" customHeight="1">
      <c r="A3" s="439" t="s">
        <v>37</v>
      </c>
      <c r="B3" s="439"/>
      <c r="C3" s="439"/>
      <c r="D3" s="439"/>
      <c r="E3" s="439"/>
      <c r="F3" s="439"/>
      <c r="G3" s="89">
        <f>J94/1000</f>
        <v>0</v>
      </c>
      <c r="H3" s="5" t="s">
        <v>21</v>
      </c>
      <c r="I3" s="5" t="s">
        <v>13</v>
      </c>
    </row>
    <row r="4" spans="1:9" ht="21" customHeight="1">
      <c r="A4" s="439" t="s">
        <v>38</v>
      </c>
      <c r="B4" s="439"/>
      <c r="C4" s="439"/>
      <c r="D4" s="439"/>
      <c r="E4" s="439"/>
      <c r="F4" s="439"/>
      <c r="G4" s="89">
        <f>J87*0.001</f>
        <v>0</v>
      </c>
      <c r="H4" s="5" t="s">
        <v>21</v>
      </c>
      <c r="I4" s="5" t="s">
        <v>13</v>
      </c>
    </row>
    <row r="5" spans="1:10" ht="50.25" customHeight="1">
      <c r="A5" s="443" t="s">
        <v>7</v>
      </c>
      <c r="B5" s="445" t="s">
        <v>8</v>
      </c>
      <c r="C5" s="446" t="s">
        <v>9</v>
      </c>
      <c r="D5" s="447"/>
      <c r="E5" s="448"/>
      <c r="F5" s="445" t="s">
        <v>28</v>
      </c>
      <c r="G5" s="434" t="s">
        <v>15</v>
      </c>
      <c r="H5" s="436"/>
      <c r="I5" s="434" t="s">
        <v>39</v>
      </c>
      <c r="J5" s="436"/>
    </row>
    <row r="6" spans="1:10" ht="81" customHeight="1">
      <c r="A6" s="444"/>
      <c r="B6" s="444"/>
      <c r="C6" s="449"/>
      <c r="D6" s="450"/>
      <c r="E6" s="451"/>
      <c r="F6" s="444"/>
      <c r="G6" s="14" t="s">
        <v>30</v>
      </c>
      <c r="H6" s="14" t="s">
        <v>31</v>
      </c>
      <c r="I6" s="14" t="s">
        <v>30</v>
      </c>
      <c r="J6" s="14" t="s">
        <v>10</v>
      </c>
    </row>
    <row r="7" spans="1:10" ht="14.25" customHeight="1">
      <c r="A7" s="4">
        <v>1</v>
      </c>
      <c r="B7" s="4">
        <v>2</v>
      </c>
      <c r="C7" s="434">
        <v>3</v>
      </c>
      <c r="D7" s="435"/>
      <c r="E7" s="436"/>
      <c r="F7" s="4">
        <v>4</v>
      </c>
      <c r="G7" s="4">
        <v>5</v>
      </c>
      <c r="H7" s="4">
        <v>6</v>
      </c>
      <c r="I7" s="4">
        <v>7</v>
      </c>
      <c r="J7" s="4">
        <v>8</v>
      </c>
    </row>
    <row r="8" spans="1:10" s="1" customFormat="1" ht="32.25" customHeight="1">
      <c r="A8" s="44">
        <v>1</v>
      </c>
      <c r="B8" s="6" t="s">
        <v>320</v>
      </c>
      <c r="C8" s="431" t="s">
        <v>321</v>
      </c>
      <c r="D8" s="432"/>
      <c r="E8" s="433"/>
      <c r="F8" s="6" t="s">
        <v>16</v>
      </c>
      <c r="G8" s="6"/>
      <c r="H8" s="6">
        <v>1</v>
      </c>
      <c r="I8" s="6"/>
      <c r="J8" s="274"/>
    </row>
    <row r="9" spans="1:11" s="1" customFormat="1" ht="18.75" customHeight="1">
      <c r="A9" s="4">
        <f>A8+0.1</f>
        <v>1.1</v>
      </c>
      <c r="B9" s="4"/>
      <c r="C9" s="434" t="s">
        <v>17</v>
      </c>
      <c r="D9" s="437"/>
      <c r="E9" s="438"/>
      <c r="F9" s="245" t="s">
        <v>32</v>
      </c>
      <c r="G9" s="245">
        <v>2.71</v>
      </c>
      <c r="H9" s="245">
        <f>H8*G9</f>
        <v>2.71</v>
      </c>
      <c r="I9" s="245"/>
      <c r="J9" s="383"/>
      <c r="K9" s="2">
        <f>H9*I9</f>
        <v>0</v>
      </c>
    </row>
    <row r="10" spans="1:11" s="1" customFormat="1" ht="18.75" customHeight="1">
      <c r="A10" s="4">
        <f>A9+0.1</f>
        <v>1.2</v>
      </c>
      <c r="B10" s="4"/>
      <c r="C10" s="434" t="s">
        <v>34</v>
      </c>
      <c r="D10" s="437"/>
      <c r="E10" s="438"/>
      <c r="F10" s="39" t="s">
        <v>20</v>
      </c>
      <c r="G10" s="39">
        <v>0.06</v>
      </c>
      <c r="H10" s="9">
        <f>H8*G10</f>
        <v>0.06</v>
      </c>
      <c r="I10" s="39"/>
      <c r="J10" s="384"/>
      <c r="K10" s="2">
        <f aca="true" t="shared" si="0" ref="K10:K73">H10*I10</f>
        <v>0</v>
      </c>
    </row>
    <row r="11" spans="1:11" s="1" customFormat="1" ht="18.75" customHeight="1">
      <c r="A11" s="4">
        <f>A10+0.1</f>
        <v>1.3</v>
      </c>
      <c r="B11" s="4"/>
      <c r="C11" s="434" t="s">
        <v>322</v>
      </c>
      <c r="D11" s="437"/>
      <c r="E11" s="438"/>
      <c r="F11" s="4" t="s">
        <v>16</v>
      </c>
      <c r="G11" s="4"/>
      <c r="H11" s="4">
        <v>1</v>
      </c>
      <c r="I11" s="4"/>
      <c r="J11" s="45"/>
      <c r="K11" s="2">
        <f t="shared" si="0"/>
        <v>0</v>
      </c>
    </row>
    <row r="12" spans="1:11" s="1" customFormat="1" ht="33" customHeight="1">
      <c r="A12" s="6">
        <v>2</v>
      </c>
      <c r="B12" s="6" t="s">
        <v>320</v>
      </c>
      <c r="C12" s="431" t="s">
        <v>323</v>
      </c>
      <c r="D12" s="432"/>
      <c r="E12" s="433"/>
      <c r="F12" s="6" t="s">
        <v>16</v>
      </c>
      <c r="G12" s="6"/>
      <c r="H12" s="6">
        <v>8</v>
      </c>
      <c r="I12" s="6"/>
      <c r="J12" s="274"/>
      <c r="K12" s="2">
        <f t="shared" si="0"/>
        <v>0</v>
      </c>
    </row>
    <row r="13" spans="1:11" s="1" customFormat="1" ht="21" customHeight="1">
      <c r="A13" s="4">
        <f>A12+0.1</f>
        <v>2.1</v>
      </c>
      <c r="B13" s="4"/>
      <c r="C13" s="434" t="s">
        <v>17</v>
      </c>
      <c r="D13" s="437"/>
      <c r="E13" s="438"/>
      <c r="F13" s="245" t="s">
        <v>32</v>
      </c>
      <c r="G13" s="245">
        <v>2.71</v>
      </c>
      <c r="H13" s="245">
        <f>H12*G13</f>
        <v>21.68</v>
      </c>
      <c r="I13" s="245"/>
      <c r="J13" s="383"/>
      <c r="K13" s="2">
        <f t="shared" si="0"/>
        <v>0</v>
      </c>
    </row>
    <row r="14" spans="1:11" s="1" customFormat="1" ht="21" customHeight="1">
      <c r="A14" s="4">
        <f>A13+0.1</f>
        <v>2.2</v>
      </c>
      <c r="B14" s="4"/>
      <c r="C14" s="434" t="s">
        <v>34</v>
      </c>
      <c r="D14" s="437"/>
      <c r="E14" s="438"/>
      <c r="F14" s="39" t="s">
        <v>20</v>
      </c>
      <c r="G14" s="39">
        <v>0.06</v>
      </c>
      <c r="H14" s="9">
        <f>H12*G14</f>
        <v>0.48</v>
      </c>
      <c r="I14" s="39"/>
      <c r="J14" s="384"/>
      <c r="K14" s="2">
        <f t="shared" si="0"/>
        <v>0</v>
      </c>
    </row>
    <row r="15" spans="1:11" s="1" customFormat="1" ht="21" customHeight="1">
      <c r="A15" s="4">
        <f>A14+0.1</f>
        <v>2.3</v>
      </c>
      <c r="B15" s="4"/>
      <c r="C15" s="434" t="s">
        <v>324</v>
      </c>
      <c r="D15" s="437"/>
      <c r="E15" s="438"/>
      <c r="F15" s="4" t="s">
        <v>16</v>
      </c>
      <c r="G15" s="4"/>
      <c r="H15" s="4">
        <v>8</v>
      </c>
      <c r="I15" s="4"/>
      <c r="J15" s="45"/>
      <c r="K15" s="2">
        <f t="shared" si="0"/>
        <v>0</v>
      </c>
    </row>
    <row r="16" spans="1:11" ht="38.25" customHeight="1">
      <c r="A16" s="6">
        <v>3</v>
      </c>
      <c r="B16" s="6" t="s">
        <v>137</v>
      </c>
      <c r="C16" s="431" t="s">
        <v>325</v>
      </c>
      <c r="D16" s="432"/>
      <c r="E16" s="433"/>
      <c r="F16" s="6" t="s">
        <v>16</v>
      </c>
      <c r="G16" s="6"/>
      <c r="H16" s="6">
        <v>2</v>
      </c>
      <c r="I16" s="6"/>
      <c r="J16" s="274"/>
      <c r="K16" s="2">
        <f t="shared" si="0"/>
        <v>0</v>
      </c>
    </row>
    <row r="17" spans="1:13" ht="17.25" customHeight="1">
      <c r="A17" s="4">
        <f>A16+0.1</f>
        <v>3.1</v>
      </c>
      <c r="B17" s="4"/>
      <c r="C17" s="434" t="s">
        <v>17</v>
      </c>
      <c r="D17" s="437"/>
      <c r="E17" s="438"/>
      <c r="F17" s="245" t="s">
        <v>32</v>
      </c>
      <c r="G17" s="245">
        <v>2.3</v>
      </c>
      <c r="H17" s="245">
        <f>H16*G17</f>
        <v>4.6</v>
      </c>
      <c r="I17" s="245"/>
      <c r="J17" s="383"/>
      <c r="K17" s="2">
        <f t="shared" si="0"/>
        <v>0</v>
      </c>
      <c r="M17" s="274"/>
    </row>
    <row r="18" spans="1:11" ht="18.75" customHeight="1">
      <c r="A18" s="4">
        <f>A17+0.1</f>
        <v>3.2</v>
      </c>
      <c r="B18" s="4"/>
      <c r="C18" s="434" t="s">
        <v>34</v>
      </c>
      <c r="D18" s="437"/>
      <c r="E18" s="438"/>
      <c r="F18" s="39" t="s">
        <v>20</v>
      </c>
      <c r="G18" s="39">
        <v>0.06</v>
      </c>
      <c r="H18" s="9">
        <f>H16*G18</f>
        <v>0.12</v>
      </c>
      <c r="I18" s="39"/>
      <c r="J18" s="384"/>
      <c r="K18" s="2">
        <f t="shared" si="0"/>
        <v>0</v>
      </c>
    </row>
    <row r="19" spans="1:11" ht="20.25" customHeight="1">
      <c r="A19" s="4">
        <f>A18+0.1</f>
        <v>3.3</v>
      </c>
      <c r="B19" s="4"/>
      <c r="C19" s="434" t="s">
        <v>326</v>
      </c>
      <c r="D19" s="437"/>
      <c r="E19" s="438"/>
      <c r="F19" s="4" t="s">
        <v>16</v>
      </c>
      <c r="G19" s="4"/>
      <c r="H19" s="4">
        <v>2</v>
      </c>
      <c r="I19" s="4"/>
      <c r="J19" s="45"/>
      <c r="K19" s="2">
        <f t="shared" si="0"/>
        <v>0</v>
      </c>
    </row>
    <row r="20" spans="1:12" ht="28.5" customHeight="1">
      <c r="A20" s="6">
        <v>4</v>
      </c>
      <c r="B20" s="6" t="s">
        <v>149</v>
      </c>
      <c r="C20" s="431" t="s">
        <v>40</v>
      </c>
      <c r="D20" s="432"/>
      <c r="E20" s="433"/>
      <c r="F20" s="6" t="s">
        <v>33</v>
      </c>
      <c r="G20" s="6"/>
      <c r="H20" s="6">
        <v>250</v>
      </c>
      <c r="I20" s="6"/>
      <c r="J20" s="274"/>
      <c r="K20" s="2">
        <f t="shared" si="0"/>
        <v>0</v>
      </c>
      <c r="L20" s="90"/>
    </row>
    <row r="21" spans="1:11" ht="21" customHeight="1">
      <c r="A21" s="4">
        <f>A20+0.1</f>
        <v>4.1</v>
      </c>
      <c r="B21" s="4"/>
      <c r="C21" s="434" t="s">
        <v>17</v>
      </c>
      <c r="D21" s="437"/>
      <c r="E21" s="438"/>
      <c r="F21" s="245" t="s">
        <v>32</v>
      </c>
      <c r="G21" s="245">
        <v>0.15</v>
      </c>
      <c r="H21" s="245">
        <f>H20*G21</f>
        <v>37.5</v>
      </c>
      <c r="I21" s="245"/>
      <c r="J21" s="383"/>
      <c r="K21" s="2">
        <f t="shared" si="0"/>
        <v>0</v>
      </c>
    </row>
    <row r="22" spans="1:11" ht="18.75" customHeight="1">
      <c r="A22" s="4">
        <f>A21+0.1</f>
        <v>4.2</v>
      </c>
      <c r="B22" s="4"/>
      <c r="C22" s="434" t="s">
        <v>34</v>
      </c>
      <c r="D22" s="437"/>
      <c r="E22" s="438"/>
      <c r="F22" s="39" t="s">
        <v>20</v>
      </c>
      <c r="G22" s="39">
        <v>0.037</v>
      </c>
      <c r="H22" s="39">
        <f>H20*G22</f>
        <v>9.25</v>
      </c>
      <c r="I22" s="39"/>
      <c r="J22" s="384"/>
      <c r="K22" s="2">
        <f t="shared" si="0"/>
        <v>0</v>
      </c>
    </row>
    <row r="23" spans="1:11" ht="20.25" customHeight="1">
      <c r="A23" s="4">
        <f>A22+0.1</f>
        <v>4.3</v>
      </c>
      <c r="B23" s="4"/>
      <c r="C23" s="434" t="s">
        <v>327</v>
      </c>
      <c r="D23" s="437"/>
      <c r="E23" s="438"/>
      <c r="F23" s="4" t="s">
        <v>33</v>
      </c>
      <c r="G23" s="4"/>
      <c r="H23" s="4">
        <v>250</v>
      </c>
      <c r="I23" s="8"/>
      <c r="J23" s="45"/>
      <c r="K23" s="2">
        <f t="shared" si="0"/>
        <v>0</v>
      </c>
    </row>
    <row r="24" spans="1:12" ht="31.5" customHeight="1">
      <c r="A24" s="6">
        <v>5</v>
      </c>
      <c r="B24" s="6" t="s">
        <v>54</v>
      </c>
      <c r="C24" s="431" t="s">
        <v>193</v>
      </c>
      <c r="D24" s="432"/>
      <c r="E24" s="433"/>
      <c r="F24" s="6" t="s">
        <v>33</v>
      </c>
      <c r="G24" s="6"/>
      <c r="H24" s="6">
        <v>1500</v>
      </c>
      <c r="I24" s="6"/>
      <c r="J24" s="274"/>
      <c r="K24" s="2">
        <f t="shared" si="0"/>
        <v>0</v>
      </c>
      <c r="L24" s="90"/>
    </row>
    <row r="25" spans="1:11" ht="22.5" customHeight="1">
      <c r="A25" s="4">
        <f>A24+0.1</f>
        <v>5.1</v>
      </c>
      <c r="B25" s="4"/>
      <c r="C25" s="434" t="s">
        <v>17</v>
      </c>
      <c r="D25" s="437"/>
      <c r="E25" s="438"/>
      <c r="F25" s="245" t="s">
        <v>32</v>
      </c>
      <c r="G25" s="245">
        <v>0.15</v>
      </c>
      <c r="H25" s="245">
        <f>H24*G25</f>
        <v>225</v>
      </c>
      <c r="I25" s="245"/>
      <c r="J25" s="383"/>
      <c r="K25" s="2">
        <f t="shared" si="0"/>
        <v>0</v>
      </c>
    </row>
    <row r="26" spans="1:11" ht="20.25" customHeight="1">
      <c r="A26" s="4">
        <f>A25+0.1</f>
        <v>5.2</v>
      </c>
      <c r="B26" s="4"/>
      <c r="C26" s="434" t="s">
        <v>34</v>
      </c>
      <c r="D26" s="437"/>
      <c r="E26" s="438"/>
      <c r="F26" s="39" t="s">
        <v>20</v>
      </c>
      <c r="G26" s="39">
        <v>0.037</v>
      </c>
      <c r="H26" s="39">
        <f>H24*G26</f>
        <v>55.5</v>
      </c>
      <c r="I26" s="39"/>
      <c r="J26" s="384"/>
      <c r="K26" s="2">
        <f t="shared" si="0"/>
        <v>0</v>
      </c>
    </row>
    <row r="27" spans="1:11" ht="18.75" customHeight="1">
      <c r="A27" s="4">
        <f>A26+0.1</f>
        <v>5.3</v>
      </c>
      <c r="B27" s="4"/>
      <c r="C27" s="434" t="s">
        <v>55</v>
      </c>
      <c r="D27" s="437"/>
      <c r="E27" s="438"/>
      <c r="F27" s="4" t="s">
        <v>33</v>
      </c>
      <c r="G27" s="4"/>
      <c r="H27" s="4">
        <v>1500</v>
      </c>
      <c r="I27" s="4"/>
      <c r="J27" s="45"/>
      <c r="K27" s="2">
        <f t="shared" si="0"/>
        <v>0</v>
      </c>
    </row>
    <row r="28" spans="1:11" ht="31.5" customHeight="1">
      <c r="A28" s="6">
        <v>6</v>
      </c>
      <c r="B28" s="6" t="s">
        <v>56</v>
      </c>
      <c r="C28" s="431" t="s">
        <v>194</v>
      </c>
      <c r="D28" s="432"/>
      <c r="E28" s="433"/>
      <c r="F28" s="6" t="s">
        <v>33</v>
      </c>
      <c r="G28" s="6"/>
      <c r="H28" s="6">
        <v>300</v>
      </c>
      <c r="I28" s="6"/>
      <c r="J28" s="274"/>
      <c r="K28" s="2">
        <f t="shared" si="0"/>
        <v>0</v>
      </c>
    </row>
    <row r="29" spans="1:11" ht="21" customHeight="1">
      <c r="A29" s="4">
        <f>A28+0.1</f>
        <v>6.1</v>
      </c>
      <c r="B29" s="4"/>
      <c r="C29" s="434" t="s">
        <v>17</v>
      </c>
      <c r="D29" s="437"/>
      <c r="E29" s="438"/>
      <c r="F29" s="245" t="s">
        <v>32</v>
      </c>
      <c r="G29" s="245">
        <v>0.55</v>
      </c>
      <c r="H29" s="245">
        <f>H28*G29</f>
        <v>165</v>
      </c>
      <c r="I29" s="245"/>
      <c r="J29" s="383"/>
      <c r="K29" s="2">
        <f t="shared" si="0"/>
        <v>0</v>
      </c>
    </row>
    <row r="30" spans="1:11" ht="19.5" customHeight="1">
      <c r="A30" s="4">
        <f>A29+0.1</f>
        <v>6.2</v>
      </c>
      <c r="B30" s="4"/>
      <c r="C30" s="434" t="s">
        <v>34</v>
      </c>
      <c r="D30" s="437"/>
      <c r="E30" s="438"/>
      <c r="F30" s="39" t="s">
        <v>20</v>
      </c>
      <c r="G30" s="39">
        <v>0.35</v>
      </c>
      <c r="H30" s="39">
        <f>H28*G30</f>
        <v>105</v>
      </c>
      <c r="I30" s="39"/>
      <c r="J30" s="384"/>
      <c r="K30" s="2">
        <f t="shared" si="0"/>
        <v>0</v>
      </c>
    </row>
    <row r="31" spans="1:11" ht="19.5" customHeight="1">
      <c r="A31" s="4">
        <f>A30+0.1</f>
        <v>6.3</v>
      </c>
      <c r="B31" s="4"/>
      <c r="C31" s="434" t="s">
        <v>57</v>
      </c>
      <c r="D31" s="437"/>
      <c r="E31" s="438"/>
      <c r="F31" s="4" t="s">
        <v>33</v>
      </c>
      <c r="G31" s="4"/>
      <c r="H31" s="4">
        <v>240</v>
      </c>
      <c r="I31" s="4"/>
      <c r="J31" s="45"/>
      <c r="K31" s="2">
        <f t="shared" si="0"/>
        <v>0</v>
      </c>
    </row>
    <row r="32" spans="1:11" ht="19.5" customHeight="1">
      <c r="A32" s="4">
        <f>A31+0.1</f>
        <v>6.4</v>
      </c>
      <c r="B32" s="4"/>
      <c r="C32" s="434" t="s">
        <v>136</v>
      </c>
      <c r="D32" s="437"/>
      <c r="E32" s="438"/>
      <c r="F32" s="4" t="s">
        <v>33</v>
      </c>
      <c r="G32" s="4"/>
      <c r="H32" s="4">
        <v>60</v>
      </c>
      <c r="I32" s="8"/>
      <c r="J32" s="45"/>
      <c r="K32" s="2">
        <f t="shared" si="0"/>
        <v>0</v>
      </c>
    </row>
    <row r="33" spans="1:11" ht="27.75" customHeight="1">
      <c r="A33" s="6">
        <v>7</v>
      </c>
      <c r="B33" s="6" t="s">
        <v>58</v>
      </c>
      <c r="C33" s="431" t="s">
        <v>59</v>
      </c>
      <c r="D33" s="432"/>
      <c r="E33" s="433"/>
      <c r="F33" s="6" t="s">
        <v>16</v>
      </c>
      <c r="G33" s="6"/>
      <c r="H33" s="6">
        <v>32</v>
      </c>
      <c r="I33" s="6"/>
      <c r="J33" s="274"/>
      <c r="K33" s="2">
        <f t="shared" si="0"/>
        <v>0</v>
      </c>
    </row>
    <row r="34" spans="1:11" ht="17.25" customHeight="1">
      <c r="A34" s="4">
        <f>A33+0.1</f>
        <v>7.1</v>
      </c>
      <c r="B34" s="4"/>
      <c r="C34" s="434" t="s">
        <v>17</v>
      </c>
      <c r="D34" s="437"/>
      <c r="E34" s="438"/>
      <c r="F34" s="245" t="s">
        <v>32</v>
      </c>
      <c r="G34" s="245">
        <v>0.35</v>
      </c>
      <c r="H34" s="245">
        <f>H33*G34</f>
        <v>11.2</v>
      </c>
      <c r="I34" s="245"/>
      <c r="J34" s="383"/>
      <c r="K34" s="2">
        <f t="shared" si="0"/>
        <v>0</v>
      </c>
    </row>
    <row r="35" spans="1:11" ht="20.25" customHeight="1">
      <c r="A35" s="4">
        <f>A34+0.1</f>
        <v>7.2</v>
      </c>
      <c r="B35" s="4"/>
      <c r="C35" s="434" t="s">
        <v>34</v>
      </c>
      <c r="D35" s="437"/>
      <c r="E35" s="438"/>
      <c r="F35" s="39" t="s">
        <v>20</v>
      </c>
      <c r="G35" s="39">
        <v>0.004</v>
      </c>
      <c r="H35" s="39">
        <f>H33*G35</f>
        <v>0.128</v>
      </c>
      <c r="I35" s="39"/>
      <c r="J35" s="384"/>
      <c r="K35" s="2">
        <f t="shared" si="0"/>
        <v>0</v>
      </c>
    </row>
    <row r="36" spans="1:11" ht="21" customHeight="1">
      <c r="A36" s="4">
        <f>A35+0.1</f>
        <v>7.3</v>
      </c>
      <c r="B36" s="4"/>
      <c r="C36" s="434" t="s">
        <v>151</v>
      </c>
      <c r="D36" s="437"/>
      <c r="E36" s="438"/>
      <c r="F36" s="4" t="s">
        <v>16</v>
      </c>
      <c r="G36" s="4"/>
      <c r="H36" s="4">
        <v>32</v>
      </c>
      <c r="I36" s="4"/>
      <c r="J36" s="45"/>
      <c r="K36" s="2">
        <f t="shared" si="0"/>
        <v>0</v>
      </c>
    </row>
    <row r="37" spans="1:11" ht="34.5" customHeight="1">
      <c r="A37" s="6">
        <v>8</v>
      </c>
      <c r="B37" s="6" t="s">
        <v>60</v>
      </c>
      <c r="C37" s="431" t="s">
        <v>328</v>
      </c>
      <c r="D37" s="432"/>
      <c r="E37" s="433"/>
      <c r="F37" s="6" t="s">
        <v>16</v>
      </c>
      <c r="G37" s="6"/>
      <c r="H37" s="6">
        <v>162</v>
      </c>
      <c r="I37" s="6"/>
      <c r="J37" s="274"/>
      <c r="K37" s="2">
        <f t="shared" si="0"/>
        <v>0</v>
      </c>
    </row>
    <row r="38" spans="1:11" ht="18.75" customHeight="1">
      <c r="A38" s="4">
        <f>A37+0.1</f>
        <v>8.1</v>
      </c>
      <c r="B38" s="4"/>
      <c r="C38" s="434" t="s">
        <v>17</v>
      </c>
      <c r="D38" s="437"/>
      <c r="E38" s="438"/>
      <c r="F38" s="245" t="s">
        <v>32</v>
      </c>
      <c r="G38" s="385">
        <v>2</v>
      </c>
      <c r="H38" s="245">
        <f>H37*G38</f>
        <v>324</v>
      </c>
      <c r="I38" s="245"/>
      <c r="J38" s="383"/>
      <c r="K38" s="2">
        <f t="shared" si="0"/>
        <v>0</v>
      </c>
    </row>
    <row r="39" spans="1:11" ht="19.5" customHeight="1">
      <c r="A39" s="4">
        <f>A38+0.1</f>
        <v>8.2</v>
      </c>
      <c r="B39" s="4"/>
      <c r="C39" s="434" t="s">
        <v>34</v>
      </c>
      <c r="D39" s="437"/>
      <c r="E39" s="438"/>
      <c r="F39" s="39" t="s">
        <v>20</v>
      </c>
      <c r="G39" s="39"/>
      <c r="H39" s="39">
        <f>H37*G39</f>
        <v>0</v>
      </c>
      <c r="I39" s="39"/>
      <c r="J39" s="384"/>
      <c r="K39" s="2">
        <f t="shared" si="0"/>
        <v>0</v>
      </c>
    </row>
    <row r="40" spans="1:11" ht="17.25" customHeight="1">
      <c r="A40" s="4">
        <f>A39+0.1</f>
        <v>8.3</v>
      </c>
      <c r="B40" s="4"/>
      <c r="C40" s="434" t="s">
        <v>61</v>
      </c>
      <c r="D40" s="437"/>
      <c r="E40" s="438"/>
      <c r="F40" s="4" t="s">
        <v>16</v>
      </c>
      <c r="G40" s="4"/>
      <c r="H40" s="4">
        <v>162</v>
      </c>
      <c r="I40" s="4"/>
      <c r="J40" s="45"/>
      <c r="K40" s="2">
        <f t="shared" si="0"/>
        <v>0</v>
      </c>
    </row>
    <row r="41" spans="1:11" ht="33" customHeight="1">
      <c r="A41" s="6">
        <v>9</v>
      </c>
      <c r="B41" s="6" t="s">
        <v>62</v>
      </c>
      <c r="C41" s="431" t="s">
        <v>63</v>
      </c>
      <c r="D41" s="432"/>
      <c r="E41" s="433"/>
      <c r="F41" s="6" t="s">
        <v>16</v>
      </c>
      <c r="G41" s="6"/>
      <c r="H41" s="6">
        <v>16</v>
      </c>
      <c r="I41" s="6"/>
      <c r="J41" s="274"/>
      <c r="K41" s="2">
        <f t="shared" si="0"/>
        <v>0</v>
      </c>
    </row>
    <row r="42" spans="1:11" ht="18" customHeight="1">
      <c r="A42" s="4">
        <f>A41+0.1</f>
        <v>9.1</v>
      </c>
      <c r="B42" s="4"/>
      <c r="C42" s="434" t="s">
        <v>17</v>
      </c>
      <c r="D42" s="437"/>
      <c r="E42" s="438"/>
      <c r="F42" s="245" t="s">
        <v>32</v>
      </c>
      <c r="G42" s="245">
        <v>0.39</v>
      </c>
      <c r="H42" s="245">
        <f>H41*G42</f>
        <v>6.24</v>
      </c>
      <c r="I42" s="245"/>
      <c r="J42" s="383"/>
      <c r="K42" s="2">
        <f t="shared" si="0"/>
        <v>0</v>
      </c>
    </row>
    <row r="43" spans="1:11" ht="18" customHeight="1">
      <c r="A43" s="4">
        <f>A42+0.1</f>
        <v>9.2</v>
      </c>
      <c r="B43" s="4"/>
      <c r="C43" s="434" t="s">
        <v>34</v>
      </c>
      <c r="D43" s="437"/>
      <c r="E43" s="438"/>
      <c r="F43" s="39" t="s">
        <v>20</v>
      </c>
      <c r="G43" s="39">
        <v>0.011</v>
      </c>
      <c r="H43" s="39">
        <f>H41*G43</f>
        <v>0.176</v>
      </c>
      <c r="I43" s="39"/>
      <c r="J43" s="384"/>
      <c r="K43" s="2">
        <f t="shared" si="0"/>
        <v>0</v>
      </c>
    </row>
    <row r="44" spans="1:11" ht="20.25" customHeight="1">
      <c r="A44" s="4">
        <f>A43+0.1</f>
        <v>9.3</v>
      </c>
      <c r="B44" s="4"/>
      <c r="C44" s="434" t="s">
        <v>43</v>
      </c>
      <c r="D44" s="437"/>
      <c r="E44" s="438"/>
      <c r="F44" s="4" t="s">
        <v>16</v>
      </c>
      <c r="G44" s="4"/>
      <c r="H44" s="4">
        <v>16</v>
      </c>
      <c r="I44" s="4"/>
      <c r="J44" s="45"/>
      <c r="K44" s="2">
        <f t="shared" si="0"/>
        <v>0</v>
      </c>
    </row>
    <row r="45" spans="1:11" ht="30" customHeight="1">
      <c r="A45" s="6">
        <v>10</v>
      </c>
      <c r="B45" s="6" t="s">
        <v>150</v>
      </c>
      <c r="C45" s="431" t="s">
        <v>41</v>
      </c>
      <c r="D45" s="432"/>
      <c r="E45" s="433"/>
      <c r="F45" s="6" t="s">
        <v>16</v>
      </c>
      <c r="G45" s="6"/>
      <c r="H45" s="6">
        <v>8</v>
      </c>
      <c r="I45" s="6"/>
      <c r="J45" s="274"/>
      <c r="K45" s="2">
        <f t="shared" si="0"/>
        <v>0</v>
      </c>
    </row>
    <row r="46" spans="1:11" ht="20.25" customHeight="1">
      <c r="A46" s="4">
        <f>A45+0.1</f>
        <v>10.1</v>
      </c>
      <c r="B46" s="4"/>
      <c r="C46" s="434" t="s">
        <v>17</v>
      </c>
      <c r="D46" s="437"/>
      <c r="E46" s="438"/>
      <c r="F46" s="245" t="s">
        <v>32</v>
      </c>
      <c r="G46" s="245">
        <v>0.23</v>
      </c>
      <c r="H46" s="245">
        <f>H45*G46</f>
        <v>1.84</v>
      </c>
      <c r="I46" s="245"/>
      <c r="J46" s="383"/>
      <c r="K46" s="2">
        <f t="shared" si="0"/>
        <v>0</v>
      </c>
    </row>
    <row r="47" spans="1:11" ht="20.25" customHeight="1">
      <c r="A47" s="4">
        <f>A46+0.1</f>
        <v>10.2</v>
      </c>
      <c r="B47" s="4"/>
      <c r="C47" s="434" t="s">
        <v>34</v>
      </c>
      <c r="D47" s="437"/>
      <c r="E47" s="438"/>
      <c r="F47" s="39" t="s">
        <v>20</v>
      </c>
      <c r="G47" s="39">
        <v>0.005</v>
      </c>
      <c r="H47" s="39">
        <f>H45*G47</f>
        <v>0.04</v>
      </c>
      <c r="I47" s="39"/>
      <c r="J47" s="384"/>
      <c r="K47" s="2">
        <f t="shared" si="0"/>
        <v>0</v>
      </c>
    </row>
    <row r="48" spans="1:11" ht="21.75" customHeight="1">
      <c r="A48" s="4">
        <f>A47+0.1</f>
        <v>10.3</v>
      </c>
      <c r="B48" s="4"/>
      <c r="C48" s="434" t="s">
        <v>151</v>
      </c>
      <c r="D48" s="437"/>
      <c r="E48" s="438"/>
      <c r="F48" s="4" t="s">
        <v>16</v>
      </c>
      <c r="G48" s="4"/>
      <c r="H48" s="4">
        <v>8</v>
      </c>
      <c r="I48" s="4"/>
      <c r="J48" s="45"/>
      <c r="K48" s="2">
        <f t="shared" si="0"/>
        <v>0</v>
      </c>
    </row>
    <row r="49" spans="1:11" ht="32.25" customHeight="1">
      <c r="A49" s="6">
        <v>11</v>
      </c>
      <c r="B49" s="6" t="s">
        <v>152</v>
      </c>
      <c r="C49" s="431" t="s">
        <v>42</v>
      </c>
      <c r="D49" s="432"/>
      <c r="E49" s="433"/>
      <c r="F49" s="6" t="s">
        <v>16</v>
      </c>
      <c r="G49" s="6"/>
      <c r="H49" s="6">
        <v>16</v>
      </c>
      <c r="I49" s="6"/>
      <c r="J49" s="274"/>
      <c r="K49" s="2">
        <f t="shared" si="0"/>
        <v>0</v>
      </c>
    </row>
    <row r="50" spans="1:11" ht="18.75" customHeight="1">
      <c r="A50" s="4">
        <f>A49+0.1</f>
        <v>11.1</v>
      </c>
      <c r="B50" s="4"/>
      <c r="C50" s="434" t="s">
        <v>17</v>
      </c>
      <c r="D50" s="437"/>
      <c r="E50" s="438"/>
      <c r="F50" s="245" t="s">
        <v>32</v>
      </c>
      <c r="G50" s="245">
        <v>0.25</v>
      </c>
      <c r="H50" s="245">
        <f>H49*G50</f>
        <v>4</v>
      </c>
      <c r="I50" s="245"/>
      <c r="J50" s="383"/>
      <c r="K50" s="2">
        <f t="shared" si="0"/>
        <v>0</v>
      </c>
    </row>
    <row r="51" spans="1:11" ht="22.5" customHeight="1">
      <c r="A51" s="4">
        <f>A50+0.1</f>
        <v>11.2</v>
      </c>
      <c r="B51" s="4"/>
      <c r="C51" s="434" t="s">
        <v>34</v>
      </c>
      <c r="D51" s="437"/>
      <c r="E51" s="438"/>
      <c r="F51" s="39" t="s">
        <v>20</v>
      </c>
      <c r="G51" s="39">
        <v>0.002</v>
      </c>
      <c r="H51" s="39">
        <f>H49*G51</f>
        <v>0.032</v>
      </c>
      <c r="I51" s="39"/>
      <c r="J51" s="384"/>
      <c r="K51" s="2">
        <f t="shared" si="0"/>
        <v>0</v>
      </c>
    </row>
    <row r="52" spans="1:11" ht="21" customHeight="1">
      <c r="A52" s="4">
        <f>A51+0.1</f>
        <v>11.3</v>
      </c>
      <c r="B52" s="4"/>
      <c r="C52" s="434" t="s">
        <v>43</v>
      </c>
      <c r="D52" s="437"/>
      <c r="E52" s="438"/>
      <c r="F52" s="4" t="s">
        <v>16</v>
      </c>
      <c r="G52" s="4"/>
      <c r="H52" s="4">
        <v>16</v>
      </c>
      <c r="I52" s="4"/>
      <c r="J52" s="45"/>
      <c r="K52" s="2">
        <f t="shared" si="0"/>
        <v>0</v>
      </c>
    </row>
    <row r="53" spans="1:11" ht="31.5" customHeight="1">
      <c r="A53" s="6">
        <v>12</v>
      </c>
      <c r="B53" s="6" t="s">
        <v>64</v>
      </c>
      <c r="C53" s="431" t="s">
        <v>329</v>
      </c>
      <c r="D53" s="432"/>
      <c r="E53" s="433"/>
      <c r="F53" s="6" t="s">
        <v>16</v>
      </c>
      <c r="G53" s="6"/>
      <c r="H53" s="6">
        <v>140</v>
      </c>
      <c r="I53" s="6"/>
      <c r="J53" s="274"/>
      <c r="K53" s="2">
        <f t="shared" si="0"/>
        <v>0</v>
      </c>
    </row>
    <row r="54" spans="1:11" ht="19.5" customHeight="1">
      <c r="A54" s="4">
        <f>A53+0.1</f>
        <v>12.1</v>
      </c>
      <c r="B54" s="4"/>
      <c r="C54" s="434" t="s">
        <v>17</v>
      </c>
      <c r="D54" s="437"/>
      <c r="E54" s="438"/>
      <c r="F54" s="245" t="s">
        <v>32</v>
      </c>
      <c r="G54" s="245">
        <v>0.66</v>
      </c>
      <c r="H54" s="245">
        <f>H53*G54</f>
        <v>92.4</v>
      </c>
      <c r="I54" s="245"/>
      <c r="J54" s="383"/>
      <c r="K54" s="2">
        <f t="shared" si="0"/>
        <v>0</v>
      </c>
    </row>
    <row r="55" spans="1:11" ht="18" customHeight="1">
      <c r="A55" s="4">
        <f>A54+0.1</f>
        <v>12.2</v>
      </c>
      <c r="B55" s="4"/>
      <c r="C55" s="434" t="s">
        <v>34</v>
      </c>
      <c r="D55" s="437"/>
      <c r="E55" s="438"/>
      <c r="F55" s="39" t="s">
        <v>20</v>
      </c>
      <c r="G55" s="39">
        <v>0.51</v>
      </c>
      <c r="H55" s="39">
        <f>H53*G55</f>
        <v>71.4</v>
      </c>
      <c r="I55" s="39"/>
      <c r="J55" s="384"/>
      <c r="K55" s="2">
        <f t="shared" si="0"/>
        <v>0</v>
      </c>
    </row>
    <row r="56" spans="1:11" ht="18.75" customHeight="1">
      <c r="A56" s="4">
        <f>A55+0.1</f>
        <v>12.3</v>
      </c>
      <c r="B56" s="4"/>
      <c r="C56" s="434" t="s">
        <v>330</v>
      </c>
      <c r="D56" s="437"/>
      <c r="E56" s="438"/>
      <c r="F56" s="4" t="s">
        <v>16</v>
      </c>
      <c r="G56" s="4"/>
      <c r="H56" s="4">
        <v>140</v>
      </c>
      <c r="I56" s="4"/>
      <c r="J56" s="45"/>
      <c r="K56" s="2">
        <f t="shared" si="0"/>
        <v>0</v>
      </c>
    </row>
    <row r="57" spans="1:11" ht="24.75" customHeight="1">
      <c r="A57" s="6">
        <v>13</v>
      </c>
      <c r="B57" s="6" t="s">
        <v>195</v>
      </c>
      <c r="C57" s="431" t="s">
        <v>196</v>
      </c>
      <c r="D57" s="432"/>
      <c r="E57" s="433"/>
      <c r="F57" s="6" t="s">
        <v>16</v>
      </c>
      <c r="G57" s="6"/>
      <c r="H57" s="6">
        <f>H60+H61</f>
        <v>7</v>
      </c>
      <c r="I57" s="6"/>
      <c r="J57" s="274"/>
      <c r="K57" s="2">
        <f t="shared" si="0"/>
        <v>0</v>
      </c>
    </row>
    <row r="58" spans="1:11" ht="20.25" customHeight="1">
      <c r="A58" s="4">
        <f>A57+0.1</f>
        <v>13.1</v>
      </c>
      <c r="B58" s="4"/>
      <c r="C58" s="434" t="s">
        <v>17</v>
      </c>
      <c r="D58" s="437"/>
      <c r="E58" s="438"/>
      <c r="F58" s="245" t="s">
        <v>32</v>
      </c>
      <c r="G58" s="245">
        <v>2.3</v>
      </c>
      <c r="H58" s="245">
        <f>H57*G58</f>
        <v>16.1</v>
      </c>
      <c r="I58" s="245"/>
      <c r="J58" s="383"/>
      <c r="K58" s="2">
        <f t="shared" si="0"/>
        <v>0</v>
      </c>
    </row>
    <row r="59" spans="1:11" ht="19.5" customHeight="1">
      <c r="A59" s="4">
        <f>A58+0.1</f>
        <v>13.2</v>
      </c>
      <c r="B59" s="4"/>
      <c r="C59" s="434" t="s">
        <v>34</v>
      </c>
      <c r="D59" s="437"/>
      <c r="E59" s="438"/>
      <c r="F59" s="39" t="s">
        <v>20</v>
      </c>
      <c r="G59" s="39">
        <v>0.96</v>
      </c>
      <c r="H59" s="39">
        <f>H57*G59</f>
        <v>6.72</v>
      </c>
      <c r="I59" s="39"/>
      <c r="J59" s="384"/>
      <c r="K59" s="2">
        <f t="shared" si="0"/>
        <v>0</v>
      </c>
    </row>
    <row r="60" spans="1:11" ht="17.25" customHeight="1">
      <c r="A60" s="4">
        <f>A59+0.1</f>
        <v>13.3</v>
      </c>
      <c r="B60" s="4"/>
      <c r="C60" s="434" t="s">
        <v>65</v>
      </c>
      <c r="D60" s="437"/>
      <c r="E60" s="438"/>
      <c r="F60" s="4" t="s">
        <v>16</v>
      </c>
      <c r="G60" s="4"/>
      <c r="H60" s="4">
        <v>3</v>
      </c>
      <c r="I60" s="4"/>
      <c r="J60" s="45"/>
      <c r="K60" s="2">
        <f t="shared" si="0"/>
        <v>0</v>
      </c>
    </row>
    <row r="61" spans="1:11" ht="19.5" customHeight="1">
      <c r="A61" s="4">
        <f>A60+0.1</f>
        <v>13.4</v>
      </c>
      <c r="B61" s="4"/>
      <c r="C61" s="434" t="s">
        <v>331</v>
      </c>
      <c r="D61" s="437"/>
      <c r="E61" s="438"/>
      <c r="F61" s="4" t="s">
        <v>16</v>
      </c>
      <c r="G61" s="4"/>
      <c r="H61" s="4">
        <v>4</v>
      </c>
      <c r="I61" s="4"/>
      <c r="J61" s="45"/>
      <c r="K61" s="2">
        <f t="shared" si="0"/>
        <v>0</v>
      </c>
    </row>
    <row r="62" spans="1:11" ht="21" customHeight="1">
      <c r="A62" s="4">
        <f>A61+0.1</f>
        <v>13.5</v>
      </c>
      <c r="B62" s="4"/>
      <c r="C62" s="434" t="s">
        <v>332</v>
      </c>
      <c r="D62" s="437"/>
      <c r="E62" s="438"/>
      <c r="F62" s="4" t="s">
        <v>16</v>
      </c>
      <c r="G62" s="4"/>
      <c r="H62" s="4">
        <v>20</v>
      </c>
      <c r="I62" s="8"/>
      <c r="J62" s="45"/>
      <c r="K62" s="2">
        <f t="shared" si="0"/>
        <v>0</v>
      </c>
    </row>
    <row r="63" spans="1:11" ht="28.5" customHeight="1">
      <c r="A63" s="6">
        <v>14</v>
      </c>
      <c r="B63" s="6" t="s">
        <v>195</v>
      </c>
      <c r="C63" s="431" t="s">
        <v>333</v>
      </c>
      <c r="D63" s="432"/>
      <c r="E63" s="433"/>
      <c r="F63" s="6" t="s">
        <v>16</v>
      </c>
      <c r="G63" s="6"/>
      <c r="H63" s="6">
        <v>1</v>
      </c>
      <c r="I63" s="6"/>
      <c r="J63" s="274"/>
      <c r="K63" s="2">
        <f t="shared" si="0"/>
        <v>0</v>
      </c>
    </row>
    <row r="64" spans="1:11" ht="19.5" customHeight="1">
      <c r="A64" s="4">
        <f>A63+0.1</f>
        <v>14.1</v>
      </c>
      <c r="B64" s="4"/>
      <c r="C64" s="434" t="s">
        <v>17</v>
      </c>
      <c r="D64" s="437"/>
      <c r="E64" s="438"/>
      <c r="F64" s="245" t="s">
        <v>32</v>
      </c>
      <c r="G64" s="245">
        <v>32.5</v>
      </c>
      <c r="H64" s="245">
        <f>H63*G64</f>
        <v>32.5</v>
      </c>
      <c r="I64" s="245"/>
      <c r="J64" s="383"/>
      <c r="K64" s="2">
        <f t="shared" si="0"/>
        <v>0</v>
      </c>
    </row>
    <row r="65" spans="1:11" ht="18" customHeight="1">
      <c r="A65" s="4">
        <f>A64+0.1</f>
        <v>14.2</v>
      </c>
      <c r="B65" s="4"/>
      <c r="C65" s="434" t="s">
        <v>34</v>
      </c>
      <c r="D65" s="437"/>
      <c r="E65" s="438"/>
      <c r="F65" s="39" t="s">
        <v>20</v>
      </c>
      <c r="G65" s="39">
        <v>1.5</v>
      </c>
      <c r="H65" s="39">
        <f>H63*G65</f>
        <v>1.5</v>
      </c>
      <c r="I65" s="39"/>
      <c r="J65" s="384"/>
      <c r="K65" s="2">
        <f t="shared" si="0"/>
        <v>0</v>
      </c>
    </row>
    <row r="66" spans="1:11" ht="18" customHeight="1">
      <c r="A66" s="4">
        <f>A65+0.1</f>
        <v>14.3</v>
      </c>
      <c r="B66" s="4"/>
      <c r="C66" s="434" t="s">
        <v>334</v>
      </c>
      <c r="D66" s="437"/>
      <c r="E66" s="438"/>
      <c r="F66" s="4" t="s">
        <v>16</v>
      </c>
      <c r="G66" s="4"/>
      <c r="H66" s="4">
        <v>1</v>
      </c>
      <c r="I66" s="4"/>
      <c r="J66" s="45"/>
      <c r="K66" s="2">
        <f t="shared" si="0"/>
        <v>0</v>
      </c>
    </row>
    <row r="67" spans="1:11" ht="21.75" customHeight="1">
      <c r="A67" s="6">
        <v>15</v>
      </c>
      <c r="B67" s="4" t="s">
        <v>36</v>
      </c>
      <c r="C67" s="431" t="s">
        <v>211</v>
      </c>
      <c r="D67" s="432"/>
      <c r="E67" s="433"/>
      <c r="F67" s="6" t="s">
        <v>16</v>
      </c>
      <c r="G67" s="6"/>
      <c r="H67" s="6">
        <v>4</v>
      </c>
      <c r="I67" s="6"/>
      <c r="J67" s="274"/>
      <c r="K67" s="2">
        <f t="shared" si="0"/>
        <v>0</v>
      </c>
    </row>
    <row r="68" spans="1:11" ht="20.25" customHeight="1">
      <c r="A68" s="4">
        <f aca="true" t="shared" si="1" ref="A68:A73">A67+0.1</f>
        <v>15.1</v>
      </c>
      <c r="B68" s="4"/>
      <c r="C68" s="434" t="s">
        <v>17</v>
      </c>
      <c r="D68" s="437"/>
      <c r="E68" s="438"/>
      <c r="F68" s="245" t="s">
        <v>32</v>
      </c>
      <c r="G68" s="245">
        <v>18.2</v>
      </c>
      <c r="H68" s="245">
        <f>H67*G68</f>
        <v>72.8</v>
      </c>
      <c r="I68" s="245"/>
      <c r="J68" s="383"/>
      <c r="K68" s="2">
        <f t="shared" si="0"/>
        <v>0</v>
      </c>
    </row>
    <row r="69" spans="1:11" ht="18.75" customHeight="1">
      <c r="A69" s="4">
        <f t="shared" si="1"/>
        <v>15.2</v>
      </c>
      <c r="B69" s="4"/>
      <c r="C69" s="434" t="s">
        <v>335</v>
      </c>
      <c r="D69" s="437"/>
      <c r="E69" s="438"/>
      <c r="F69" s="39" t="s">
        <v>336</v>
      </c>
      <c r="G69" s="39">
        <v>2</v>
      </c>
      <c r="H69" s="39">
        <f>H67*G69</f>
        <v>8</v>
      </c>
      <c r="I69" s="39"/>
      <c r="J69" s="384"/>
      <c r="K69" s="2">
        <f t="shared" si="0"/>
        <v>0</v>
      </c>
    </row>
    <row r="70" spans="1:11" ht="19.5" customHeight="1">
      <c r="A70" s="4">
        <f t="shared" si="1"/>
        <v>15.3</v>
      </c>
      <c r="B70" s="4"/>
      <c r="C70" s="434" t="s">
        <v>337</v>
      </c>
      <c r="D70" s="437"/>
      <c r="E70" s="438"/>
      <c r="F70" s="4" t="s">
        <v>16</v>
      </c>
      <c r="G70" s="4"/>
      <c r="H70" s="4">
        <v>2</v>
      </c>
      <c r="I70" s="4"/>
      <c r="J70" s="45"/>
      <c r="K70" s="2">
        <f t="shared" si="0"/>
        <v>0</v>
      </c>
    </row>
    <row r="71" spans="1:11" ht="17.25" customHeight="1">
      <c r="A71" s="4">
        <f t="shared" si="1"/>
        <v>15.4</v>
      </c>
      <c r="B71" s="4"/>
      <c r="C71" s="434" t="s">
        <v>364</v>
      </c>
      <c r="D71" s="437"/>
      <c r="E71" s="438"/>
      <c r="F71" s="4" t="s">
        <v>16</v>
      </c>
      <c r="G71" s="4"/>
      <c r="H71" s="4">
        <v>1</v>
      </c>
      <c r="I71" s="4"/>
      <c r="J71" s="45"/>
      <c r="K71" s="2">
        <f t="shared" si="0"/>
        <v>0</v>
      </c>
    </row>
    <row r="72" spans="1:11" ht="18.75" customHeight="1">
      <c r="A72" s="4">
        <f t="shared" si="1"/>
        <v>15.5</v>
      </c>
      <c r="B72" s="4"/>
      <c r="C72" s="434" t="s">
        <v>338</v>
      </c>
      <c r="D72" s="437"/>
      <c r="E72" s="438"/>
      <c r="F72" s="4" t="s">
        <v>16</v>
      </c>
      <c r="G72" s="4"/>
      <c r="H72" s="4">
        <v>1</v>
      </c>
      <c r="I72" s="4"/>
      <c r="J72" s="45"/>
      <c r="K72" s="2">
        <f t="shared" si="0"/>
        <v>0</v>
      </c>
    </row>
    <row r="73" spans="1:11" ht="18.75" customHeight="1">
      <c r="A73" s="4">
        <f t="shared" si="1"/>
        <v>15.6</v>
      </c>
      <c r="B73" s="4"/>
      <c r="C73" s="434" t="s">
        <v>339</v>
      </c>
      <c r="D73" s="437"/>
      <c r="E73" s="438"/>
      <c r="F73" s="4" t="s">
        <v>33</v>
      </c>
      <c r="G73" s="4"/>
      <c r="H73" s="4">
        <v>6</v>
      </c>
      <c r="I73" s="4"/>
      <c r="J73" s="45"/>
      <c r="K73" s="2">
        <f t="shared" si="0"/>
        <v>0</v>
      </c>
    </row>
    <row r="74" spans="1:11" s="1" customFormat="1" ht="30.75" customHeight="1">
      <c r="A74" s="6">
        <v>16</v>
      </c>
      <c r="B74" s="4" t="s">
        <v>340</v>
      </c>
      <c r="C74" s="440" t="s">
        <v>341</v>
      </c>
      <c r="D74" s="440"/>
      <c r="E74" s="440"/>
      <c r="F74" s="6" t="s">
        <v>342</v>
      </c>
      <c r="G74" s="4"/>
      <c r="H74" s="12">
        <v>0.12</v>
      </c>
      <c r="I74" s="8"/>
      <c r="J74" s="249"/>
      <c r="K74" s="2">
        <f aca="true" t="shared" si="2" ref="K74:K85">H74*I74</f>
        <v>0</v>
      </c>
    </row>
    <row r="75" spans="1:11" s="1" customFormat="1" ht="20.25" customHeight="1">
      <c r="A75" s="4">
        <f>A74+0.1</f>
        <v>16.1</v>
      </c>
      <c r="B75" s="4"/>
      <c r="C75" s="441" t="s">
        <v>198</v>
      </c>
      <c r="D75" s="441"/>
      <c r="E75" s="441"/>
      <c r="F75" s="245" t="s">
        <v>32</v>
      </c>
      <c r="G75" s="245">
        <v>35.43</v>
      </c>
      <c r="H75" s="246">
        <f>H74*G75</f>
        <v>4.25</v>
      </c>
      <c r="I75" s="246"/>
      <c r="J75" s="250"/>
      <c r="K75" s="2">
        <f t="shared" si="2"/>
        <v>0</v>
      </c>
    </row>
    <row r="76" spans="1:11" s="1" customFormat="1" ht="18.75" customHeight="1">
      <c r="A76" s="4">
        <f>A75+0.1</f>
        <v>16.2</v>
      </c>
      <c r="B76" s="4"/>
      <c r="C76" s="441" t="s">
        <v>34</v>
      </c>
      <c r="D76" s="441"/>
      <c r="E76" s="441"/>
      <c r="F76" s="39" t="s">
        <v>20</v>
      </c>
      <c r="G76" s="39">
        <v>17.4</v>
      </c>
      <c r="H76" s="39">
        <f>G76*H74</f>
        <v>2.088</v>
      </c>
      <c r="I76" s="39"/>
      <c r="J76" s="233"/>
      <c r="K76" s="2">
        <f t="shared" si="2"/>
        <v>0</v>
      </c>
    </row>
    <row r="77" spans="1:11" s="1" customFormat="1" ht="33" customHeight="1">
      <c r="A77" s="6">
        <v>17</v>
      </c>
      <c r="B77" s="4" t="s">
        <v>340</v>
      </c>
      <c r="C77" s="440" t="s">
        <v>343</v>
      </c>
      <c r="D77" s="440"/>
      <c r="E77" s="440"/>
      <c r="F77" s="6" t="s">
        <v>12</v>
      </c>
      <c r="G77" s="4"/>
      <c r="H77" s="12">
        <v>0.03</v>
      </c>
      <c r="I77" s="8"/>
      <c r="J77" s="249"/>
      <c r="K77" s="2">
        <f t="shared" si="2"/>
        <v>0</v>
      </c>
    </row>
    <row r="78" spans="1:11" s="1" customFormat="1" ht="20.25" customHeight="1">
      <c r="A78" s="4">
        <f>A77+0.1</f>
        <v>17.1</v>
      </c>
      <c r="B78" s="4"/>
      <c r="C78" s="441" t="s">
        <v>198</v>
      </c>
      <c r="D78" s="441"/>
      <c r="E78" s="441"/>
      <c r="F78" s="245" t="s">
        <v>32</v>
      </c>
      <c r="G78" s="245">
        <v>79.2</v>
      </c>
      <c r="H78" s="246">
        <f>H77*G78</f>
        <v>2.38</v>
      </c>
      <c r="I78" s="246"/>
      <c r="J78" s="250"/>
      <c r="K78" s="2">
        <f t="shared" si="2"/>
        <v>0</v>
      </c>
    </row>
    <row r="79" spans="1:11" s="1" customFormat="1" ht="21.75" customHeight="1">
      <c r="A79" s="4">
        <f>A78+0.1</f>
        <v>17.2</v>
      </c>
      <c r="B79" s="4"/>
      <c r="C79" s="441" t="s">
        <v>34</v>
      </c>
      <c r="D79" s="441"/>
      <c r="E79" s="441"/>
      <c r="F79" s="39" t="s">
        <v>20</v>
      </c>
      <c r="G79" s="39">
        <v>1.1</v>
      </c>
      <c r="H79" s="39">
        <f>G79*H77</f>
        <v>0.033</v>
      </c>
      <c r="I79" s="39"/>
      <c r="J79" s="233"/>
      <c r="K79" s="2">
        <f t="shared" si="2"/>
        <v>0</v>
      </c>
    </row>
    <row r="80" spans="1:11" s="1" customFormat="1" ht="21.75" customHeight="1">
      <c r="A80" s="4">
        <f>A79+0.1</f>
        <v>17.3</v>
      </c>
      <c r="B80" s="4"/>
      <c r="C80" s="441" t="s">
        <v>344</v>
      </c>
      <c r="D80" s="441"/>
      <c r="E80" s="441"/>
      <c r="F80" s="4" t="s">
        <v>12</v>
      </c>
      <c r="G80" s="4"/>
      <c r="H80" s="8">
        <v>0.03</v>
      </c>
      <c r="I80" s="8"/>
      <c r="J80" s="251"/>
      <c r="K80" s="2">
        <f t="shared" si="2"/>
        <v>0</v>
      </c>
    </row>
    <row r="81" spans="1:12" ht="35.25" customHeight="1">
      <c r="A81" s="6">
        <v>18</v>
      </c>
      <c r="B81" s="6" t="s">
        <v>149</v>
      </c>
      <c r="C81" s="431" t="s">
        <v>345</v>
      </c>
      <c r="D81" s="432"/>
      <c r="E81" s="433"/>
      <c r="F81" s="6" t="s">
        <v>33</v>
      </c>
      <c r="G81" s="6"/>
      <c r="H81" s="6">
        <f>H84+H85</f>
        <v>245</v>
      </c>
      <c r="I81" s="6"/>
      <c r="J81" s="274"/>
      <c r="K81" s="2">
        <f t="shared" si="2"/>
        <v>0</v>
      </c>
      <c r="L81" s="90"/>
    </row>
    <row r="82" spans="1:11" ht="18" customHeight="1">
      <c r="A82" s="4">
        <f>A81+0.1</f>
        <v>18.1</v>
      </c>
      <c r="B82" s="4"/>
      <c r="C82" s="434" t="s">
        <v>17</v>
      </c>
      <c r="D82" s="437"/>
      <c r="E82" s="438"/>
      <c r="F82" s="245" t="s">
        <v>32</v>
      </c>
      <c r="G82" s="245">
        <v>0.15</v>
      </c>
      <c r="H82" s="245">
        <f>H81*G82</f>
        <v>36.75</v>
      </c>
      <c r="I82" s="245"/>
      <c r="J82" s="383"/>
      <c r="K82" s="2">
        <f t="shared" si="2"/>
        <v>0</v>
      </c>
    </row>
    <row r="83" spans="1:11" ht="18" customHeight="1">
      <c r="A83" s="4">
        <f>A82+0.1</f>
        <v>18.2</v>
      </c>
      <c r="B83" s="4"/>
      <c r="C83" s="434" t="s">
        <v>34</v>
      </c>
      <c r="D83" s="437"/>
      <c r="E83" s="438"/>
      <c r="F83" s="39" t="s">
        <v>20</v>
      </c>
      <c r="G83" s="39">
        <v>0.037</v>
      </c>
      <c r="H83" s="39">
        <f>H81*G83</f>
        <v>9.065</v>
      </c>
      <c r="I83" s="39"/>
      <c r="J83" s="384"/>
      <c r="K83" s="2">
        <f t="shared" si="2"/>
        <v>0</v>
      </c>
    </row>
    <row r="84" spans="1:11" ht="18.75" customHeight="1">
      <c r="A84" s="4">
        <f>A83+0.1</f>
        <v>18.3</v>
      </c>
      <c r="B84" s="4"/>
      <c r="C84" s="434" t="s">
        <v>346</v>
      </c>
      <c r="D84" s="437"/>
      <c r="E84" s="438"/>
      <c r="F84" s="4" t="s">
        <v>33</v>
      </c>
      <c r="G84" s="4"/>
      <c r="H84" s="4">
        <v>125</v>
      </c>
      <c r="I84" s="16"/>
      <c r="J84" s="45"/>
      <c r="K84" s="2">
        <f t="shared" si="2"/>
        <v>0</v>
      </c>
    </row>
    <row r="85" spans="1:11" ht="19.5" customHeight="1">
      <c r="A85" s="4"/>
      <c r="B85" s="4"/>
      <c r="C85" s="434" t="s">
        <v>347</v>
      </c>
      <c r="D85" s="437"/>
      <c r="E85" s="438"/>
      <c r="F85" s="4" t="s">
        <v>33</v>
      </c>
      <c r="G85" s="4"/>
      <c r="H85" s="4">
        <v>120</v>
      </c>
      <c r="I85" s="16"/>
      <c r="J85" s="45"/>
      <c r="K85" s="2">
        <f t="shared" si="2"/>
        <v>0</v>
      </c>
    </row>
    <row r="86" spans="1:10" ht="27" customHeight="1">
      <c r="A86" s="6"/>
      <c r="B86" s="6"/>
      <c r="C86" s="431" t="s">
        <v>44</v>
      </c>
      <c r="D86" s="432"/>
      <c r="E86" s="433"/>
      <c r="F86" s="4" t="s">
        <v>13</v>
      </c>
      <c r="G86" s="6"/>
      <c r="H86" s="6"/>
      <c r="I86" s="6"/>
      <c r="J86" s="274">
        <f>J81+J77+J74+J67+J63+J57+J53+J49+J45+J41+J37+J33+J28+J24+J20+J16+J12+J8</f>
        <v>0</v>
      </c>
    </row>
    <row r="87" spans="1:10" ht="22.5" customHeight="1">
      <c r="A87" s="4"/>
      <c r="B87" s="4"/>
      <c r="C87" s="434" t="s">
        <v>45</v>
      </c>
      <c r="D87" s="437"/>
      <c r="E87" s="438"/>
      <c r="F87" s="4" t="s">
        <v>13</v>
      </c>
      <c r="G87" s="245"/>
      <c r="H87" s="245"/>
      <c r="I87" s="245"/>
      <c r="J87" s="383">
        <f>J82+J78+J75+J68+J64+J58+J54+J50+J46+J42+J38+J34+J29+J25+J21+J17+J13+J9</f>
        <v>0</v>
      </c>
    </row>
    <row r="88" spans="1:10" ht="23.25" customHeight="1">
      <c r="A88" s="4"/>
      <c r="B88" s="4"/>
      <c r="C88" s="434" t="s">
        <v>46</v>
      </c>
      <c r="D88" s="437"/>
      <c r="E88" s="438"/>
      <c r="F88" s="4" t="s">
        <v>13</v>
      </c>
      <c r="G88" s="39"/>
      <c r="H88" s="39"/>
      <c r="I88" s="39"/>
      <c r="J88" s="384">
        <f>J83+J79+J76+J69+J65+J59+J55+J51+J47+J43+J39+J35+J30+J26+J22+J18+J14+J10</f>
        <v>0</v>
      </c>
    </row>
    <row r="89" spans="1:10" ht="24" customHeight="1">
      <c r="A89" s="4"/>
      <c r="B89" s="4"/>
      <c r="C89" s="434" t="s">
        <v>47</v>
      </c>
      <c r="D89" s="437"/>
      <c r="E89" s="438"/>
      <c r="F89" s="4" t="s">
        <v>13</v>
      </c>
      <c r="G89" s="4"/>
      <c r="H89" s="4"/>
      <c r="I89" s="4"/>
      <c r="J89" s="45">
        <f>J86-J87-J88</f>
        <v>0</v>
      </c>
    </row>
    <row r="90" spans="1:10" ht="34.5" customHeight="1">
      <c r="A90" s="4"/>
      <c r="B90" s="4"/>
      <c r="C90" s="434" t="s">
        <v>48</v>
      </c>
      <c r="D90" s="437"/>
      <c r="E90" s="438"/>
      <c r="F90" s="4" t="s">
        <v>13</v>
      </c>
      <c r="G90" s="4"/>
      <c r="H90" s="4"/>
      <c r="I90" s="4"/>
      <c r="J90" s="45">
        <f>J87+J88+J89</f>
        <v>0</v>
      </c>
    </row>
    <row r="91" spans="1:10" ht="30" customHeight="1">
      <c r="A91" s="4"/>
      <c r="B91" s="4"/>
      <c r="C91" s="434" t="s">
        <v>197</v>
      </c>
      <c r="D91" s="437"/>
      <c r="E91" s="438"/>
      <c r="F91" s="4" t="s">
        <v>13</v>
      </c>
      <c r="G91" s="4"/>
      <c r="H91" s="4"/>
      <c r="I91" s="4"/>
      <c r="J91" s="45">
        <f>J87*0.75</f>
        <v>0</v>
      </c>
    </row>
    <row r="92" spans="1:10" ht="21" customHeight="1">
      <c r="A92" s="4"/>
      <c r="B92" s="4"/>
      <c r="C92" s="434" t="s">
        <v>14</v>
      </c>
      <c r="D92" s="437"/>
      <c r="E92" s="438"/>
      <c r="F92" s="4" t="s">
        <v>13</v>
      </c>
      <c r="G92" s="4"/>
      <c r="H92" s="4"/>
      <c r="I92" s="4"/>
      <c r="J92" s="45">
        <f>J90+J91</f>
        <v>0</v>
      </c>
    </row>
    <row r="93" spans="1:10" ht="20.25" customHeight="1">
      <c r="A93" s="4"/>
      <c r="B93" s="4"/>
      <c r="C93" s="434" t="s">
        <v>365</v>
      </c>
      <c r="D93" s="437"/>
      <c r="E93" s="438"/>
      <c r="F93" s="4" t="s">
        <v>13</v>
      </c>
      <c r="G93" s="4"/>
      <c r="H93" s="4"/>
      <c r="I93" s="4"/>
      <c r="J93" s="45">
        <f>J92*0.1</f>
        <v>0</v>
      </c>
    </row>
    <row r="94" spans="1:10" ht="21" customHeight="1">
      <c r="A94" s="4"/>
      <c r="B94" s="4"/>
      <c r="C94" s="434" t="s">
        <v>10</v>
      </c>
      <c r="D94" s="437"/>
      <c r="E94" s="438"/>
      <c r="F94" s="4" t="s">
        <v>13</v>
      </c>
      <c r="G94" s="4"/>
      <c r="H94" s="4"/>
      <c r="I94" s="4"/>
      <c r="J94" s="45">
        <f>J92+J93</f>
        <v>0</v>
      </c>
    </row>
    <row r="95" ht="19.5" customHeight="1"/>
    <row r="96" spans="3:9" ht="13.5">
      <c r="C96" s="439" t="s">
        <v>384</v>
      </c>
      <c r="D96" s="439"/>
      <c r="E96" s="439"/>
      <c r="G96" s="439"/>
      <c r="H96" s="439"/>
      <c r="I96" s="439"/>
    </row>
    <row r="108" ht="13.5">
      <c r="M108" s="5">
        <f>7.15+6.8+8.07+8.21+8.21+8.21</f>
        <v>46.65</v>
      </c>
    </row>
  </sheetData>
  <sheetProtection/>
  <mergeCells count="100">
    <mergeCell ref="A2:I2"/>
    <mergeCell ref="A3:F3"/>
    <mergeCell ref="A5:A6"/>
    <mergeCell ref="B5:B6"/>
    <mergeCell ref="C5:E6"/>
    <mergeCell ref="F5:F6"/>
    <mergeCell ref="G5:H5"/>
    <mergeCell ref="I5:J5"/>
    <mergeCell ref="C86:E86"/>
    <mergeCell ref="C87:E87"/>
    <mergeCell ref="C88:E88"/>
    <mergeCell ref="C80:E80"/>
    <mergeCell ref="C81:E81"/>
    <mergeCell ref="C82:E82"/>
    <mergeCell ref="C83:E83"/>
    <mergeCell ref="C84:E84"/>
    <mergeCell ref="C85:E85"/>
    <mergeCell ref="C92:E92"/>
    <mergeCell ref="C93:E93"/>
    <mergeCell ref="C94:E94"/>
    <mergeCell ref="C96:E96"/>
    <mergeCell ref="G96:I96"/>
    <mergeCell ref="C73:E73"/>
    <mergeCell ref="C74:E74"/>
    <mergeCell ref="C75:E75"/>
    <mergeCell ref="C76:E76"/>
    <mergeCell ref="C89:E89"/>
    <mergeCell ref="C91:E91"/>
    <mergeCell ref="C90:E90"/>
    <mergeCell ref="C77:E77"/>
    <mergeCell ref="C78:E78"/>
    <mergeCell ref="C79:E79"/>
    <mergeCell ref="C66:E66"/>
    <mergeCell ref="C68:E68"/>
    <mergeCell ref="C69:E69"/>
    <mergeCell ref="C70:E70"/>
    <mergeCell ref="C71:E71"/>
    <mergeCell ref="C72:E72"/>
    <mergeCell ref="A1:I1"/>
    <mergeCell ref="A4:F4"/>
    <mergeCell ref="C60:E60"/>
    <mergeCell ref="C61:E61"/>
    <mergeCell ref="C62:E62"/>
    <mergeCell ref="C65:E65"/>
    <mergeCell ref="C67:E67"/>
    <mergeCell ref="C12:E12"/>
    <mergeCell ref="C64:E64"/>
    <mergeCell ref="C43:E43"/>
    <mergeCell ref="C44:E44"/>
    <mergeCell ref="C45:E45"/>
    <mergeCell ref="C52:E52"/>
    <mergeCell ref="C53:E53"/>
    <mergeCell ref="C36:E36"/>
    <mergeCell ref="C37:E37"/>
    <mergeCell ref="C38:E38"/>
    <mergeCell ref="C39:E39"/>
    <mergeCell ref="C40:E40"/>
    <mergeCell ref="C57:E57"/>
    <mergeCell ref="C63:E63"/>
    <mergeCell ref="C58:E58"/>
    <mergeCell ref="C47:E47"/>
    <mergeCell ref="C48:E48"/>
    <mergeCell ref="C49:E49"/>
    <mergeCell ref="C50:E50"/>
    <mergeCell ref="C51:E51"/>
    <mergeCell ref="C55:E55"/>
    <mergeCell ref="C59:E59"/>
    <mergeCell ref="C54:E54"/>
    <mergeCell ref="C56:E56"/>
    <mergeCell ref="C15:E15"/>
    <mergeCell ref="C16:E16"/>
    <mergeCell ref="C32:E32"/>
    <mergeCell ref="C26:E26"/>
    <mergeCell ref="C21:E21"/>
    <mergeCell ref="C34:E34"/>
    <mergeCell ref="C46:E46"/>
    <mergeCell ref="C33:E33"/>
    <mergeCell ref="C30:E30"/>
    <mergeCell ref="C41:E41"/>
    <mergeCell ref="C42:E42"/>
    <mergeCell ref="C35:E35"/>
    <mergeCell ref="C31:E31"/>
    <mergeCell ref="C22:E22"/>
    <mergeCell ref="C24:E24"/>
    <mergeCell ref="C25:E25"/>
    <mergeCell ref="C19:E19"/>
    <mergeCell ref="C18:E18"/>
    <mergeCell ref="C27:E27"/>
    <mergeCell ref="C29:E29"/>
    <mergeCell ref="C23:E23"/>
    <mergeCell ref="C20:E20"/>
    <mergeCell ref="C28:E28"/>
    <mergeCell ref="C8:E8"/>
    <mergeCell ref="C7:E7"/>
    <mergeCell ref="C14:E14"/>
    <mergeCell ref="C17:E17"/>
    <mergeCell ref="C9:E9"/>
    <mergeCell ref="C10:E10"/>
    <mergeCell ref="C11:E11"/>
    <mergeCell ref="C13:E13"/>
  </mergeCells>
  <printOptions/>
  <pageMargins left="0.47" right="0.2" top="0.36" bottom="0.33" header="0.3" footer="0.3"/>
  <pageSetup horizontalDpi="600" verticalDpi="600" orientation="portrait" paperSize="9" scale="9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54"/>
  <sheetViews>
    <sheetView view="pageBreakPreview" zoomScaleSheetLayoutView="100" zoomScalePageLayoutView="0" workbookViewId="0" topLeftCell="A31">
      <selection activeCell="A52" sqref="A52"/>
    </sheetView>
  </sheetViews>
  <sheetFormatPr defaultColWidth="9.00390625" defaultRowHeight="12.75"/>
  <cols>
    <col min="1" max="1" width="4.25390625" style="5" customWidth="1"/>
    <col min="2" max="2" width="9.00390625" style="5" customWidth="1"/>
    <col min="3" max="3" width="43.125" style="5" customWidth="1"/>
    <col min="4" max="4" width="7.75390625" style="5" customWidth="1"/>
    <col min="5" max="5" width="6.75390625" style="5" customWidth="1"/>
    <col min="6" max="6" width="7.625" style="5" customWidth="1"/>
    <col min="7" max="7" width="6.75390625" style="5" customWidth="1"/>
    <col min="8" max="8" width="8.75390625" style="5" customWidth="1"/>
    <col min="9" max="9" width="10.375" style="5" bestFit="1" customWidth="1"/>
    <col min="10" max="10" width="9.25390625" style="5" customWidth="1"/>
    <col min="11" max="11" width="12.25390625" style="5" bestFit="1" customWidth="1"/>
    <col min="12" max="16384" width="9.125" style="5" customWidth="1"/>
  </cols>
  <sheetData>
    <row r="2" spans="1:8" ht="25.5" customHeight="1">
      <c r="A2" s="452" t="s">
        <v>367</v>
      </c>
      <c r="B2" s="452"/>
      <c r="C2" s="452"/>
      <c r="D2" s="452"/>
      <c r="E2" s="452"/>
      <c r="F2" s="452"/>
      <c r="G2" s="452"/>
      <c r="H2" s="452"/>
    </row>
    <row r="3" ht="8.25" customHeight="1"/>
    <row r="4" spans="1:10" ht="33" customHeight="1">
      <c r="A4" s="439" t="s">
        <v>348</v>
      </c>
      <c r="B4" s="439"/>
      <c r="C4" s="439"/>
      <c r="D4" s="439"/>
      <c r="E4" s="439"/>
      <c r="F4" s="439"/>
      <c r="G4" s="439"/>
      <c r="H4" s="439"/>
      <c r="J4" s="5" t="s">
        <v>53</v>
      </c>
    </row>
    <row r="5" spans="1:8" ht="8.25" customHeight="1">
      <c r="A5" s="439"/>
      <c r="B5" s="439"/>
      <c r="C5" s="439"/>
      <c r="D5" s="439"/>
      <c r="E5" s="439"/>
      <c r="F5" s="439"/>
      <c r="G5" s="439"/>
      <c r="H5" s="439"/>
    </row>
    <row r="6" spans="3:8" ht="19.5" customHeight="1">
      <c r="C6" s="5" t="s">
        <v>25</v>
      </c>
      <c r="D6" s="89">
        <f>H51/1000</f>
        <v>0</v>
      </c>
      <c r="E6" s="89"/>
      <c r="F6" s="453" t="s">
        <v>66</v>
      </c>
      <c r="G6" s="453"/>
      <c r="H6" s="453"/>
    </row>
    <row r="7" spans="2:9" ht="19.5" customHeight="1">
      <c r="B7" s="439" t="s">
        <v>67</v>
      </c>
      <c r="C7" s="439"/>
      <c r="D7" s="89">
        <f>H44*0.001</f>
        <v>0</v>
      </c>
      <c r="E7" s="89"/>
      <c r="F7" s="453" t="s">
        <v>27</v>
      </c>
      <c r="G7" s="453"/>
      <c r="H7" s="453"/>
      <c r="I7" s="90"/>
    </row>
    <row r="8" spans="1:8" ht="44.25" customHeight="1">
      <c r="A8" s="443" t="s">
        <v>7</v>
      </c>
      <c r="B8" s="445" t="s">
        <v>8</v>
      </c>
      <c r="C8" s="443" t="s">
        <v>9</v>
      </c>
      <c r="D8" s="445" t="s">
        <v>28</v>
      </c>
      <c r="E8" s="434" t="s">
        <v>15</v>
      </c>
      <c r="F8" s="438"/>
      <c r="G8" s="434" t="s">
        <v>29</v>
      </c>
      <c r="H8" s="438"/>
    </row>
    <row r="9" spans="1:8" ht="81.75" customHeight="1">
      <c r="A9" s="455"/>
      <c r="B9" s="456"/>
      <c r="C9" s="455"/>
      <c r="D9" s="457"/>
      <c r="E9" s="14" t="s">
        <v>30</v>
      </c>
      <c r="F9" s="14" t="s">
        <v>31</v>
      </c>
      <c r="G9" s="14" t="s">
        <v>30</v>
      </c>
      <c r="H9" s="247" t="s">
        <v>10</v>
      </c>
    </row>
    <row r="10" spans="1:8" ht="12.75" customHeight="1">
      <c r="A10" s="3">
        <v>1</v>
      </c>
      <c r="B10" s="3">
        <v>2</v>
      </c>
      <c r="C10" s="3">
        <v>3</v>
      </c>
      <c r="D10" s="4">
        <v>4</v>
      </c>
      <c r="E10" s="4">
        <v>5</v>
      </c>
      <c r="F10" s="4">
        <v>6</v>
      </c>
      <c r="G10" s="4">
        <v>7</v>
      </c>
      <c r="H10" s="3">
        <v>8</v>
      </c>
    </row>
    <row r="11" spans="1:9" ht="33" customHeight="1">
      <c r="A11" s="6">
        <v>1</v>
      </c>
      <c r="B11" s="4" t="s">
        <v>36</v>
      </c>
      <c r="C11" s="6" t="s">
        <v>212</v>
      </c>
      <c r="D11" s="6" t="s">
        <v>16</v>
      </c>
      <c r="E11" s="4"/>
      <c r="F11" s="248">
        <v>14</v>
      </c>
      <c r="G11" s="8"/>
      <c r="H11" s="249"/>
      <c r="I11" s="90">
        <f aca="true" t="shared" si="0" ref="I11:I42">G11*F11</f>
        <v>0</v>
      </c>
    </row>
    <row r="12" spans="1:9" ht="21.75" customHeight="1">
      <c r="A12" s="4">
        <f>A11+0.1</f>
        <v>1.1</v>
      </c>
      <c r="B12" s="4"/>
      <c r="C12" s="4" t="s">
        <v>198</v>
      </c>
      <c r="D12" s="245" t="s">
        <v>32</v>
      </c>
      <c r="E12" s="245">
        <v>2</v>
      </c>
      <c r="F12" s="246">
        <f>F11*E12</f>
        <v>28</v>
      </c>
      <c r="G12" s="246"/>
      <c r="H12" s="250"/>
      <c r="I12" s="90">
        <f t="shared" si="0"/>
        <v>0</v>
      </c>
    </row>
    <row r="13" spans="1:12" ht="21.75" customHeight="1">
      <c r="A13" s="4">
        <f>A12+0.1</f>
        <v>1.2</v>
      </c>
      <c r="B13" s="4"/>
      <c r="C13" s="4" t="s">
        <v>34</v>
      </c>
      <c r="D13" s="39" t="s">
        <v>20</v>
      </c>
      <c r="E13" s="39">
        <v>0.09</v>
      </c>
      <c r="F13" s="39">
        <f>E13*F11</f>
        <v>1.26</v>
      </c>
      <c r="G13" s="39"/>
      <c r="H13" s="233"/>
      <c r="I13" s="90">
        <f t="shared" si="0"/>
        <v>0</v>
      </c>
      <c r="L13" s="5" t="s">
        <v>53</v>
      </c>
    </row>
    <row r="14" spans="1:9" ht="21" customHeight="1">
      <c r="A14" s="4">
        <f>A13+0.1</f>
        <v>1.3</v>
      </c>
      <c r="B14" s="4"/>
      <c r="C14" s="4" t="s">
        <v>349</v>
      </c>
      <c r="D14" s="4" t="s">
        <v>16</v>
      </c>
      <c r="E14" s="4"/>
      <c r="F14" s="4">
        <v>14</v>
      </c>
      <c r="G14" s="4"/>
      <c r="H14" s="13"/>
      <c r="I14" s="90">
        <f t="shared" si="0"/>
        <v>0</v>
      </c>
    </row>
    <row r="15" spans="1:9" ht="27" customHeight="1">
      <c r="A15" s="6">
        <v>2</v>
      </c>
      <c r="B15" s="4" t="s">
        <v>36</v>
      </c>
      <c r="C15" s="6" t="s">
        <v>199</v>
      </c>
      <c r="D15" s="6" t="s">
        <v>16</v>
      </c>
      <c r="E15" s="4"/>
      <c r="F15" s="248">
        <v>24</v>
      </c>
      <c r="G15" s="8"/>
      <c r="H15" s="249"/>
      <c r="I15" s="90">
        <f t="shared" si="0"/>
        <v>0</v>
      </c>
    </row>
    <row r="16" spans="1:9" ht="18.75" customHeight="1">
      <c r="A16" s="4">
        <f>A15+0.1</f>
        <v>2.1</v>
      </c>
      <c r="B16" s="4"/>
      <c r="C16" s="4" t="s">
        <v>198</v>
      </c>
      <c r="D16" s="245" t="s">
        <v>32</v>
      </c>
      <c r="E16" s="245">
        <v>2</v>
      </c>
      <c r="F16" s="246">
        <f>F15*E16</f>
        <v>48</v>
      </c>
      <c r="G16" s="246"/>
      <c r="H16" s="250"/>
      <c r="I16" s="90">
        <f t="shared" si="0"/>
        <v>0</v>
      </c>
    </row>
    <row r="17" spans="1:9" ht="18" customHeight="1">
      <c r="A17" s="4">
        <f>A16+0.1</f>
        <v>2.2</v>
      </c>
      <c r="B17" s="4"/>
      <c r="C17" s="4" t="s">
        <v>34</v>
      </c>
      <c r="D17" s="39" t="s">
        <v>20</v>
      </c>
      <c r="E17" s="39">
        <v>0.09</v>
      </c>
      <c r="F17" s="39">
        <f>E17*F15</f>
        <v>2.16</v>
      </c>
      <c r="G17" s="39"/>
      <c r="H17" s="233"/>
      <c r="I17" s="90">
        <f t="shared" si="0"/>
        <v>0</v>
      </c>
    </row>
    <row r="18" spans="1:9" ht="18.75" customHeight="1">
      <c r="A18" s="4">
        <f>A17+0.1</f>
        <v>2.3</v>
      </c>
      <c r="B18" s="4"/>
      <c r="C18" s="4" t="s">
        <v>200</v>
      </c>
      <c r="D18" s="4" t="s">
        <v>16</v>
      </c>
      <c r="E18" s="4"/>
      <c r="F18" s="4">
        <v>24</v>
      </c>
      <c r="G18" s="4"/>
      <c r="H18" s="13"/>
      <c r="I18" s="90">
        <f t="shared" si="0"/>
        <v>0</v>
      </c>
    </row>
    <row r="19" spans="1:9" ht="25.5" customHeight="1">
      <c r="A19" s="6">
        <v>3</v>
      </c>
      <c r="B19" s="4" t="s">
        <v>36</v>
      </c>
      <c r="C19" s="6" t="s">
        <v>350</v>
      </c>
      <c r="D19" s="6" t="s">
        <v>16</v>
      </c>
      <c r="E19" s="4"/>
      <c r="F19" s="248">
        <v>2</v>
      </c>
      <c r="G19" s="8"/>
      <c r="H19" s="249"/>
      <c r="I19" s="90">
        <f t="shared" si="0"/>
        <v>0</v>
      </c>
    </row>
    <row r="20" spans="1:9" ht="21.75" customHeight="1">
      <c r="A20" s="4">
        <f>A19+0.1</f>
        <v>3.1</v>
      </c>
      <c r="B20" s="4"/>
      <c r="C20" s="4" t="s">
        <v>198</v>
      </c>
      <c r="D20" s="245" t="s">
        <v>32</v>
      </c>
      <c r="E20" s="245">
        <v>1.5</v>
      </c>
      <c r="F20" s="246">
        <f>F19*E20</f>
        <v>3</v>
      </c>
      <c r="G20" s="246"/>
      <c r="H20" s="250"/>
      <c r="I20" s="90">
        <f t="shared" si="0"/>
        <v>0</v>
      </c>
    </row>
    <row r="21" spans="1:9" ht="21.75" customHeight="1">
      <c r="A21" s="4">
        <f>A20+0.1</f>
        <v>3.2</v>
      </c>
      <c r="B21" s="4"/>
      <c r="C21" s="4" t="s">
        <v>34</v>
      </c>
      <c r="D21" s="39" t="s">
        <v>20</v>
      </c>
      <c r="E21" s="39">
        <v>0.09</v>
      </c>
      <c r="F21" s="39">
        <f>E21*F19</f>
        <v>0.18</v>
      </c>
      <c r="G21" s="39"/>
      <c r="H21" s="233"/>
      <c r="I21" s="90">
        <f t="shared" si="0"/>
        <v>0</v>
      </c>
    </row>
    <row r="22" spans="1:9" ht="21.75" customHeight="1">
      <c r="A22" s="4">
        <f>A21+0.1</f>
        <v>3.3</v>
      </c>
      <c r="B22" s="4"/>
      <c r="C22" s="4" t="s">
        <v>350</v>
      </c>
      <c r="D22" s="4" t="s">
        <v>16</v>
      </c>
      <c r="E22" s="4"/>
      <c r="F22" s="4">
        <v>2</v>
      </c>
      <c r="G22" s="4"/>
      <c r="H22" s="13"/>
      <c r="I22" s="90">
        <f t="shared" si="0"/>
        <v>0</v>
      </c>
    </row>
    <row r="23" spans="1:9" ht="21" customHeight="1">
      <c r="A23" s="6">
        <v>4</v>
      </c>
      <c r="B23" s="4" t="s">
        <v>36</v>
      </c>
      <c r="C23" s="6" t="s">
        <v>201</v>
      </c>
      <c r="D23" s="6" t="s">
        <v>33</v>
      </c>
      <c r="E23" s="4"/>
      <c r="F23" s="248">
        <v>350</v>
      </c>
      <c r="G23" s="8"/>
      <c r="H23" s="249"/>
      <c r="I23" s="90">
        <f t="shared" si="0"/>
        <v>0</v>
      </c>
    </row>
    <row r="24" spans="1:9" ht="21.75" customHeight="1">
      <c r="A24" s="4">
        <f>A23+0.1</f>
        <v>4.1</v>
      </c>
      <c r="B24" s="4"/>
      <c r="C24" s="4" t="s">
        <v>198</v>
      </c>
      <c r="D24" s="245" t="s">
        <v>32</v>
      </c>
      <c r="E24" s="245">
        <v>0.09</v>
      </c>
      <c r="F24" s="246">
        <f>F23*E24</f>
        <v>31.5</v>
      </c>
      <c r="G24" s="246"/>
      <c r="H24" s="250"/>
      <c r="I24" s="90">
        <f t="shared" si="0"/>
        <v>0</v>
      </c>
    </row>
    <row r="25" spans="1:9" ht="18.75" customHeight="1">
      <c r="A25" s="4">
        <f>A24+0.1</f>
        <v>4.2</v>
      </c>
      <c r="B25" s="4"/>
      <c r="C25" s="4" t="s">
        <v>34</v>
      </c>
      <c r="D25" s="39" t="s">
        <v>20</v>
      </c>
      <c r="E25" s="39">
        <v>0.0041</v>
      </c>
      <c r="F25" s="39">
        <f>E25*F23</f>
        <v>1.435</v>
      </c>
      <c r="G25" s="39"/>
      <c r="H25" s="233"/>
      <c r="I25" s="90">
        <f t="shared" si="0"/>
        <v>0</v>
      </c>
    </row>
    <row r="26" spans="1:9" ht="24" customHeight="1">
      <c r="A26" s="4">
        <f>A25+0.1</f>
        <v>4.3</v>
      </c>
      <c r="B26" s="4"/>
      <c r="C26" s="4" t="s">
        <v>351</v>
      </c>
      <c r="D26" s="4" t="s">
        <v>33</v>
      </c>
      <c r="E26" s="4"/>
      <c r="F26" s="8">
        <v>350</v>
      </c>
      <c r="G26" s="16"/>
      <c r="H26" s="251"/>
      <c r="I26" s="90">
        <f t="shared" si="0"/>
        <v>0</v>
      </c>
    </row>
    <row r="27" spans="1:9" ht="21.75" customHeight="1">
      <c r="A27" s="4">
        <f>A26+0.1</f>
        <v>4.4</v>
      </c>
      <c r="B27" s="4"/>
      <c r="C27" s="4" t="s">
        <v>352</v>
      </c>
      <c r="D27" s="4" t="s">
        <v>33</v>
      </c>
      <c r="E27" s="4"/>
      <c r="F27" s="8">
        <v>50</v>
      </c>
      <c r="G27" s="16"/>
      <c r="H27" s="251"/>
      <c r="I27" s="90">
        <f t="shared" si="0"/>
        <v>0</v>
      </c>
    </row>
    <row r="28" spans="1:9" ht="24" customHeight="1">
      <c r="A28" s="6">
        <v>5</v>
      </c>
      <c r="B28" s="4" t="s">
        <v>36</v>
      </c>
      <c r="C28" s="6" t="s">
        <v>353</v>
      </c>
      <c r="D28" s="6" t="s">
        <v>33</v>
      </c>
      <c r="E28" s="4"/>
      <c r="F28" s="248">
        <v>150</v>
      </c>
      <c r="G28" s="8"/>
      <c r="H28" s="249"/>
      <c r="I28" s="90">
        <f t="shared" si="0"/>
        <v>0</v>
      </c>
    </row>
    <row r="29" spans="1:9" ht="20.25" customHeight="1">
      <c r="A29" s="4">
        <f>A28+0.1</f>
        <v>5.1</v>
      </c>
      <c r="B29" s="4"/>
      <c r="C29" s="4" t="s">
        <v>198</v>
      </c>
      <c r="D29" s="245" t="s">
        <v>32</v>
      </c>
      <c r="E29" s="245">
        <v>0.15</v>
      </c>
      <c r="F29" s="246">
        <f>F28*E29</f>
        <v>22.5</v>
      </c>
      <c r="G29" s="246"/>
      <c r="H29" s="250"/>
      <c r="I29" s="90">
        <f t="shared" si="0"/>
        <v>0</v>
      </c>
    </row>
    <row r="30" spans="1:9" ht="17.25" customHeight="1">
      <c r="A30" s="4">
        <f>A29+0.1</f>
        <v>5.2</v>
      </c>
      <c r="B30" s="4"/>
      <c r="C30" s="4" t="s">
        <v>34</v>
      </c>
      <c r="D30" s="39" t="s">
        <v>20</v>
      </c>
      <c r="E30" s="39">
        <v>0.05</v>
      </c>
      <c r="F30" s="39">
        <f>E30*F28</f>
        <v>7.5</v>
      </c>
      <c r="G30" s="39"/>
      <c r="H30" s="233"/>
      <c r="I30" s="90">
        <f t="shared" si="0"/>
        <v>0</v>
      </c>
    </row>
    <row r="31" spans="1:9" ht="20.25" customHeight="1">
      <c r="A31" s="4">
        <f>A30+0.1</f>
        <v>5.3</v>
      </c>
      <c r="B31" s="4"/>
      <c r="C31" s="4" t="s">
        <v>354</v>
      </c>
      <c r="D31" s="4" t="s">
        <v>33</v>
      </c>
      <c r="E31" s="4"/>
      <c r="F31" s="8">
        <v>150</v>
      </c>
      <c r="G31" s="16"/>
      <c r="H31" s="251"/>
      <c r="I31" s="90">
        <f t="shared" si="0"/>
        <v>0</v>
      </c>
    </row>
    <row r="32" spans="1:9" ht="29.25" customHeight="1">
      <c r="A32" s="6">
        <v>6</v>
      </c>
      <c r="B32" s="4" t="s">
        <v>36</v>
      </c>
      <c r="C32" s="6" t="s">
        <v>355</v>
      </c>
      <c r="D32" s="6" t="s">
        <v>16</v>
      </c>
      <c r="E32" s="4"/>
      <c r="F32" s="248">
        <v>1</v>
      </c>
      <c r="G32" s="8"/>
      <c r="H32" s="249"/>
      <c r="I32" s="90">
        <f t="shared" si="0"/>
        <v>0</v>
      </c>
    </row>
    <row r="33" spans="1:9" ht="21.75" customHeight="1">
      <c r="A33" s="4">
        <f>A32+0.1</f>
        <v>6.1</v>
      </c>
      <c r="B33" s="4"/>
      <c r="C33" s="4" t="s">
        <v>198</v>
      </c>
      <c r="D33" s="245" t="s">
        <v>32</v>
      </c>
      <c r="E33" s="245">
        <v>0.15</v>
      </c>
      <c r="F33" s="246">
        <f>F32*E33</f>
        <v>0.15</v>
      </c>
      <c r="G33" s="246"/>
      <c r="H33" s="250"/>
      <c r="I33" s="90">
        <f t="shared" si="0"/>
        <v>0</v>
      </c>
    </row>
    <row r="34" spans="1:9" ht="21.75" customHeight="1">
      <c r="A34" s="4">
        <f>A33+0.1</f>
        <v>6.2</v>
      </c>
      <c r="B34" s="4"/>
      <c r="C34" s="4" t="s">
        <v>34</v>
      </c>
      <c r="D34" s="39" t="s">
        <v>20</v>
      </c>
      <c r="E34" s="39">
        <v>0.004</v>
      </c>
      <c r="F34" s="39">
        <f>E34*F32</f>
        <v>0.004</v>
      </c>
      <c r="G34" s="39"/>
      <c r="H34" s="233"/>
      <c r="I34" s="90">
        <f t="shared" si="0"/>
        <v>0</v>
      </c>
    </row>
    <row r="35" spans="1:9" ht="24" customHeight="1">
      <c r="A35" s="4">
        <f>A34+0.1</f>
        <v>6.3</v>
      </c>
      <c r="B35" s="4"/>
      <c r="C35" s="4" t="s">
        <v>355</v>
      </c>
      <c r="D35" s="4" t="s">
        <v>16</v>
      </c>
      <c r="E35" s="4"/>
      <c r="F35" s="8">
        <v>1</v>
      </c>
      <c r="G35" s="16"/>
      <c r="H35" s="251"/>
      <c r="I35" s="90">
        <f t="shared" si="0"/>
        <v>0</v>
      </c>
    </row>
    <row r="36" spans="1:9" ht="22.5" customHeight="1">
      <c r="A36" s="6">
        <v>7</v>
      </c>
      <c r="B36" s="4" t="s">
        <v>36</v>
      </c>
      <c r="C36" s="6" t="s">
        <v>356</v>
      </c>
      <c r="D36" s="6" t="s">
        <v>16</v>
      </c>
      <c r="E36" s="4"/>
      <c r="F36" s="248">
        <v>1</v>
      </c>
      <c r="G36" s="8"/>
      <c r="H36" s="249"/>
      <c r="I36" s="90">
        <f t="shared" si="0"/>
        <v>0</v>
      </c>
    </row>
    <row r="37" spans="1:9" ht="21" customHeight="1">
      <c r="A37" s="4">
        <f>A36+0.1</f>
        <v>7.1</v>
      </c>
      <c r="B37" s="4"/>
      <c r="C37" s="4" t="s">
        <v>198</v>
      </c>
      <c r="D37" s="245" t="s">
        <v>32</v>
      </c>
      <c r="E37" s="245">
        <v>0.5</v>
      </c>
      <c r="F37" s="246">
        <f>F36*E37</f>
        <v>0.5</v>
      </c>
      <c r="G37" s="246"/>
      <c r="H37" s="250"/>
      <c r="I37" s="90">
        <f t="shared" si="0"/>
        <v>0</v>
      </c>
    </row>
    <row r="38" spans="1:9" ht="21.75" customHeight="1">
      <c r="A38" s="4">
        <f>A37+0.1</f>
        <v>7.2</v>
      </c>
      <c r="B38" s="4"/>
      <c r="C38" s="4" t="s">
        <v>34</v>
      </c>
      <c r="D38" s="39" t="s">
        <v>20</v>
      </c>
      <c r="E38" s="39">
        <v>0.0041</v>
      </c>
      <c r="F38" s="39">
        <f>E38*F36</f>
        <v>0.0041</v>
      </c>
      <c r="G38" s="39"/>
      <c r="H38" s="233"/>
      <c r="I38" s="90">
        <f t="shared" si="0"/>
        <v>0</v>
      </c>
    </row>
    <row r="39" spans="1:9" ht="23.25" customHeight="1">
      <c r="A39" s="4">
        <f>A38+0.1</f>
        <v>7.3</v>
      </c>
      <c r="B39" s="4"/>
      <c r="C39" s="4" t="s">
        <v>356</v>
      </c>
      <c r="D39" s="4" t="s">
        <v>16</v>
      </c>
      <c r="E39" s="4"/>
      <c r="F39" s="8">
        <v>1</v>
      </c>
      <c r="G39" s="16"/>
      <c r="H39" s="251"/>
      <c r="I39" s="90">
        <f t="shared" si="0"/>
        <v>0</v>
      </c>
    </row>
    <row r="40" spans="1:9" ht="36" customHeight="1">
      <c r="A40" s="6">
        <v>8</v>
      </c>
      <c r="B40" s="4" t="s">
        <v>36</v>
      </c>
      <c r="C40" s="6" t="s">
        <v>357</v>
      </c>
      <c r="D40" s="6" t="s">
        <v>16</v>
      </c>
      <c r="E40" s="4"/>
      <c r="F40" s="248">
        <v>3</v>
      </c>
      <c r="G40" s="8"/>
      <c r="H40" s="249"/>
      <c r="I40" s="90">
        <f t="shared" si="0"/>
        <v>0</v>
      </c>
    </row>
    <row r="41" spans="1:9" ht="21.75" customHeight="1">
      <c r="A41" s="4">
        <f>A40+0.1</f>
        <v>8.1</v>
      </c>
      <c r="B41" s="4"/>
      <c r="C41" s="4" t="s">
        <v>198</v>
      </c>
      <c r="D41" s="245" t="s">
        <v>32</v>
      </c>
      <c r="E41" s="245">
        <v>4</v>
      </c>
      <c r="F41" s="246">
        <f>F40*E41</f>
        <v>12</v>
      </c>
      <c r="G41" s="246"/>
      <c r="H41" s="250"/>
      <c r="I41" s="90">
        <f t="shared" si="0"/>
        <v>0</v>
      </c>
    </row>
    <row r="42" spans="1:9" ht="21.75" customHeight="1">
      <c r="A42" s="4">
        <f>A41+0.1</f>
        <v>8.2</v>
      </c>
      <c r="B42" s="4"/>
      <c r="C42" s="4" t="s">
        <v>34</v>
      </c>
      <c r="D42" s="39" t="s">
        <v>20</v>
      </c>
      <c r="E42" s="39">
        <v>0.0041</v>
      </c>
      <c r="F42" s="39">
        <f>E42*F40</f>
        <v>0.0123</v>
      </c>
      <c r="G42" s="39"/>
      <c r="H42" s="233"/>
      <c r="I42" s="90">
        <f t="shared" si="0"/>
        <v>0</v>
      </c>
    </row>
    <row r="43" spans="1:8" ht="25.5" customHeight="1">
      <c r="A43" s="252"/>
      <c r="B43" s="3"/>
      <c r="C43" s="6" t="s">
        <v>44</v>
      </c>
      <c r="D43" s="4"/>
      <c r="E43" s="4"/>
      <c r="F43" s="4"/>
      <c r="G43" s="4"/>
      <c r="H43" s="43">
        <f>H40+H36+H32+H28+H23+H19+H15+H11</f>
        <v>0</v>
      </c>
    </row>
    <row r="44" spans="1:10" ht="18" customHeight="1">
      <c r="A44" s="252"/>
      <c r="B44" s="6"/>
      <c r="C44" s="6" t="s">
        <v>202</v>
      </c>
      <c r="D44" s="4" t="s">
        <v>13</v>
      </c>
      <c r="E44" s="4"/>
      <c r="F44" s="4"/>
      <c r="G44" s="4"/>
      <c r="H44" s="250">
        <f>H41+H37+H33+H29+H24+H20+H16+H12</f>
        <v>0</v>
      </c>
      <c r="J44" s="89"/>
    </row>
    <row r="45" spans="1:10" ht="20.25" customHeight="1">
      <c r="A45" s="4"/>
      <c r="B45" s="6"/>
      <c r="C45" s="6" t="s">
        <v>46</v>
      </c>
      <c r="D45" s="4" t="s">
        <v>13</v>
      </c>
      <c r="E45" s="245"/>
      <c r="F45" s="246"/>
      <c r="G45" s="246"/>
      <c r="H45" s="233">
        <f>H13+H17+H25+H30</f>
        <v>0</v>
      </c>
      <c r="J45" s="89"/>
    </row>
    <row r="46" spans="1:8" ht="20.25" customHeight="1">
      <c r="A46" s="4"/>
      <c r="B46" s="4"/>
      <c r="C46" s="6" t="s">
        <v>203</v>
      </c>
      <c r="D46" s="4" t="s">
        <v>13</v>
      </c>
      <c r="E46" s="39"/>
      <c r="F46" s="9"/>
      <c r="G46" s="9"/>
      <c r="H46" s="13">
        <f>H43-H44-H45</f>
        <v>0</v>
      </c>
    </row>
    <row r="47" spans="1:8" ht="36" customHeight="1">
      <c r="A47" s="4"/>
      <c r="B47" s="4"/>
      <c r="C47" s="6" t="s">
        <v>48</v>
      </c>
      <c r="D47" s="4" t="s">
        <v>13</v>
      </c>
      <c r="E47" s="4"/>
      <c r="F47" s="8"/>
      <c r="G47" s="8"/>
      <c r="H47" s="43">
        <f>SUM(H44:H46)</f>
        <v>0</v>
      </c>
    </row>
    <row r="48" spans="1:10" ht="28.5" customHeight="1">
      <c r="A48" s="4"/>
      <c r="B48" s="4"/>
      <c r="C48" s="6" t="s">
        <v>204</v>
      </c>
      <c r="D48" s="4" t="s">
        <v>13</v>
      </c>
      <c r="E48" s="4"/>
      <c r="F48" s="8"/>
      <c r="G48" s="8"/>
      <c r="H48" s="13">
        <f>H44*0.65</f>
        <v>0</v>
      </c>
      <c r="J48" s="90"/>
    </row>
    <row r="49" spans="1:11" ht="18" customHeight="1">
      <c r="A49" s="4"/>
      <c r="B49" s="4"/>
      <c r="C49" s="6" t="s">
        <v>14</v>
      </c>
      <c r="D49" s="4" t="s">
        <v>13</v>
      </c>
      <c r="E49" s="4"/>
      <c r="F49" s="8"/>
      <c r="G49" s="8"/>
      <c r="H49" s="13">
        <f>H47+H48</f>
        <v>0</v>
      </c>
      <c r="J49" s="90"/>
      <c r="K49" s="90"/>
    </row>
    <row r="50" spans="1:11" ht="22.5" customHeight="1">
      <c r="A50" s="4"/>
      <c r="B50" s="253"/>
      <c r="C50" s="6" t="s">
        <v>358</v>
      </c>
      <c r="D50" s="4" t="s">
        <v>13</v>
      </c>
      <c r="E50" s="4"/>
      <c r="F50" s="8"/>
      <c r="G50" s="8"/>
      <c r="H50" s="13">
        <f>H49*0.08</f>
        <v>0</v>
      </c>
      <c r="J50" s="90"/>
      <c r="K50" s="5">
        <f>H51*0.18</f>
        <v>0</v>
      </c>
    </row>
    <row r="51" spans="1:11" ht="19.5" customHeight="1">
      <c r="A51" s="4"/>
      <c r="B51" s="4"/>
      <c r="C51" s="6" t="s">
        <v>10</v>
      </c>
      <c r="D51" s="4" t="s">
        <v>13</v>
      </c>
      <c r="E51" s="4"/>
      <c r="F51" s="4"/>
      <c r="G51" s="4"/>
      <c r="H51" s="13">
        <f>H49+H50</f>
        <v>0</v>
      </c>
      <c r="I51" s="90"/>
      <c r="J51" s="90"/>
      <c r="K51" s="90">
        <f>H51+K50</f>
        <v>0</v>
      </c>
    </row>
    <row r="52" spans="1:9" ht="13.5">
      <c r="A52" s="7"/>
      <c r="B52" s="7"/>
      <c r="C52" s="7"/>
      <c r="D52" s="7"/>
      <c r="E52" s="7"/>
      <c r="F52" s="7"/>
      <c r="G52" s="7"/>
      <c r="H52" s="10"/>
      <c r="I52" s="90"/>
    </row>
    <row r="53" spans="1:10" ht="24" customHeight="1">
      <c r="A53" s="7"/>
      <c r="B53" s="7"/>
      <c r="C53" s="7" t="s">
        <v>386</v>
      </c>
      <c r="D53" s="7"/>
      <c r="E53" s="454"/>
      <c r="F53" s="454"/>
      <c r="G53" s="454"/>
      <c r="H53" s="10"/>
      <c r="I53" s="90"/>
      <c r="J53" s="89"/>
    </row>
    <row r="54" spans="2:10" ht="23.25" customHeight="1">
      <c r="B54" s="7"/>
      <c r="J54" s="89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</sheetData>
  <sheetProtection/>
  <mergeCells count="13">
    <mergeCell ref="E53:G53"/>
    <mergeCell ref="A8:A9"/>
    <mergeCell ref="B8:B9"/>
    <mergeCell ref="C8:C9"/>
    <mergeCell ref="D8:D9"/>
    <mergeCell ref="E8:F8"/>
    <mergeCell ref="G8:H8"/>
    <mergeCell ref="A2:H2"/>
    <mergeCell ref="A4:H4"/>
    <mergeCell ref="A5:H5"/>
    <mergeCell ref="F6:H6"/>
    <mergeCell ref="B7:C7"/>
    <mergeCell ref="F7:H7"/>
  </mergeCells>
  <printOptions/>
  <pageMargins left="0.7" right="0.22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2"/>
  <sheetViews>
    <sheetView view="pageBreakPreview" zoomScaleSheetLayoutView="100" zoomScalePageLayoutView="0" workbookViewId="0" topLeftCell="A60">
      <selection activeCell="A80" sqref="A80"/>
    </sheetView>
  </sheetViews>
  <sheetFormatPr defaultColWidth="9.00390625" defaultRowHeight="12.75"/>
  <cols>
    <col min="1" max="1" width="5.125" style="65" customWidth="1"/>
    <col min="2" max="2" width="10.375" style="65" customWidth="1"/>
    <col min="3" max="3" width="40.125" style="65" customWidth="1"/>
    <col min="4" max="4" width="7.125" style="65" customWidth="1"/>
    <col min="5" max="7" width="7.875" style="65" customWidth="1"/>
    <col min="8" max="8" width="7.875" style="80" customWidth="1"/>
    <col min="9" max="16384" width="9.125" style="65" customWidth="1"/>
  </cols>
  <sheetData>
    <row r="1" spans="1:8" ht="34.5" customHeight="1">
      <c r="A1" s="439" t="s">
        <v>368</v>
      </c>
      <c r="B1" s="439"/>
      <c r="C1" s="439"/>
      <c r="D1" s="439"/>
      <c r="E1" s="439"/>
      <c r="F1" s="439"/>
      <c r="G1" s="439"/>
      <c r="H1" s="439"/>
    </row>
    <row r="2" spans="1:8" ht="54.75" customHeight="1">
      <c r="A2" s="452" t="s">
        <v>241</v>
      </c>
      <c r="B2" s="452"/>
      <c r="C2" s="452"/>
      <c r="D2" s="452"/>
      <c r="E2" s="452"/>
      <c r="F2" s="452"/>
      <c r="G2" s="452"/>
      <c r="H2" s="452"/>
    </row>
    <row r="3" spans="1:10" ht="27.75" customHeight="1">
      <c r="A3" s="5"/>
      <c r="B3" s="439" t="s">
        <v>25</v>
      </c>
      <c r="C3" s="439"/>
      <c r="D3" s="89">
        <f>H84*0.001</f>
        <v>0</v>
      </c>
      <c r="E3" s="439" t="s">
        <v>66</v>
      </c>
      <c r="F3" s="439"/>
      <c r="G3" s="439"/>
      <c r="H3" s="90"/>
      <c r="J3" s="65" t="s">
        <v>53</v>
      </c>
    </row>
    <row r="4" spans="1:8" ht="19.5" customHeight="1">
      <c r="A4" s="5"/>
      <c r="B4" s="439" t="s">
        <v>67</v>
      </c>
      <c r="C4" s="439"/>
      <c r="D4" s="125">
        <f>H77*0.001</f>
        <v>0</v>
      </c>
      <c r="E4" s="439" t="s">
        <v>27</v>
      </c>
      <c r="F4" s="439"/>
      <c r="G4" s="439"/>
      <c r="H4" s="439"/>
    </row>
    <row r="5" spans="1:8" ht="24" customHeight="1">
      <c r="A5" s="5"/>
      <c r="B5" s="439"/>
      <c r="C5" s="439"/>
      <c r="D5" s="90"/>
      <c r="E5" s="439"/>
      <c r="F5" s="439"/>
      <c r="G5" s="439"/>
      <c r="H5" s="90"/>
    </row>
    <row r="6" spans="1:8" ht="45" customHeight="1">
      <c r="A6" s="443" t="s">
        <v>7</v>
      </c>
      <c r="B6" s="445" t="s">
        <v>8</v>
      </c>
      <c r="C6" s="443" t="s">
        <v>9</v>
      </c>
      <c r="D6" s="445" t="s">
        <v>28</v>
      </c>
      <c r="E6" s="434" t="s">
        <v>15</v>
      </c>
      <c r="F6" s="438"/>
      <c r="G6" s="434" t="s">
        <v>29</v>
      </c>
      <c r="H6" s="438"/>
    </row>
    <row r="7" spans="1:9" ht="75.75" customHeight="1">
      <c r="A7" s="455"/>
      <c r="B7" s="456"/>
      <c r="C7" s="455"/>
      <c r="D7" s="457"/>
      <c r="E7" s="14" t="s">
        <v>30</v>
      </c>
      <c r="F7" s="14" t="s">
        <v>31</v>
      </c>
      <c r="G7" s="14" t="s">
        <v>30</v>
      </c>
      <c r="H7" s="227" t="s">
        <v>10</v>
      </c>
      <c r="I7" s="66"/>
    </row>
    <row r="8" spans="1:8" ht="15" customHeight="1" thickBot="1">
      <c r="A8" s="53">
        <v>1</v>
      </c>
      <c r="B8" s="53">
        <v>2</v>
      </c>
      <c r="C8" s="53">
        <v>3</v>
      </c>
      <c r="D8" s="51">
        <v>4</v>
      </c>
      <c r="E8" s="51">
        <v>5</v>
      </c>
      <c r="F8" s="51">
        <v>6</v>
      </c>
      <c r="G8" s="51">
        <v>7</v>
      </c>
      <c r="H8" s="228">
        <v>8</v>
      </c>
    </row>
    <row r="9" spans="1:8" ht="55.5" customHeight="1" hidden="1" thickBot="1">
      <c r="A9" s="63"/>
      <c r="B9" s="62"/>
      <c r="C9" s="126"/>
      <c r="D9" s="62"/>
      <c r="E9" s="62"/>
      <c r="F9" s="62"/>
      <c r="G9" s="62"/>
      <c r="H9" s="229"/>
    </row>
    <row r="10" spans="1:9" ht="15" customHeight="1" hidden="1">
      <c r="A10" s="3"/>
      <c r="B10" s="3"/>
      <c r="C10" s="87"/>
      <c r="D10" s="55"/>
      <c r="E10" s="55"/>
      <c r="F10" s="56"/>
      <c r="G10" s="97"/>
      <c r="H10" s="230"/>
      <c r="I10" s="80">
        <f aca="true" t="shared" si="0" ref="I10:I75">G10*F10</f>
        <v>0</v>
      </c>
    </row>
    <row r="11" spans="1:9" ht="15" customHeight="1" hidden="1" thickBot="1">
      <c r="A11" s="51"/>
      <c r="B11" s="51"/>
      <c r="C11" s="88"/>
      <c r="D11" s="59"/>
      <c r="E11" s="59"/>
      <c r="F11" s="60"/>
      <c r="G11" s="59"/>
      <c r="H11" s="231"/>
      <c r="I11" s="80">
        <f t="shared" si="0"/>
        <v>0</v>
      </c>
    </row>
    <row r="12" spans="1:9" ht="51" customHeight="1" hidden="1" thickBot="1">
      <c r="A12" s="63"/>
      <c r="B12" s="62"/>
      <c r="C12" s="126"/>
      <c r="D12" s="62"/>
      <c r="E12" s="62"/>
      <c r="F12" s="62"/>
      <c r="G12" s="62"/>
      <c r="H12" s="229"/>
      <c r="I12" s="80">
        <f t="shared" si="0"/>
        <v>0</v>
      </c>
    </row>
    <row r="13" spans="1:9" ht="15" customHeight="1" hidden="1">
      <c r="A13" s="3"/>
      <c r="B13" s="3"/>
      <c r="C13" s="87"/>
      <c r="D13" s="55"/>
      <c r="E13" s="55"/>
      <c r="F13" s="56"/>
      <c r="G13" s="55"/>
      <c r="H13" s="230"/>
      <c r="I13" s="80">
        <f t="shared" si="0"/>
        <v>0</v>
      </c>
    </row>
    <row r="14" spans="1:9" ht="15" customHeight="1" hidden="1" thickBot="1">
      <c r="A14" s="51"/>
      <c r="B14" s="51"/>
      <c r="C14" s="88"/>
      <c r="D14" s="59"/>
      <c r="E14" s="59"/>
      <c r="F14" s="60"/>
      <c r="G14" s="59"/>
      <c r="H14" s="231"/>
      <c r="I14" s="80">
        <f t="shared" si="0"/>
        <v>0</v>
      </c>
    </row>
    <row r="15" spans="1:9" ht="63" customHeight="1" thickBot="1">
      <c r="A15" s="280">
        <v>1</v>
      </c>
      <c r="B15" s="91" t="s">
        <v>90</v>
      </c>
      <c r="C15" s="281" t="s">
        <v>220</v>
      </c>
      <c r="D15" s="282" t="s">
        <v>105</v>
      </c>
      <c r="E15" s="283"/>
      <c r="F15" s="284">
        <v>1</v>
      </c>
      <c r="G15" s="283"/>
      <c r="H15" s="72"/>
      <c r="I15" s="80">
        <f t="shared" si="0"/>
        <v>0</v>
      </c>
    </row>
    <row r="16" spans="1:13" s="93" customFormat="1" ht="48" customHeight="1" thickBot="1">
      <c r="A16" s="140">
        <v>2</v>
      </c>
      <c r="B16" s="86" t="s">
        <v>213</v>
      </c>
      <c r="C16" s="127" t="s">
        <v>226</v>
      </c>
      <c r="D16" s="86" t="s">
        <v>97</v>
      </c>
      <c r="E16" s="153"/>
      <c r="F16" s="132">
        <v>1</v>
      </c>
      <c r="G16" s="153"/>
      <c r="H16" s="214"/>
      <c r="I16" s="80">
        <f t="shared" si="0"/>
        <v>0</v>
      </c>
      <c r="J16" s="159"/>
      <c r="K16" s="139"/>
      <c r="L16" s="142"/>
      <c r="M16" s="168"/>
    </row>
    <row r="17" spans="1:13" s="93" customFormat="1" ht="16.5" customHeight="1">
      <c r="A17" s="102">
        <f>A16+0.1</f>
        <v>2.1</v>
      </c>
      <c r="B17" s="130"/>
      <c r="C17" s="103" t="s">
        <v>93</v>
      </c>
      <c r="D17" s="103" t="s">
        <v>94</v>
      </c>
      <c r="E17" s="105">
        <v>7.8</v>
      </c>
      <c r="F17" s="105">
        <f>F16*E17</f>
        <v>7.8</v>
      </c>
      <c r="G17" s="118"/>
      <c r="H17" s="215"/>
      <c r="I17" s="80">
        <f t="shared" si="0"/>
        <v>0</v>
      </c>
      <c r="J17" s="157"/>
      <c r="K17" s="139"/>
      <c r="L17" s="142"/>
      <c r="M17" s="142"/>
    </row>
    <row r="18" spans="1:13" s="93" customFormat="1" ht="16.5" customHeight="1" thickBot="1">
      <c r="A18" s="123">
        <f>A17+0.1</f>
        <v>2.2</v>
      </c>
      <c r="B18" s="119"/>
      <c r="C18" s="119" t="s">
        <v>95</v>
      </c>
      <c r="D18" s="128" t="s">
        <v>96</v>
      </c>
      <c r="E18" s="158">
        <v>14.7</v>
      </c>
      <c r="F18" s="158">
        <f>F16*E18</f>
        <v>14.7</v>
      </c>
      <c r="G18" s="158"/>
      <c r="H18" s="216"/>
      <c r="I18" s="80">
        <f t="shared" si="0"/>
        <v>0</v>
      </c>
      <c r="J18" s="157"/>
      <c r="K18" s="139"/>
      <c r="L18" s="142"/>
      <c r="M18" s="142"/>
    </row>
    <row r="19" spans="1:13" s="93" customFormat="1" ht="63.75" customHeight="1" thickBot="1">
      <c r="A19" s="140">
        <v>3</v>
      </c>
      <c r="B19" s="86" t="s">
        <v>213</v>
      </c>
      <c r="C19" s="127" t="s">
        <v>227</v>
      </c>
      <c r="D19" s="86" t="s">
        <v>97</v>
      </c>
      <c r="E19" s="153"/>
      <c r="F19" s="132">
        <v>1</v>
      </c>
      <c r="G19" s="153"/>
      <c r="H19" s="214"/>
      <c r="I19" s="80">
        <f t="shared" si="0"/>
        <v>0</v>
      </c>
      <c r="J19" s="157"/>
      <c r="K19" s="139"/>
      <c r="L19" s="142"/>
      <c r="M19" s="142"/>
    </row>
    <row r="20" spans="1:13" s="93" customFormat="1" ht="16.5" customHeight="1">
      <c r="A20" s="102">
        <f>A19+0.1</f>
        <v>3.1</v>
      </c>
      <c r="B20" s="130"/>
      <c r="C20" s="103" t="s">
        <v>93</v>
      </c>
      <c r="D20" s="103" t="s">
        <v>94</v>
      </c>
      <c r="E20" s="105">
        <v>21.1</v>
      </c>
      <c r="F20" s="105">
        <f>F19*E20</f>
        <v>21.1</v>
      </c>
      <c r="G20" s="118"/>
      <c r="H20" s="215"/>
      <c r="I20" s="80">
        <f t="shared" si="0"/>
        <v>0</v>
      </c>
      <c r="J20" s="157"/>
      <c r="K20" s="139"/>
      <c r="L20" s="142"/>
      <c r="M20" s="142"/>
    </row>
    <row r="21" spans="1:13" s="93" customFormat="1" ht="16.5" customHeight="1">
      <c r="A21" s="123">
        <f>A20+0.1</f>
        <v>3.2</v>
      </c>
      <c r="B21" s="119"/>
      <c r="C21" s="119" t="s">
        <v>95</v>
      </c>
      <c r="D21" s="128" t="s">
        <v>96</v>
      </c>
      <c r="E21" s="158">
        <v>14.7</v>
      </c>
      <c r="F21" s="158">
        <f>F19*E21</f>
        <v>14.7</v>
      </c>
      <c r="G21" s="158"/>
      <c r="H21" s="216"/>
      <c r="I21" s="80">
        <f t="shared" si="0"/>
        <v>0</v>
      </c>
      <c r="J21" s="157"/>
      <c r="K21" s="139"/>
      <c r="L21" s="142"/>
      <c r="M21" s="142"/>
    </row>
    <row r="22" spans="1:13" s="93" customFormat="1" ht="16.5" customHeight="1" thickBot="1">
      <c r="A22" s="277"/>
      <c r="B22" s="278"/>
      <c r="C22" s="141" t="s">
        <v>228</v>
      </c>
      <c r="D22" s="141" t="s">
        <v>97</v>
      </c>
      <c r="E22" s="279">
        <v>1.04</v>
      </c>
      <c r="F22" s="279">
        <f>F19*E22</f>
        <v>1.04</v>
      </c>
      <c r="G22" s="279"/>
      <c r="H22" s="223"/>
      <c r="I22" s="80">
        <f t="shared" si="0"/>
        <v>0</v>
      </c>
      <c r="J22" s="157"/>
      <c r="K22" s="139"/>
      <c r="L22" s="142"/>
      <c r="M22" s="142"/>
    </row>
    <row r="23" spans="1:9" ht="43.5" customHeight="1" thickBot="1">
      <c r="A23" s="286">
        <f>A19+1</f>
        <v>4</v>
      </c>
      <c r="B23" s="287" t="s">
        <v>141</v>
      </c>
      <c r="C23" s="287" t="s">
        <v>370</v>
      </c>
      <c r="D23" s="287" t="s">
        <v>68</v>
      </c>
      <c r="E23" s="287"/>
      <c r="F23" s="288">
        <v>0.15</v>
      </c>
      <c r="G23" s="288"/>
      <c r="H23" s="289"/>
      <c r="I23" s="80">
        <f t="shared" si="0"/>
        <v>0</v>
      </c>
    </row>
    <row r="24" spans="1:11" ht="21.75" customHeight="1">
      <c r="A24" s="290">
        <f>A23+0.1</f>
        <v>4.1</v>
      </c>
      <c r="B24" s="290"/>
      <c r="C24" s="291" t="s">
        <v>0</v>
      </c>
      <c r="D24" s="291" t="s">
        <v>32</v>
      </c>
      <c r="E24" s="292">
        <f>60.9*0.3</f>
        <v>18.27</v>
      </c>
      <c r="F24" s="292">
        <f>E24*F23</f>
        <v>2.74</v>
      </c>
      <c r="G24" s="292"/>
      <c r="H24" s="293"/>
      <c r="I24" s="80">
        <f t="shared" si="0"/>
        <v>0</v>
      </c>
      <c r="K24" s="276"/>
    </row>
    <row r="25" spans="1:9" ht="21.75" customHeight="1" thickBot="1">
      <c r="A25" s="294">
        <f>A24+0.1</f>
        <v>4.2</v>
      </c>
      <c r="B25" s="294"/>
      <c r="C25" s="295" t="s">
        <v>1</v>
      </c>
      <c r="D25" s="295" t="s">
        <v>13</v>
      </c>
      <c r="E25" s="295">
        <f>0.21*0.3</f>
        <v>0.063</v>
      </c>
      <c r="F25" s="296">
        <f>F23*E25</f>
        <v>0.01</v>
      </c>
      <c r="G25" s="296"/>
      <c r="H25" s="297"/>
      <c r="I25" s="80">
        <f t="shared" si="0"/>
        <v>0</v>
      </c>
    </row>
    <row r="26" spans="1:9" ht="66" customHeight="1" thickBot="1">
      <c r="A26" s="286">
        <v>5</v>
      </c>
      <c r="B26" s="287" t="s">
        <v>143</v>
      </c>
      <c r="C26" s="287" t="s">
        <v>242</v>
      </c>
      <c r="D26" s="287" t="s">
        <v>23</v>
      </c>
      <c r="E26" s="287"/>
      <c r="F26" s="287">
        <v>4</v>
      </c>
      <c r="G26" s="288"/>
      <c r="H26" s="289"/>
      <c r="I26" s="80">
        <f t="shared" si="0"/>
        <v>0</v>
      </c>
    </row>
    <row r="27" spans="1:9" ht="18.75" customHeight="1">
      <c r="A27" s="290">
        <f>A26+0.1</f>
        <v>5.1</v>
      </c>
      <c r="B27" s="290" t="s">
        <v>243</v>
      </c>
      <c r="C27" s="291" t="s">
        <v>0</v>
      </c>
      <c r="D27" s="291" t="s">
        <v>32</v>
      </c>
      <c r="E27" s="292">
        <f>1.4*0.7</f>
        <v>0.98</v>
      </c>
      <c r="F27" s="292">
        <f>E27*F26</f>
        <v>3.92</v>
      </c>
      <c r="G27" s="292"/>
      <c r="H27" s="293"/>
      <c r="I27" s="80">
        <f t="shared" si="0"/>
        <v>0</v>
      </c>
    </row>
    <row r="28" spans="1:9" ht="18.75" customHeight="1" thickBot="1">
      <c r="A28" s="290">
        <f>A27+0.1</f>
        <v>5.2</v>
      </c>
      <c r="B28" s="294" t="s">
        <v>243</v>
      </c>
      <c r="C28" s="295" t="s">
        <v>1</v>
      </c>
      <c r="D28" s="295" t="s">
        <v>13</v>
      </c>
      <c r="E28" s="295">
        <f>0.63*0.7</f>
        <v>0.441</v>
      </c>
      <c r="F28" s="296">
        <f>E28*F26</f>
        <v>1.76</v>
      </c>
      <c r="G28" s="296"/>
      <c r="H28" s="297"/>
      <c r="I28" s="80">
        <f t="shared" si="0"/>
        <v>0</v>
      </c>
    </row>
    <row r="29" spans="1:9" ht="45.75" customHeight="1" thickBot="1">
      <c r="A29" s="63">
        <v>6</v>
      </c>
      <c r="B29" s="62" t="s">
        <v>141</v>
      </c>
      <c r="C29" s="62" t="s">
        <v>142</v>
      </c>
      <c r="D29" s="62" t="s">
        <v>68</v>
      </c>
      <c r="E29" s="62"/>
      <c r="F29" s="64">
        <v>0.15</v>
      </c>
      <c r="G29" s="64"/>
      <c r="H29" s="229"/>
      <c r="I29" s="80">
        <f t="shared" si="0"/>
        <v>0</v>
      </c>
    </row>
    <row r="30" spans="1:10" ht="21.75" customHeight="1">
      <c r="A30" s="3">
        <f>A29+0.1</f>
        <v>6.1</v>
      </c>
      <c r="B30" s="3"/>
      <c r="C30" s="55" t="s">
        <v>0</v>
      </c>
      <c r="D30" s="55" t="s">
        <v>32</v>
      </c>
      <c r="E30" s="56">
        <v>60.9</v>
      </c>
      <c r="F30" s="56">
        <f>E30*F29</f>
        <v>9.14</v>
      </c>
      <c r="G30" s="56"/>
      <c r="H30" s="232"/>
      <c r="I30" s="80">
        <f t="shared" si="0"/>
        <v>0</v>
      </c>
      <c r="J30" s="65">
        <f>H30/35</f>
        <v>0</v>
      </c>
    </row>
    <row r="31" spans="1:9" ht="21.75" customHeight="1">
      <c r="A31" s="4">
        <f>A30+0.1</f>
        <v>6.2</v>
      </c>
      <c r="B31" s="4"/>
      <c r="C31" s="39" t="s">
        <v>1</v>
      </c>
      <c r="D31" s="39" t="s">
        <v>13</v>
      </c>
      <c r="E31" s="39">
        <v>0.21</v>
      </c>
      <c r="F31" s="9">
        <f>F29*E31</f>
        <v>0.03</v>
      </c>
      <c r="G31" s="9"/>
      <c r="H31" s="233"/>
      <c r="I31" s="80">
        <f t="shared" si="0"/>
        <v>0</v>
      </c>
    </row>
    <row r="32" spans="1:9" ht="21.75" customHeight="1">
      <c r="A32" s="4">
        <f>A31+0.1</f>
        <v>6.3</v>
      </c>
      <c r="B32" s="4" t="s">
        <v>36</v>
      </c>
      <c r="C32" s="4" t="s">
        <v>216</v>
      </c>
      <c r="D32" s="4" t="s">
        <v>33</v>
      </c>
      <c r="E32" s="4">
        <v>100</v>
      </c>
      <c r="F32" s="16">
        <f>E32*F29</f>
        <v>15</v>
      </c>
      <c r="G32" s="16"/>
      <c r="H32" s="13"/>
      <c r="I32" s="80">
        <f t="shared" si="0"/>
        <v>0</v>
      </c>
    </row>
    <row r="33" spans="1:9" ht="21.75" customHeight="1" thickBot="1">
      <c r="A33" s="51">
        <f>A32+0.1</f>
        <v>6.4</v>
      </c>
      <c r="B33" s="51"/>
      <c r="C33" s="51" t="s">
        <v>35</v>
      </c>
      <c r="D33" s="51" t="s">
        <v>13</v>
      </c>
      <c r="E33" s="51">
        <v>0.6</v>
      </c>
      <c r="F33" s="79">
        <f>E33*F29</f>
        <v>0.09</v>
      </c>
      <c r="G33" s="81"/>
      <c r="H33" s="234"/>
      <c r="I33" s="80">
        <f t="shared" si="0"/>
        <v>0</v>
      </c>
    </row>
    <row r="34" spans="1:9" ht="45.75" customHeight="1" thickBot="1">
      <c r="A34" s="63">
        <f>A29+1</f>
        <v>7</v>
      </c>
      <c r="B34" s="62" t="s">
        <v>141</v>
      </c>
      <c r="C34" s="62" t="s">
        <v>224</v>
      </c>
      <c r="D34" s="62" t="s">
        <v>68</v>
      </c>
      <c r="E34" s="62"/>
      <c r="F34" s="64">
        <v>0.06</v>
      </c>
      <c r="G34" s="64"/>
      <c r="H34" s="229"/>
      <c r="I34" s="80">
        <f t="shared" si="0"/>
        <v>0</v>
      </c>
    </row>
    <row r="35" spans="1:10" ht="21.75" customHeight="1">
      <c r="A35" s="3">
        <f>A34+0.1</f>
        <v>7.1</v>
      </c>
      <c r="B35" s="3"/>
      <c r="C35" s="55" t="s">
        <v>0</v>
      </c>
      <c r="D35" s="55" t="s">
        <v>32</v>
      </c>
      <c r="E35" s="56">
        <v>60.9</v>
      </c>
      <c r="F35" s="56">
        <f>E35*F34</f>
        <v>3.65</v>
      </c>
      <c r="G35" s="56"/>
      <c r="H35" s="232"/>
      <c r="I35" s="80">
        <f t="shared" si="0"/>
        <v>0</v>
      </c>
      <c r="J35" s="65">
        <f>H35/35</f>
        <v>0</v>
      </c>
    </row>
    <row r="36" spans="1:9" ht="21.75" customHeight="1">
      <c r="A36" s="4">
        <f>A35+0.1</f>
        <v>7.2</v>
      </c>
      <c r="B36" s="4"/>
      <c r="C36" s="39" t="s">
        <v>1</v>
      </c>
      <c r="D36" s="39" t="s">
        <v>13</v>
      </c>
      <c r="E36" s="39">
        <v>0.21</v>
      </c>
      <c r="F36" s="9">
        <f>F34*E36</f>
        <v>0.01</v>
      </c>
      <c r="G36" s="9"/>
      <c r="H36" s="233"/>
      <c r="I36" s="80">
        <f t="shared" si="0"/>
        <v>0</v>
      </c>
    </row>
    <row r="37" spans="1:9" ht="21.75" customHeight="1">
      <c r="A37" s="4">
        <f>A36+0.1</f>
        <v>7.3</v>
      </c>
      <c r="B37" s="4" t="s">
        <v>36</v>
      </c>
      <c r="C37" s="4" t="s">
        <v>225</v>
      </c>
      <c r="D37" s="4" t="s">
        <v>33</v>
      </c>
      <c r="E37" s="4">
        <v>100</v>
      </c>
      <c r="F37" s="16">
        <f>E37*F34</f>
        <v>6</v>
      </c>
      <c r="G37" s="275"/>
      <c r="H37" s="13"/>
      <c r="I37" s="80">
        <f t="shared" si="0"/>
        <v>0</v>
      </c>
    </row>
    <row r="38" spans="1:9" ht="21.75" customHeight="1" thickBot="1">
      <c r="A38" s="51">
        <f>A37+0.1</f>
        <v>7.4</v>
      </c>
      <c r="B38" s="51"/>
      <c r="C38" s="51" t="s">
        <v>35</v>
      </c>
      <c r="D38" s="51" t="s">
        <v>13</v>
      </c>
      <c r="E38" s="51">
        <v>0.6</v>
      </c>
      <c r="F38" s="79">
        <f>E38*F34</f>
        <v>0.04</v>
      </c>
      <c r="G38" s="81"/>
      <c r="H38" s="234"/>
      <c r="I38" s="80">
        <f t="shared" si="0"/>
        <v>0</v>
      </c>
    </row>
    <row r="39" spans="1:9" ht="46.5" customHeight="1" thickBot="1">
      <c r="A39" s="63">
        <f>A34+1</f>
        <v>8</v>
      </c>
      <c r="B39" s="62" t="s">
        <v>69</v>
      </c>
      <c r="C39" s="62" t="s">
        <v>70</v>
      </c>
      <c r="D39" s="62" t="s">
        <v>50</v>
      </c>
      <c r="E39" s="62"/>
      <c r="F39" s="96">
        <v>0.4</v>
      </c>
      <c r="G39" s="64"/>
      <c r="H39" s="229"/>
      <c r="I39" s="80">
        <f t="shared" si="0"/>
        <v>0</v>
      </c>
    </row>
    <row r="40" spans="1:9" ht="21.75" customHeight="1">
      <c r="A40" s="3">
        <f>A39+0.1</f>
        <v>8.1</v>
      </c>
      <c r="B40" s="3"/>
      <c r="C40" s="55" t="s">
        <v>0</v>
      </c>
      <c r="D40" s="55" t="s">
        <v>32</v>
      </c>
      <c r="E40" s="56">
        <v>5.84</v>
      </c>
      <c r="F40" s="56">
        <f>E40*F39</f>
        <v>2.34</v>
      </c>
      <c r="G40" s="56"/>
      <c r="H40" s="232"/>
      <c r="I40" s="80">
        <f t="shared" si="0"/>
        <v>0</v>
      </c>
    </row>
    <row r="41" spans="1:9" ht="21.75" customHeight="1">
      <c r="A41" s="4">
        <f>A40+0.1</f>
        <v>8.2</v>
      </c>
      <c r="B41" s="4"/>
      <c r="C41" s="39" t="s">
        <v>1</v>
      </c>
      <c r="D41" s="39" t="s">
        <v>13</v>
      </c>
      <c r="E41" s="39">
        <v>2.27</v>
      </c>
      <c r="F41" s="9">
        <f>F39*E41</f>
        <v>0.91</v>
      </c>
      <c r="G41" s="9"/>
      <c r="H41" s="233"/>
      <c r="I41" s="80">
        <f t="shared" si="0"/>
        <v>0</v>
      </c>
    </row>
    <row r="42" spans="1:9" ht="21.75" customHeight="1">
      <c r="A42" s="4">
        <f>A41+0.1</f>
        <v>8.3</v>
      </c>
      <c r="B42" s="4" t="s">
        <v>36</v>
      </c>
      <c r="C42" s="4" t="s">
        <v>71</v>
      </c>
      <c r="D42" s="4" t="s">
        <v>23</v>
      </c>
      <c r="E42" s="4">
        <v>10</v>
      </c>
      <c r="F42" s="16">
        <f>E42*F39</f>
        <v>4</v>
      </c>
      <c r="G42" s="16"/>
      <c r="H42" s="13"/>
      <c r="I42" s="80">
        <f t="shared" si="0"/>
        <v>0</v>
      </c>
    </row>
    <row r="43" spans="1:9" ht="21.75" customHeight="1" thickBot="1">
      <c r="A43" s="51">
        <f>A42+0.1</f>
        <v>8.4</v>
      </c>
      <c r="B43" s="51"/>
      <c r="C43" s="51" t="s">
        <v>35</v>
      </c>
      <c r="D43" s="51" t="s">
        <v>13</v>
      </c>
      <c r="E43" s="51">
        <v>0.24</v>
      </c>
      <c r="F43" s="79">
        <f>E43*F39</f>
        <v>0.1</v>
      </c>
      <c r="G43" s="81"/>
      <c r="H43" s="234"/>
      <c r="I43" s="80">
        <f t="shared" si="0"/>
        <v>0</v>
      </c>
    </row>
    <row r="44" spans="1:9" ht="43.5" customHeight="1" thickBot="1">
      <c r="A44" s="63">
        <f>A39+1</f>
        <v>9</v>
      </c>
      <c r="B44" s="62" t="s">
        <v>74</v>
      </c>
      <c r="C44" s="62" t="s">
        <v>75</v>
      </c>
      <c r="D44" s="62" t="s">
        <v>76</v>
      </c>
      <c r="E44" s="62"/>
      <c r="F44" s="96">
        <v>8</v>
      </c>
      <c r="G44" s="64"/>
      <c r="H44" s="229"/>
      <c r="I44" s="80">
        <f t="shared" si="0"/>
        <v>0</v>
      </c>
    </row>
    <row r="45" spans="1:9" ht="21.75" customHeight="1">
      <c r="A45" s="3">
        <f aca="true" t="shared" si="1" ref="A45:A50">A44+0.1</f>
        <v>9.1</v>
      </c>
      <c r="B45" s="3"/>
      <c r="C45" s="55" t="s">
        <v>0</v>
      </c>
      <c r="D45" s="55" t="s">
        <v>32</v>
      </c>
      <c r="E45" s="56">
        <v>1.51</v>
      </c>
      <c r="F45" s="56">
        <f>E45*F44</f>
        <v>12.08</v>
      </c>
      <c r="G45" s="56"/>
      <c r="H45" s="232"/>
      <c r="I45" s="80">
        <f t="shared" si="0"/>
        <v>0</v>
      </c>
    </row>
    <row r="46" spans="1:9" ht="21.75" customHeight="1">
      <c r="A46" s="3">
        <f t="shared" si="1"/>
        <v>9.2</v>
      </c>
      <c r="B46" s="4"/>
      <c r="C46" s="39" t="s">
        <v>1</v>
      </c>
      <c r="D46" s="39" t="s">
        <v>13</v>
      </c>
      <c r="E46" s="39">
        <v>0.13</v>
      </c>
      <c r="F46" s="9">
        <f>F44*E46</f>
        <v>1.04</v>
      </c>
      <c r="G46" s="9"/>
      <c r="H46" s="233"/>
      <c r="I46" s="80">
        <f t="shared" si="0"/>
        <v>0</v>
      </c>
    </row>
    <row r="47" spans="1:9" ht="21.75" customHeight="1">
      <c r="A47" s="3">
        <f t="shared" si="1"/>
        <v>9.3</v>
      </c>
      <c r="B47" s="4" t="s">
        <v>36</v>
      </c>
      <c r="C47" s="4" t="s">
        <v>77</v>
      </c>
      <c r="D47" s="4" t="s">
        <v>23</v>
      </c>
      <c r="E47" s="4">
        <v>1</v>
      </c>
      <c r="F47" s="8">
        <f>E47*F44</f>
        <v>8</v>
      </c>
      <c r="G47" s="8"/>
      <c r="H47" s="13"/>
      <c r="I47" s="80">
        <f t="shared" si="0"/>
        <v>0</v>
      </c>
    </row>
    <row r="48" spans="1:9" ht="21.75" customHeight="1">
      <c r="A48" s="3">
        <f t="shared" si="1"/>
        <v>9.4</v>
      </c>
      <c r="B48" s="4" t="s">
        <v>36</v>
      </c>
      <c r="C48" s="4" t="s">
        <v>78</v>
      </c>
      <c r="D48" s="4" t="s">
        <v>23</v>
      </c>
      <c r="E48" s="4">
        <v>2</v>
      </c>
      <c r="F48" s="8">
        <f>E48*F44</f>
        <v>16</v>
      </c>
      <c r="G48" s="8"/>
      <c r="H48" s="13"/>
      <c r="I48" s="80">
        <f t="shared" si="0"/>
        <v>0</v>
      </c>
    </row>
    <row r="49" spans="1:9" ht="21.75" customHeight="1">
      <c r="A49" s="3">
        <f t="shared" si="1"/>
        <v>9.5</v>
      </c>
      <c r="B49" s="4" t="s">
        <v>36</v>
      </c>
      <c r="C49" s="4" t="s">
        <v>52</v>
      </c>
      <c r="D49" s="4" t="s">
        <v>23</v>
      </c>
      <c r="E49" s="4">
        <v>1.1</v>
      </c>
      <c r="F49" s="8">
        <f>E49*F44</f>
        <v>8.8</v>
      </c>
      <c r="G49" s="8"/>
      <c r="H49" s="13"/>
      <c r="I49" s="80">
        <f t="shared" si="0"/>
        <v>0</v>
      </c>
    </row>
    <row r="50" spans="1:9" ht="21.75" customHeight="1" thickBot="1">
      <c r="A50" s="3">
        <f t="shared" si="1"/>
        <v>9.6</v>
      </c>
      <c r="B50" s="51"/>
      <c r="C50" s="51" t="s">
        <v>35</v>
      </c>
      <c r="D50" s="51" t="s">
        <v>13</v>
      </c>
      <c r="E50" s="79">
        <v>0.07</v>
      </c>
      <c r="F50" s="79">
        <f>E50*F44</f>
        <v>0.56</v>
      </c>
      <c r="G50" s="79"/>
      <c r="H50" s="234"/>
      <c r="I50" s="80">
        <f t="shared" si="0"/>
        <v>0</v>
      </c>
    </row>
    <row r="51" spans="1:11" ht="46.5" customHeight="1" hidden="1" thickBot="1">
      <c r="A51" s="63"/>
      <c r="B51" s="62"/>
      <c r="C51" s="62"/>
      <c r="D51" s="62"/>
      <c r="E51" s="62"/>
      <c r="F51" s="62"/>
      <c r="G51" s="64"/>
      <c r="H51" s="229"/>
      <c r="I51" s="80">
        <f t="shared" si="0"/>
        <v>0</v>
      </c>
      <c r="J51" s="65" t="s">
        <v>181</v>
      </c>
      <c r="K51" s="65" t="s">
        <v>182</v>
      </c>
    </row>
    <row r="52" spans="1:9" ht="18.75" customHeight="1" hidden="1">
      <c r="A52" s="3"/>
      <c r="B52" s="3"/>
      <c r="C52" s="55"/>
      <c r="D52" s="55"/>
      <c r="E52" s="77"/>
      <c r="F52" s="56"/>
      <c r="G52" s="56"/>
      <c r="H52" s="232"/>
      <c r="I52" s="80">
        <f t="shared" si="0"/>
        <v>0</v>
      </c>
    </row>
    <row r="53" spans="1:9" ht="18.75" customHeight="1" hidden="1">
      <c r="A53" s="3"/>
      <c r="B53" s="4"/>
      <c r="C53" s="39"/>
      <c r="D53" s="39"/>
      <c r="E53" s="39"/>
      <c r="F53" s="9"/>
      <c r="G53" s="9"/>
      <c r="H53" s="233"/>
      <c r="I53" s="80">
        <f t="shared" si="0"/>
        <v>0</v>
      </c>
    </row>
    <row r="54" spans="1:9" ht="18.75" customHeight="1" hidden="1">
      <c r="A54" s="3"/>
      <c r="B54" s="4"/>
      <c r="C54" s="4"/>
      <c r="D54" s="4"/>
      <c r="E54" s="4"/>
      <c r="F54" s="8"/>
      <c r="G54" s="8"/>
      <c r="H54" s="13"/>
      <c r="I54" s="80">
        <f t="shared" si="0"/>
        <v>0</v>
      </c>
    </row>
    <row r="55" spans="1:9" ht="18.75" customHeight="1" hidden="1">
      <c r="A55" s="3"/>
      <c r="B55" s="4"/>
      <c r="C55" s="4"/>
      <c r="D55" s="4"/>
      <c r="E55" s="4"/>
      <c r="F55" s="8"/>
      <c r="G55" s="8"/>
      <c r="H55" s="13"/>
      <c r="I55" s="80">
        <f t="shared" si="0"/>
        <v>0</v>
      </c>
    </row>
    <row r="56" spans="1:9" ht="18.75" customHeight="1" hidden="1" thickBot="1">
      <c r="A56" s="3"/>
      <c r="B56" s="51"/>
      <c r="C56" s="51"/>
      <c r="D56" s="51"/>
      <c r="E56" s="51"/>
      <c r="F56" s="79"/>
      <c r="G56" s="79"/>
      <c r="H56" s="234"/>
      <c r="I56" s="80">
        <f t="shared" si="0"/>
        <v>0</v>
      </c>
    </row>
    <row r="57" spans="1:9" ht="66" customHeight="1" thickBot="1">
      <c r="A57" s="63">
        <v>10</v>
      </c>
      <c r="B57" s="62" t="s">
        <v>143</v>
      </c>
      <c r="C57" s="62" t="s">
        <v>369</v>
      </c>
      <c r="D57" s="62" t="s">
        <v>23</v>
      </c>
      <c r="E57" s="62"/>
      <c r="F57" s="62">
        <v>4</v>
      </c>
      <c r="G57" s="64"/>
      <c r="H57" s="229"/>
      <c r="I57" s="80">
        <f t="shared" si="0"/>
        <v>0</v>
      </c>
    </row>
    <row r="58" spans="1:9" ht="18.75" customHeight="1">
      <c r="A58" s="3">
        <f aca="true" t="shared" si="2" ref="A58:A63">A57+0.1</f>
        <v>10.1</v>
      </c>
      <c r="B58" s="3"/>
      <c r="C58" s="55" t="s">
        <v>0</v>
      </c>
      <c r="D58" s="55" t="s">
        <v>32</v>
      </c>
      <c r="E58" s="56">
        <v>1.4</v>
      </c>
      <c r="F58" s="56">
        <f>E58*F57</f>
        <v>5.6</v>
      </c>
      <c r="G58" s="56"/>
      <c r="H58" s="232"/>
      <c r="I58" s="80">
        <f t="shared" si="0"/>
        <v>0</v>
      </c>
    </row>
    <row r="59" spans="1:9" ht="18.75" customHeight="1">
      <c r="A59" s="3">
        <f t="shared" si="2"/>
        <v>10.2</v>
      </c>
      <c r="B59" s="4"/>
      <c r="C59" s="39" t="s">
        <v>1</v>
      </c>
      <c r="D59" s="39" t="s">
        <v>13</v>
      </c>
      <c r="E59" s="39">
        <v>0.63</v>
      </c>
      <c r="F59" s="9">
        <f>E59*F57</f>
        <v>2.52</v>
      </c>
      <c r="G59" s="9"/>
      <c r="H59" s="233"/>
      <c r="I59" s="80">
        <f t="shared" si="0"/>
        <v>0</v>
      </c>
    </row>
    <row r="60" spans="1:9" ht="18.75" customHeight="1">
      <c r="A60" s="3">
        <f t="shared" si="2"/>
        <v>10.3</v>
      </c>
      <c r="B60" s="4" t="s">
        <v>36</v>
      </c>
      <c r="C60" s="4" t="s">
        <v>221</v>
      </c>
      <c r="D60" s="4" t="s">
        <v>23</v>
      </c>
      <c r="E60" s="4" t="s">
        <v>19</v>
      </c>
      <c r="F60" s="8">
        <v>2</v>
      </c>
      <c r="G60" s="27"/>
      <c r="H60" s="13"/>
      <c r="I60" s="80">
        <f t="shared" si="0"/>
        <v>0</v>
      </c>
    </row>
    <row r="61" spans="1:9" ht="18.75" customHeight="1">
      <c r="A61" s="3">
        <f t="shared" si="2"/>
        <v>10.4</v>
      </c>
      <c r="B61" s="4"/>
      <c r="C61" s="4" t="s">
        <v>244</v>
      </c>
      <c r="D61" s="4" t="s">
        <v>23</v>
      </c>
      <c r="E61" s="4" t="s">
        <v>19</v>
      </c>
      <c r="F61" s="8">
        <v>2</v>
      </c>
      <c r="G61" s="27"/>
      <c r="H61" s="13"/>
      <c r="I61" s="80">
        <f t="shared" si="0"/>
        <v>0</v>
      </c>
    </row>
    <row r="62" spans="1:9" ht="18.75" customHeight="1">
      <c r="A62" s="3">
        <f t="shared" si="2"/>
        <v>10.5</v>
      </c>
      <c r="B62" s="4" t="s">
        <v>36</v>
      </c>
      <c r="C62" s="4" t="s">
        <v>72</v>
      </c>
      <c r="D62" s="4" t="s">
        <v>23</v>
      </c>
      <c r="E62" s="4">
        <v>2</v>
      </c>
      <c r="F62" s="8">
        <f>E62*F57</f>
        <v>8</v>
      </c>
      <c r="G62" s="8"/>
      <c r="H62" s="13"/>
      <c r="I62" s="80">
        <f t="shared" si="0"/>
        <v>0</v>
      </c>
    </row>
    <row r="63" spans="1:9" ht="18.75" customHeight="1" thickBot="1">
      <c r="A63" s="3">
        <f t="shared" si="2"/>
        <v>10.6</v>
      </c>
      <c r="B63" s="51"/>
      <c r="C63" s="51" t="s">
        <v>73</v>
      </c>
      <c r="D63" s="51" t="s">
        <v>13</v>
      </c>
      <c r="E63" s="51">
        <v>1.5</v>
      </c>
      <c r="F63" s="79">
        <f>E63*F57</f>
        <v>6</v>
      </c>
      <c r="G63" s="79"/>
      <c r="H63" s="13"/>
      <c r="I63" s="80">
        <f t="shared" si="0"/>
        <v>0</v>
      </c>
    </row>
    <row r="64" spans="1:9" ht="52.5" customHeight="1" thickBot="1">
      <c r="A64" s="63">
        <v>11</v>
      </c>
      <c r="B64" s="62" t="s">
        <v>79</v>
      </c>
      <c r="C64" s="62" t="s">
        <v>217</v>
      </c>
      <c r="D64" s="62" t="s">
        <v>76</v>
      </c>
      <c r="E64" s="62"/>
      <c r="F64" s="96">
        <v>4</v>
      </c>
      <c r="G64" s="64"/>
      <c r="H64" s="229"/>
      <c r="I64" s="80">
        <f t="shared" si="0"/>
        <v>0</v>
      </c>
    </row>
    <row r="65" spans="1:9" ht="15.75" customHeight="1">
      <c r="A65" s="3">
        <f aca="true" t="shared" si="3" ref="A65:A70">A64+0.1</f>
        <v>11.1</v>
      </c>
      <c r="B65" s="3"/>
      <c r="C65" s="55" t="s">
        <v>0</v>
      </c>
      <c r="D65" s="55" t="s">
        <v>32</v>
      </c>
      <c r="E65" s="56">
        <v>1.51</v>
      </c>
      <c r="F65" s="56">
        <f>E65*F64</f>
        <v>6.04</v>
      </c>
      <c r="G65" s="56"/>
      <c r="H65" s="232"/>
      <c r="I65" s="80">
        <f t="shared" si="0"/>
        <v>0</v>
      </c>
    </row>
    <row r="66" spans="1:9" ht="15.75" customHeight="1">
      <c r="A66" s="3">
        <f t="shared" si="3"/>
        <v>11.2</v>
      </c>
      <c r="B66" s="4"/>
      <c r="C66" s="39" t="s">
        <v>1</v>
      </c>
      <c r="D66" s="39" t="s">
        <v>13</v>
      </c>
      <c r="E66" s="39">
        <v>0.13</v>
      </c>
      <c r="F66" s="9">
        <f>F64*E66</f>
        <v>0.52</v>
      </c>
      <c r="G66" s="9"/>
      <c r="H66" s="233"/>
      <c r="I66" s="80">
        <f t="shared" si="0"/>
        <v>0</v>
      </c>
    </row>
    <row r="67" spans="1:9" ht="15.75" customHeight="1">
      <c r="A67" s="3">
        <f t="shared" si="3"/>
        <v>11.3</v>
      </c>
      <c r="B67" s="4" t="s">
        <v>36</v>
      </c>
      <c r="C67" s="4" t="s">
        <v>51</v>
      </c>
      <c r="D67" s="4" t="s">
        <v>23</v>
      </c>
      <c r="E67" s="4">
        <v>1</v>
      </c>
      <c r="F67" s="8">
        <f>E67*F64</f>
        <v>4</v>
      </c>
      <c r="G67" s="27"/>
      <c r="H67" s="13"/>
      <c r="I67" s="80">
        <f t="shared" si="0"/>
        <v>0</v>
      </c>
    </row>
    <row r="68" spans="1:9" ht="15.75" customHeight="1">
      <c r="A68" s="3">
        <f t="shared" si="3"/>
        <v>11.4</v>
      </c>
      <c r="B68" s="4" t="s">
        <v>36</v>
      </c>
      <c r="C68" s="4" t="s">
        <v>78</v>
      </c>
      <c r="D68" s="4" t="s">
        <v>23</v>
      </c>
      <c r="E68" s="4">
        <v>2</v>
      </c>
      <c r="F68" s="8">
        <f>F64*E68</f>
        <v>8</v>
      </c>
      <c r="G68" s="8"/>
      <c r="H68" s="13"/>
      <c r="I68" s="80">
        <f t="shared" si="0"/>
        <v>0</v>
      </c>
    </row>
    <row r="69" spans="1:9" ht="15.75" customHeight="1">
      <c r="A69" s="3">
        <f t="shared" si="3"/>
        <v>11.5</v>
      </c>
      <c r="B69" s="4" t="s">
        <v>36</v>
      </c>
      <c r="C69" s="4" t="s">
        <v>52</v>
      </c>
      <c r="D69" s="4" t="s">
        <v>23</v>
      </c>
      <c r="E69" s="4">
        <v>1.1</v>
      </c>
      <c r="F69" s="8">
        <f>E69*F64</f>
        <v>4.4</v>
      </c>
      <c r="G69" s="8"/>
      <c r="H69" s="13"/>
      <c r="I69" s="80">
        <f t="shared" si="0"/>
        <v>0</v>
      </c>
    </row>
    <row r="70" spans="1:9" ht="15.75" customHeight="1">
      <c r="A70" s="3">
        <f t="shared" si="3"/>
        <v>11.6</v>
      </c>
      <c r="B70" s="4" t="s">
        <v>36</v>
      </c>
      <c r="C70" s="4" t="s">
        <v>35</v>
      </c>
      <c r="D70" s="4" t="s">
        <v>13</v>
      </c>
      <c r="E70" s="8">
        <v>0.07</v>
      </c>
      <c r="F70" s="8">
        <f>E70*F64</f>
        <v>0.28</v>
      </c>
      <c r="G70" s="8"/>
      <c r="H70" s="13"/>
      <c r="I70" s="80">
        <f t="shared" si="0"/>
        <v>0</v>
      </c>
    </row>
    <row r="71" spans="1:9" ht="42.75" customHeight="1" hidden="1">
      <c r="A71" s="108"/>
      <c r="B71" s="108"/>
      <c r="C71" s="108"/>
      <c r="D71" s="107"/>
      <c r="E71" s="109"/>
      <c r="F71" s="108"/>
      <c r="G71" s="109"/>
      <c r="H71" s="235"/>
      <c r="I71" s="80">
        <f t="shared" si="0"/>
        <v>0</v>
      </c>
    </row>
    <row r="72" spans="1:9" ht="20.25" customHeight="1" hidden="1">
      <c r="A72" s="110"/>
      <c r="B72" s="110"/>
      <c r="C72" s="111"/>
      <c r="D72" s="111"/>
      <c r="E72" s="111"/>
      <c r="F72" s="112"/>
      <c r="G72" s="111"/>
      <c r="H72" s="236"/>
      <c r="I72" s="80">
        <f t="shared" si="0"/>
        <v>0</v>
      </c>
    </row>
    <row r="73" spans="1:9" ht="20.25" customHeight="1" hidden="1" thickBot="1">
      <c r="A73" s="110"/>
      <c r="B73" s="110"/>
      <c r="C73" s="109"/>
      <c r="D73" s="109"/>
      <c r="E73" s="109"/>
      <c r="F73" s="113"/>
      <c r="G73" s="109"/>
      <c r="H73" s="237"/>
      <c r="I73" s="80">
        <f t="shared" si="0"/>
        <v>0</v>
      </c>
    </row>
    <row r="74" spans="1:9" ht="20.25" customHeight="1" hidden="1" thickBot="1">
      <c r="A74" s="110"/>
      <c r="B74" s="110"/>
      <c r="C74" s="110"/>
      <c r="D74" s="107"/>
      <c r="E74" s="114"/>
      <c r="F74" s="115"/>
      <c r="G74" s="116"/>
      <c r="H74" s="238"/>
      <c r="I74" s="80">
        <f t="shared" si="0"/>
        <v>0</v>
      </c>
    </row>
    <row r="75" spans="1:9" ht="20.25" customHeight="1" hidden="1">
      <c r="A75" s="110"/>
      <c r="B75" s="110"/>
      <c r="C75" s="110"/>
      <c r="D75" s="110"/>
      <c r="E75" s="110"/>
      <c r="F75" s="117"/>
      <c r="G75" s="110"/>
      <c r="H75" s="238"/>
      <c r="I75" s="80">
        <f t="shared" si="0"/>
        <v>0</v>
      </c>
    </row>
    <row r="76" spans="1:8" ht="43.5" customHeight="1">
      <c r="A76" s="4"/>
      <c r="B76" s="4"/>
      <c r="C76" s="6" t="s">
        <v>80</v>
      </c>
      <c r="D76" s="4" t="s">
        <v>13</v>
      </c>
      <c r="E76" s="4"/>
      <c r="F76" s="8"/>
      <c r="G76" s="8"/>
      <c r="H76" s="28">
        <f>H64+H57+H44+H39+H34+H29+H23+H15+H16+H19</f>
        <v>0</v>
      </c>
    </row>
    <row r="77" spans="1:8" ht="33" customHeight="1">
      <c r="A77" s="4"/>
      <c r="B77" s="4"/>
      <c r="C77" s="4" t="s">
        <v>45</v>
      </c>
      <c r="D77" s="4" t="s">
        <v>13</v>
      </c>
      <c r="E77" s="4"/>
      <c r="F77" s="8"/>
      <c r="G77" s="8"/>
      <c r="H77" s="20">
        <f>H65+H72+H35+H58+H52+H45+H30+H40+H10+H13</f>
        <v>0</v>
      </c>
    </row>
    <row r="78" spans="1:8" ht="33" customHeight="1">
      <c r="A78" s="4"/>
      <c r="B78" s="4"/>
      <c r="C78" s="4" t="s">
        <v>46</v>
      </c>
      <c r="D78" s="4" t="s">
        <v>13</v>
      </c>
      <c r="E78" s="4"/>
      <c r="F78" s="8"/>
      <c r="G78" s="8"/>
      <c r="H78" s="32">
        <f>H66+H73+H59+H53+H46+H41+H14+H31+H11</f>
        <v>0</v>
      </c>
    </row>
    <row r="79" spans="1:12" ht="33" customHeight="1">
      <c r="A79" s="4"/>
      <c r="B79" s="4"/>
      <c r="C79" s="4" t="s">
        <v>81</v>
      </c>
      <c r="D79" s="4" t="s">
        <v>13</v>
      </c>
      <c r="E79" s="4"/>
      <c r="F79" s="8"/>
      <c r="G79" s="8"/>
      <c r="H79" s="26">
        <f>H76-H77-H78</f>
        <v>0</v>
      </c>
      <c r="J79" s="80">
        <f>H75+H74+H70+H69+H68+H67+H63+H62+H56+H55+H54+H60+H50+H49+H48+H47+H42+H43+H33+H32</f>
        <v>0</v>
      </c>
      <c r="L79" s="239"/>
    </row>
    <row r="80" spans="1:8" ht="33" customHeight="1">
      <c r="A80" s="4"/>
      <c r="B80" s="4"/>
      <c r="C80" s="6" t="s">
        <v>82</v>
      </c>
      <c r="D80" s="4" t="s">
        <v>13</v>
      </c>
      <c r="E80" s="4"/>
      <c r="F80" s="8"/>
      <c r="G80" s="8"/>
      <c r="H80" s="28">
        <f>H76</f>
        <v>0</v>
      </c>
    </row>
    <row r="81" spans="1:8" ht="29.25" customHeight="1">
      <c r="A81" s="4"/>
      <c r="B81" s="4"/>
      <c r="C81" s="4" t="s">
        <v>49</v>
      </c>
      <c r="D81" s="34">
        <v>0.1</v>
      </c>
      <c r="E81" s="4"/>
      <c r="F81" s="8"/>
      <c r="G81" s="8"/>
      <c r="H81" s="26">
        <f>H80*D81</f>
        <v>0</v>
      </c>
    </row>
    <row r="82" spans="1:8" ht="29.25" customHeight="1">
      <c r="A82" s="4"/>
      <c r="B82" s="4"/>
      <c r="C82" s="4" t="s">
        <v>83</v>
      </c>
      <c r="D82" s="4" t="s">
        <v>13</v>
      </c>
      <c r="E82" s="4"/>
      <c r="F82" s="8"/>
      <c r="G82" s="8"/>
      <c r="H82" s="26">
        <f>H80+H81</f>
        <v>0</v>
      </c>
    </row>
    <row r="83" spans="1:8" ht="29.25" customHeight="1">
      <c r="A83" s="4"/>
      <c r="B83" s="4"/>
      <c r="C83" s="4" t="s">
        <v>85</v>
      </c>
      <c r="D83" s="34">
        <v>0.08</v>
      </c>
      <c r="E83" s="4"/>
      <c r="F83" s="8"/>
      <c r="G83" s="8"/>
      <c r="H83" s="26">
        <f>H82*D83</f>
        <v>0</v>
      </c>
    </row>
    <row r="84" spans="1:8" ht="29.25" customHeight="1">
      <c r="A84" s="4"/>
      <c r="B84" s="4"/>
      <c r="C84" s="4" t="s">
        <v>10</v>
      </c>
      <c r="D84" s="4" t="s">
        <v>13</v>
      </c>
      <c r="E84" s="4"/>
      <c r="F84" s="8"/>
      <c r="G84" s="8"/>
      <c r="H84" s="28">
        <f>H82+H83</f>
        <v>0</v>
      </c>
    </row>
    <row r="85" spans="1:8" ht="13.5">
      <c r="A85" s="7"/>
      <c r="B85" s="7"/>
      <c r="C85" s="7"/>
      <c r="D85" s="7"/>
      <c r="E85" s="7"/>
      <c r="F85" s="15"/>
      <c r="G85" s="15"/>
      <c r="H85" s="10"/>
    </row>
    <row r="86" spans="1:8" ht="27">
      <c r="A86" s="5"/>
      <c r="B86" s="5"/>
      <c r="C86" s="5" t="s">
        <v>387</v>
      </c>
      <c r="D86" s="5"/>
      <c r="E86" s="439"/>
      <c r="F86" s="439"/>
      <c r="G86" s="439"/>
      <c r="H86" s="90"/>
    </row>
    <row r="87" spans="1:8" ht="13.5">
      <c r="A87" s="5"/>
      <c r="B87" s="5"/>
      <c r="C87" s="5"/>
      <c r="D87" s="5"/>
      <c r="E87" s="5"/>
      <c r="F87" s="5"/>
      <c r="G87" s="5"/>
      <c r="H87" s="90"/>
    </row>
    <row r="88" spans="1:8" ht="13.5">
      <c r="A88" s="5"/>
      <c r="B88" s="5"/>
      <c r="C88" s="5"/>
      <c r="D88" s="5"/>
      <c r="E88" s="5"/>
      <c r="F88" s="5"/>
      <c r="G88" s="5"/>
      <c r="H88" s="90"/>
    </row>
    <row r="89" spans="1:8" ht="13.5">
      <c r="A89" s="5"/>
      <c r="B89" s="5"/>
      <c r="C89" s="5"/>
      <c r="D89" s="5"/>
      <c r="E89" s="5"/>
      <c r="F89" s="5"/>
      <c r="G89" s="5"/>
      <c r="H89" s="90"/>
    </row>
    <row r="133" spans="1:8" ht="13.5">
      <c r="A133" s="458"/>
      <c r="B133" s="458"/>
      <c r="C133" s="458"/>
      <c r="D133" s="458"/>
      <c r="E133" s="458"/>
      <c r="F133" s="458"/>
      <c r="G133" s="458"/>
      <c r="H133" s="458"/>
    </row>
    <row r="134" spans="1:8" ht="13.5">
      <c r="A134" s="458"/>
      <c r="B134" s="458"/>
      <c r="C134" s="458"/>
      <c r="D134" s="458"/>
      <c r="E134" s="458"/>
      <c r="F134" s="458"/>
      <c r="G134" s="458"/>
      <c r="H134" s="458"/>
    </row>
    <row r="135" spans="1:8" ht="13.5">
      <c r="A135" s="458"/>
      <c r="B135" s="458"/>
      <c r="C135" s="458"/>
      <c r="D135" s="458"/>
      <c r="E135" s="458"/>
      <c r="F135" s="458"/>
      <c r="G135" s="458"/>
      <c r="H135" s="458"/>
    </row>
    <row r="136" spans="1:8" ht="13.5">
      <c r="A136" s="458"/>
      <c r="B136" s="458"/>
      <c r="C136" s="458"/>
      <c r="D136" s="458"/>
      <c r="E136" s="458"/>
      <c r="F136" s="458"/>
      <c r="G136" s="458"/>
      <c r="H136" s="458"/>
    </row>
    <row r="137" spans="1:8" ht="13.5">
      <c r="A137" s="459"/>
      <c r="B137" s="459"/>
      <c r="C137" s="459"/>
      <c r="D137" s="459"/>
      <c r="E137" s="459"/>
      <c r="F137" s="459"/>
      <c r="G137" s="459"/>
      <c r="H137" s="459"/>
    </row>
    <row r="138" spans="1:8" ht="13.5">
      <c r="A138" s="458"/>
      <c r="B138" s="458"/>
      <c r="C138" s="458"/>
      <c r="D138" s="458"/>
      <c r="E138" s="458"/>
      <c r="F138" s="458"/>
      <c r="G138" s="458"/>
      <c r="H138" s="458"/>
    </row>
    <row r="139" spans="1:8" ht="13.5">
      <c r="A139" s="458"/>
      <c r="B139" s="458"/>
      <c r="C139" s="458"/>
      <c r="D139" s="458"/>
      <c r="E139" s="458"/>
      <c r="F139" s="458"/>
      <c r="G139" s="458"/>
      <c r="H139" s="458"/>
    </row>
    <row r="140" spans="1:8" ht="13.5">
      <c r="A140" s="459"/>
      <c r="B140" s="459"/>
      <c r="C140" s="459"/>
      <c r="D140" s="459"/>
      <c r="E140" s="459"/>
      <c r="F140" s="459"/>
      <c r="G140" s="459"/>
      <c r="H140" s="459"/>
    </row>
    <row r="141" spans="1:8" ht="13.5">
      <c r="A141" s="458"/>
      <c r="B141" s="458"/>
      <c r="C141" s="458"/>
      <c r="D141" s="458"/>
      <c r="E141" s="458"/>
      <c r="F141" s="458"/>
      <c r="G141" s="458"/>
      <c r="H141" s="458"/>
    </row>
    <row r="142" spans="1:8" ht="14.25" customHeight="1">
      <c r="A142" s="458"/>
      <c r="B142" s="458"/>
      <c r="C142" s="458"/>
      <c r="D142" s="458"/>
      <c r="E142" s="458"/>
      <c r="F142" s="458"/>
      <c r="G142" s="458"/>
      <c r="H142" s="458"/>
    </row>
    <row r="143" spans="1:8" ht="13.5">
      <c r="A143" s="458"/>
      <c r="B143" s="458"/>
      <c r="C143" s="458"/>
      <c r="D143" s="458"/>
      <c r="E143" s="458"/>
      <c r="F143" s="458"/>
      <c r="G143" s="458"/>
      <c r="H143" s="458"/>
    </row>
    <row r="146" spans="1:8" ht="13.5">
      <c r="A146" s="458"/>
      <c r="B146" s="458"/>
      <c r="C146" s="458"/>
      <c r="D146" s="458"/>
      <c r="E146" s="458"/>
      <c r="F146" s="458"/>
      <c r="G146" s="458"/>
      <c r="H146" s="458"/>
    </row>
    <row r="147" spans="1:8" ht="13.5">
      <c r="A147" s="458"/>
      <c r="B147" s="458"/>
      <c r="C147" s="458"/>
      <c r="D147" s="458"/>
      <c r="E147" s="458"/>
      <c r="F147" s="458"/>
      <c r="G147" s="458"/>
      <c r="H147" s="458"/>
    </row>
    <row r="148" spans="1:8" ht="13.5">
      <c r="A148" s="458"/>
      <c r="B148" s="458"/>
      <c r="C148" s="458"/>
      <c r="D148" s="458"/>
      <c r="E148" s="458"/>
      <c r="F148" s="458"/>
      <c r="G148" s="458"/>
      <c r="H148" s="458"/>
    </row>
    <row r="149" spans="1:8" ht="13.5">
      <c r="A149" s="458"/>
      <c r="B149" s="458"/>
      <c r="C149" s="458"/>
      <c r="D149" s="458"/>
      <c r="E149" s="458"/>
      <c r="F149" s="458"/>
      <c r="G149" s="458"/>
      <c r="H149" s="458"/>
    </row>
    <row r="152" spans="1:8" ht="13.5">
      <c r="A152" s="458" t="s">
        <v>84</v>
      </c>
      <c r="B152" s="458"/>
      <c r="C152" s="458"/>
      <c r="D152" s="458"/>
      <c r="E152" s="458"/>
      <c r="F152" s="458"/>
      <c r="G152" s="458"/>
      <c r="H152" s="458"/>
    </row>
  </sheetData>
  <sheetProtection/>
  <mergeCells count="31">
    <mergeCell ref="A152:H152"/>
    <mergeCell ref="A137:H137"/>
    <mergeCell ref="A138:H138"/>
    <mergeCell ref="A139:H139"/>
    <mergeCell ref="A140:H140"/>
    <mergeCell ref="A146:H146"/>
    <mergeCell ref="A147:H147"/>
    <mergeCell ref="C6:C7"/>
    <mergeCell ref="D6:D7"/>
    <mergeCell ref="E6:F6"/>
    <mergeCell ref="A134:H134"/>
    <mergeCell ref="A135:H135"/>
    <mergeCell ref="A136:H136"/>
    <mergeCell ref="A6:A7"/>
    <mergeCell ref="B6:B7"/>
    <mergeCell ref="B5:C5"/>
    <mergeCell ref="E5:G5"/>
    <mergeCell ref="A149:H149"/>
    <mergeCell ref="A148:H148"/>
    <mergeCell ref="G6:H6"/>
    <mergeCell ref="E86:G86"/>
    <mergeCell ref="A133:H133"/>
    <mergeCell ref="A141:H141"/>
    <mergeCell ref="A142:H142"/>
    <mergeCell ref="A143:H143"/>
    <mergeCell ref="A1:H1"/>
    <mergeCell ref="A2:H2"/>
    <mergeCell ref="B3:C3"/>
    <mergeCell ref="E3:G3"/>
    <mergeCell ref="B4:C4"/>
    <mergeCell ref="E4:H4"/>
  </mergeCells>
  <printOptions/>
  <pageMargins left="0.7" right="0.24" top="0.34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="98" zoomScaleSheetLayoutView="98" zoomScalePageLayoutView="0" workbookViewId="0" topLeftCell="A10">
      <selection activeCell="G9" sqref="G9:H35"/>
    </sheetView>
  </sheetViews>
  <sheetFormatPr defaultColWidth="9.00390625" defaultRowHeight="12.75"/>
  <cols>
    <col min="1" max="1" width="4.75390625" style="1" customWidth="1"/>
    <col min="2" max="2" width="10.375" style="1" customWidth="1"/>
    <col min="3" max="3" width="40.75390625" style="1" customWidth="1"/>
    <col min="4" max="4" width="7.625" style="1" customWidth="1"/>
    <col min="5" max="5" width="7.75390625" style="1" customWidth="1"/>
    <col min="6" max="6" width="10.00390625" style="1" customWidth="1"/>
    <col min="7" max="7" width="7.75390625" style="1" customWidth="1"/>
    <col min="8" max="8" width="7.75390625" style="2" customWidth="1"/>
    <col min="9" max="16384" width="9.125" style="1" customWidth="1"/>
  </cols>
  <sheetData>
    <row r="1" spans="1:8" ht="27" customHeight="1">
      <c r="A1" s="452" t="s">
        <v>230</v>
      </c>
      <c r="B1" s="452"/>
      <c r="C1" s="452"/>
      <c r="D1" s="452"/>
      <c r="E1" s="452"/>
      <c r="F1" s="452"/>
      <c r="G1" s="452"/>
      <c r="H1" s="452"/>
    </row>
    <row r="2" spans="1:8" ht="72" customHeight="1">
      <c r="A2" s="460" t="s">
        <v>229</v>
      </c>
      <c r="B2" s="460"/>
      <c r="C2" s="460"/>
      <c r="D2" s="460"/>
      <c r="E2" s="460"/>
      <c r="F2" s="460"/>
      <c r="G2" s="460"/>
      <c r="H2" s="460"/>
    </row>
    <row r="3" spans="1:8" s="5" customFormat="1" ht="21.75" customHeight="1">
      <c r="A3" s="452" t="s">
        <v>25</v>
      </c>
      <c r="B3" s="452"/>
      <c r="C3" s="452"/>
      <c r="D3" s="46">
        <f>H44/1000</f>
        <v>0</v>
      </c>
      <c r="E3" s="461" t="s">
        <v>27</v>
      </c>
      <c r="F3" s="461"/>
      <c r="G3" s="461"/>
      <c r="H3" s="461"/>
    </row>
    <row r="4" spans="1:8" s="5" customFormat="1" ht="21.75" customHeight="1">
      <c r="A4" s="452" t="s">
        <v>26</v>
      </c>
      <c r="B4" s="452"/>
      <c r="C4" s="452"/>
      <c r="D4" s="47">
        <f>H37/1000</f>
        <v>0</v>
      </c>
      <c r="E4" s="461" t="s">
        <v>27</v>
      </c>
      <c r="F4" s="461"/>
      <c r="G4" s="461"/>
      <c r="H4" s="461"/>
    </row>
    <row r="5" spans="1:8" s="5" customFormat="1" ht="21.75" customHeight="1">
      <c r="A5" s="452"/>
      <c r="B5" s="452"/>
      <c r="C5" s="452"/>
      <c r="D5" s="48"/>
      <c r="E5" s="452"/>
      <c r="F5" s="452"/>
      <c r="G5" s="452"/>
      <c r="H5" s="452"/>
    </row>
    <row r="6" spans="1:8" ht="45" customHeight="1">
      <c r="A6" s="443" t="s">
        <v>7</v>
      </c>
      <c r="B6" s="445" t="s">
        <v>8</v>
      </c>
      <c r="C6" s="443" t="s">
        <v>9</v>
      </c>
      <c r="D6" s="445" t="s">
        <v>28</v>
      </c>
      <c r="E6" s="434" t="s">
        <v>15</v>
      </c>
      <c r="F6" s="438"/>
      <c r="G6" s="434" t="s">
        <v>29</v>
      </c>
      <c r="H6" s="438"/>
    </row>
    <row r="7" spans="1:8" ht="100.5" customHeight="1">
      <c r="A7" s="455"/>
      <c r="B7" s="456"/>
      <c r="C7" s="455"/>
      <c r="D7" s="457"/>
      <c r="E7" s="14" t="s">
        <v>30</v>
      </c>
      <c r="F7" s="14" t="s">
        <v>31</v>
      </c>
      <c r="G7" s="14" t="s">
        <v>30</v>
      </c>
      <c r="H7" s="227" t="s">
        <v>10</v>
      </c>
    </row>
    <row r="8" spans="1:8" ht="16.5" customHeight="1" thickBot="1">
      <c r="A8" s="53">
        <v>1</v>
      </c>
      <c r="B8" s="53">
        <v>2</v>
      </c>
      <c r="C8" s="53">
        <v>3</v>
      </c>
      <c r="D8" s="51">
        <v>4</v>
      </c>
      <c r="E8" s="51">
        <v>5</v>
      </c>
      <c r="F8" s="51">
        <v>6</v>
      </c>
      <c r="G8" s="51">
        <v>7</v>
      </c>
      <c r="H8" s="228">
        <v>8</v>
      </c>
    </row>
    <row r="9" spans="1:8" ht="63" customHeight="1" thickBot="1">
      <c r="A9" s="84">
        <v>1</v>
      </c>
      <c r="B9" s="68" t="s">
        <v>36</v>
      </c>
      <c r="C9" s="69" t="s">
        <v>372</v>
      </c>
      <c r="D9" s="68" t="s">
        <v>86</v>
      </c>
      <c r="E9" s="71"/>
      <c r="F9" s="285">
        <v>17.2</v>
      </c>
      <c r="G9" s="71"/>
      <c r="H9" s="72"/>
    </row>
    <row r="10" spans="1:9" ht="16.5" customHeight="1">
      <c r="A10" s="52">
        <f>A9+0.1</f>
        <v>1.1</v>
      </c>
      <c r="B10" s="76" t="s">
        <v>36</v>
      </c>
      <c r="C10" s="54" t="s">
        <v>17</v>
      </c>
      <c r="D10" s="54" t="s">
        <v>32</v>
      </c>
      <c r="E10" s="57">
        <f>62.6*0.2</f>
        <v>12.52</v>
      </c>
      <c r="F10" s="77">
        <f>F9*E10</f>
        <v>215.34</v>
      </c>
      <c r="G10" s="57"/>
      <c r="H10" s="61"/>
      <c r="I10" s="1">
        <f>G10*F10</f>
        <v>0</v>
      </c>
    </row>
    <row r="11" spans="1:9" ht="16.5" customHeight="1" thickBot="1">
      <c r="A11" s="18">
        <f>A10+0.1</f>
        <v>1.2</v>
      </c>
      <c r="B11" s="21"/>
      <c r="C11" s="19" t="s">
        <v>1</v>
      </c>
      <c r="D11" s="19" t="s">
        <v>22</v>
      </c>
      <c r="E11" s="23">
        <f>1*0.2</f>
        <v>0.2</v>
      </c>
      <c r="F11" s="23">
        <f>F9*E11</f>
        <v>3.44</v>
      </c>
      <c r="G11" s="23"/>
      <c r="H11" s="25"/>
      <c r="I11" s="1">
        <f aca="true" t="shared" si="0" ref="I11:I35">G11*F11</f>
        <v>0</v>
      </c>
    </row>
    <row r="12" spans="1:9" ht="53.25" customHeight="1" thickBot="1">
      <c r="A12" s="84">
        <f>A9+1</f>
        <v>2</v>
      </c>
      <c r="B12" s="68" t="s">
        <v>36</v>
      </c>
      <c r="C12" s="69" t="s">
        <v>191</v>
      </c>
      <c r="D12" s="68" t="s">
        <v>86</v>
      </c>
      <c r="E12" s="71"/>
      <c r="F12" s="92">
        <v>18</v>
      </c>
      <c r="G12" s="71"/>
      <c r="H12" s="72"/>
      <c r="I12" s="1">
        <f t="shared" si="0"/>
        <v>0</v>
      </c>
    </row>
    <row r="13" spans="1:9" ht="16.5" customHeight="1">
      <c r="A13" s="52">
        <f aca="true" t="shared" si="1" ref="A13:A19">A12+0.1</f>
        <v>2.1</v>
      </c>
      <c r="B13" s="76" t="s">
        <v>36</v>
      </c>
      <c r="C13" s="54" t="s">
        <v>17</v>
      </c>
      <c r="D13" s="54" t="s">
        <v>32</v>
      </c>
      <c r="E13" s="57">
        <f>62.6*0.5</f>
        <v>31.3</v>
      </c>
      <c r="F13" s="77">
        <f>F12*E13</f>
        <v>563.4</v>
      </c>
      <c r="G13" s="57"/>
      <c r="H13" s="61"/>
      <c r="I13" s="1">
        <f t="shared" si="0"/>
        <v>0</v>
      </c>
    </row>
    <row r="14" spans="1:9" ht="16.5" customHeight="1">
      <c r="A14" s="18">
        <f t="shared" si="1"/>
        <v>2.2</v>
      </c>
      <c r="B14" s="21"/>
      <c r="C14" s="19" t="s">
        <v>1</v>
      </c>
      <c r="D14" s="19" t="s">
        <v>22</v>
      </c>
      <c r="E14" s="23">
        <v>1</v>
      </c>
      <c r="F14" s="23">
        <f>F12*E14</f>
        <v>18</v>
      </c>
      <c r="G14" s="23"/>
      <c r="H14" s="25"/>
      <c r="I14" s="1">
        <f t="shared" si="0"/>
        <v>0</v>
      </c>
    </row>
    <row r="15" spans="1:9" ht="46.5" customHeight="1">
      <c r="A15" s="18">
        <f t="shared" si="1"/>
        <v>2.3</v>
      </c>
      <c r="B15" s="21"/>
      <c r="C15" s="18" t="s">
        <v>219</v>
      </c>
      <c r="D15" s="18" t="s">
        <v>103</v>
      </c>
      <c r="E15" s="24" t="s">
        <v>19</v>
      </c>
      <c r="F15" s="24">
        <f>F12</f>
        <v>18</v>
      </c>
      <c r="G15" s="24"/>
      <c r="H15" s="26"/>
      <c r="I15" s="1">
        <f t="shared" si="0"/>
        <v>0</v>
      </c>
    </row>
    <row r="16" spans="1:9" ht="33.75" customHeight="1" hidden="1" thickBot="1">
      <c r="A16" s="18">
        <f t="shared" si="1"/>
        <v>2.4</v>
      </c>
      <c r="B16" s="21"/>
      <c r="C16" s="18"/>
      <c r="D16" s="18"/>
      <c r="E16" s="27"/>
      <c r="F16" s="27"/>
      <c r="G16" s="24"/>
      <c r="H16" s="26"/>
      <c r="I16" s="1">
        <f t="shared" si="0"/>
        <v>0</v>
      </c>
    </row>
    <row r="17" spans="1:9" ht="19.5" customHeight="1">
      <c r="A17" s="18">
        <f t="shared" si="1"/>
        <v>2.5</v>
      </c>
      <c r="B17" s="73"/>
      <c r="C17" s="58" t="s">
        <v>87</v>
      </c>
      <c r="D17" s="58" t="s">
        <v>18</v>
      </c>
      <c r="E17" s="78" t="s">
        <v>19</v>
      </c>
      <c r="F17" s="78">
        <v>28</v>
      </c>
      <c r="G17" s="74"/>
      <c r="H17" s="26"/>
      <c r="I17" s="1">
        <f t="shared" si="0"/>
        <v>0</v>
      </c>
    </row>
    <row r="18" spans="1:9" ht="19.5" customHeight="1">
      <c r="A18" s="18">
        <f t="shared" si="1"/>
        <v>2.6</v>
      </c>
      <c r="B18" s="73"/>
      <c r="C18" s="58" t="s">
        <v>223</v>
      </c>
      <c r="D18" s="58" t="s">
        <v>105</v>
      </c>
      <c r="E18" s="78"/>
      <c r="F18" s="78">
        <v>150</v>
      </c>
      <c r="G18" s="74"/>
      <c r="H18" s="26"/>
      <c r="I18" s="1">
        <f t="shared" si="0"/>
        <v>0</v>
      </c>
    </row>
    <row r="19" spans="1:9" ht="19.5" customHeight="1" thickBot="1">
      <c r="A19" s="18">
        <f t="shared" si="1"/>
        <v>2.7</v>
      </c>
      <c r="B19" s="73"/>
      <c r="C19" s="58" t="s">
        <v>222</v>
      </c>
      <c r="D19" s="58" t="s">
        <v>13</v>
      </c>
      <c r="E19" s="74">
        <v>2.78</v>
      </c>
      <c r="F19" s="74">
        <f>F12*E19</f>
        <v>50.04</v>
      </c>
      <c r="G19" s="74"/>
      <c r="H19" s="26"/>
      <c r="I19" s="1">
        <f t="shared" si="0"/>
        <v>0</v>
      </c>
    </row>
    <row r="20" spans="1:9" ht="19.5" customHeight="1" hidden="1">
      <c r="A20" s="52"/>
      <c r="B20" s="76"/>
      <c r="C20" s="54"/>
      <c r="D20" s="54"/>
      <c r="E20" s="57"/>
      <c r="F20" s="77"/>
      <c r="G20" s="57"/>
      <c r="H20" s="61"/>
      <c r="I20" s="1">
        <f t="shared" si="0"/>
        <v>0</v>
      </c>
    </row>
    <row r="21" spans="1:9" ht="19.5" customHeight="1" hidden="1">
      <c r="A21" s="18"/>
      <c r="B21" s="21"/>
      <c r="C21" s="19"/>
      <c r="D21" s="19"/>
      <c r="E21" s="23"/>
      <c r="F21" s="23"/>
      <c r="G21" s="23"/>
      <c r="H21" s="25"/>
      <c r="I21" s="1">
        <f t="shared" si="0"/>
        <v>0</v>
      </c>
    </row>
    <row r="22" spans="1:9" ht="19.5" customHeight="1" hidden="1">
      <c r="A22" s="18"/>
      <c r="B22" s="21"/>
      <c r="C22" s="18"/>
      <c r="D22" s="18"/>
      <c r="E22" s="24"/>
      <c r="F22" s="24"/>
      <c r="G22" s="24"/>
      <c r="H22" s="26"/>
      <c r="I22" s="1">
        <f t="shared" si="0"/>
        <v>0</v>
      </c>
    </row>
    <row r="23" spans="1:9" ht="19.5" customHeight="1" hidden="1">
      <c r="A23" s="18"/>
      <c r="B23" s="21"/>
      <c r="C23" s="18"/>
      <c r="D23" s="18"/>
      <c r="E23" s="27"/>
      <c r="F23" s="27"/>
      <c r="G23" s="24"/>
      <c r="H23" s="26"/>
      <c r="I23" s="1">
        <f t="shared" si="0"/>
        <v>0</v>
      </c>
    </row>
    <row r="24" spans="1:9" ht="19.5" customHeight="1" hidden="1">
      <c r="A24" s="18"/>
      <c r="B24" s="21"/>
      <c r="C24" s="18"/>
      <c r="D24" s="18"/>
      <c r="E24" s="27"/>
      <c r="F24" s="22"/>
      <c r="G24" s="24"/>
      <c r="H24" s="26"/>
      <c r="I24" s="1">
        <f t="shared" si="0"/>
        <v>0</v>
      </c>
    </row>
    <row r="25" spans="1:9" ht="19.5" customHeight="1" hidden="1">
      <c r="A25" s="18"/>
      <c r="B25" s="73"/>
      <c r="C25" s="58"/>
      <c r="D25" s="58"/>
      <c r="E25" s="78"/>
      <c r="F25" s="78"/>
      <c r="G25" s="74"/>
      <c r="H25" s="26"/>
      <c r="I25" s="1">
        <f t="shared" si="0"/>
        <v>0</v>
      </c>
    </row>
    <row r="26" spans="1:9" ht="19.5" customHeight="1" hidden="1" thickBot="1">
      <c r="A26" s="58"/>
      <c r="B26" s="73"/>
      <c r="C26" s="58"/>
      <c r="D26" s="58"/>
      <c r="E26" s="74"/>
      <c r="F26" s="74"/>
      <c r="G26" s="74"/>
      <c r="H26" s="75"/>
      <c r="I26" s="1">
        <f t="shared" si="0"/>
        <v>0</v>
      </c>
    </row>
    <row r="27" spans="1:9" ht="19.5" customHeight="1" hidden="1">
      <c r="A27" s="30"/>
      <c r="B27" s="240"/>
      <c r="C27" s="30"/>
      <c r="D27" s="30"/>
      <c r="E27" s="241"/>
      <c r="F27" s="241"/>
      <c r="G27" s="241"/>
      <c r="H27" s="50"/>
      <c r="I27" s="1">
        <f t="shared" si="0"/>
        <v>0</v>
      </c>
    </row>
    <row r="28" spans="1:9" ht="19.5" customHeight="1" hidden="1">
      <c r="A28" s="30"/>
      <c r="B28" s="240"/>
      <c r="C28" s="30"/>
      <c r="D28" s="30"/>
      <c r="E28" s="241"/>
      <c r="F28" s="241"/>
      <c r="G28" s="241"/>
      <c r="H28" s="50"/>
      <c r="I28" s="1">
        <f t="shared" si="0"/>
        <v>0</v>
      </c>
    </row>
    <row r="29" spans="1:9" ht="19.5" customHeight="1" hidden="1" thickBot="1">
      <c r="A29" s="30"/>
      <c r="B29" s="240"/>
      <c r="C29" s="30"/>
      <c r="D29" s="30"/>
      <c r="E29" s="241"/>
      <c r="F29" s="241"/>
      <c r="G29" s="241"/>
      <c r="H29" s="50"/>
      <c r="I29" s="1">
        <f t="shared" si="0"/>
        <v>0</v>
      </c>
    </row>
    <row r="30" spans="1:9" ht="54" customHeight="1" thickBot="1">
      <c r="A30" s="67">
        <f>A12+1</f>
        <v>3</v>
      </c>
      <c r="B30" s="83" t="s">
        <v>88</v>
      </c>
      <c r="C30" s="69" t="s">
        <v>373</v>
      </c>
      <c r="D30" s="70" t="s">
        <v>92</v>
      </c>
      <c r="E30" s="71"/>
      <c r="F30" s="70">
        <v>1480</v>
      </c>
      <c r="G30" s="71"/>
      <c r="H30" s="106"/>
      <c r="I30" s="1">
        <f t="shared" si="0"/>
        <v>0</v>
      </c>
    </row>
    <row r="31" spans="1:9" ht="20.25" customHeight="1">
      <c r="A31" s="52">
        <f>A30+0.1</f>
        <v>3.1</v>
      </c>
      <c r="B31" s="54"/>
      <c r="C31" s="54" t="s">
        <v>17</v>
      </c>
      <c r="D31" s="54" t="s">
        <v>32</v>
      </c>
      <c r="E31" s="210">
        <f>65.8/100*0.666</f>
        <v>0.438</v>
      </c>
      <c r="F31" s="77">
        <f>F30*E31</f>
        <v>648.24</v>
      </c>
      <c r="G31" s="57"/>
      <c r="H31" s="61"/>
      <c r="I31" s="1">
        <f t="shared" si="0"/>
        <v>0</v>
      </c>
    </row>
    <row r="32" spans="1:9" ht="20.25" customHeight="1">
      <c r="A32" s="18">
        <f>A31+0.1</f>
        <v>3.2</v>
      </c>
      <c r="B32" s="19"/>
      <c r="C32" s="19" t="s">
        <v>1</v>
      </c>
      <c r="D32" s="19" t="s">
        <v>22</v>
      </c>
      <c r="E32" s="209">
        <f>0.01</f>
        <v>0.01</v>
      </c>
      <c r="F32" s="29">
        <f>F30*E32</f>
        <v>14.8</v>
      </c>
      <c r="G32" s="23"/>
      <c r="H32" s="25"/>
      <c r="I32" s="1">
        <f t="shared" si="0"/>
        <v>0</v>
      </c>
    </row>
    <row r="33" spans="1:9" ht="20.25" customHeight="1">
      <c r="A33" s="18">
        <f>A32+0.1</f>
        <v>3.3</v>
      </c>
      <c r="B33" s="19"/>
      <c r="C33" s="18" t="s">
        <v>138</v>
      </c>
      <c r="D33" s="18" t="s">
        <v>18</v>
      </c>
      <c r="E33" s="24" t="s">
        <v>19</v>
      </c>
      <c r="F33" s="27">
        <f>F30*0.1</f>
        <v>148</v>
      </c>
      <c r="G33" s="24"/>
      <c r="H33" s="26"/>
      <c r="I33" s="1">
        <f t="shared" si="0"/>
        <v>0</v>
      </c>
    </row>
    <row r="34" spans="1:9" ht="20.25" customHeight="1">
      <c r="A34" s="18">
        <f>A33+0.1</f>
        <v>3.4</v>
      </c>
      <c r="B34" s="36"/>
      <c r="C34" s="18" t="s">
        <v>167</v>
      </c>
      <c r="D34" s="24" t="s">
        <v>18</v>
      </c>
      <c r="E34" s="24" t="s">
        <v>19</v>
      </c>
      <c r="F34" s="27">
        <f>F30*0.143</f>
        <v>211.64</v>
      </c>
      <c r="G34" s="24"/>
      <c r="H34" s="26"/>
      <c r="I34" s="1">
        <f t="shared" si="0"/>
        <v>0</v>
      </c>
    </row>
    <row r="35" spans="1:9" ht="20.25" customHeight="1">
      <c r="A35" s="18">
        <f>A34+0.1</f>
        <v>3.5</v>
      </c>
      <c r="B35" s="36"/>
      <c r="C35" s="18" t="s">
        <v>2</v>
      </c>
      <c r="D35" s="24" t="s">
        <v>13</v>
      </c>
      <c r="E35" s="85">
        <f>1.6/100</f>
        <v>0.016</v>
      </c>
      <c r="F35" s="27">
        <f>F30*E35</f>
        <v>23.68</v>
      </c>
      <c r="G35" s="24"/>
      <c r="H35" s="26"/>
      <c r="I35" s="1">
        <f t="shared" si="0"/>
        <v>0</v>
      </c>
    </row>
    <row r="36" spans="1:8" ht="44.25" customHeight="1">
      <c r="A36" s="4"/>
      <c r="B36" s="4"/>
      <c r="C36" s="6" t="s">
        <v>3</v>
      </c>
      <c r="D36" s="6" t="s">
        <v>13</v>
      </c>
      <c r="E36" s="4"/>
      <c r="F36" s="4"/>
      <c r="G36" s="4"/>
      <c r="H36" s="28">
        <f>H30+H12+H9</f>
        <v>0</v>
      </c>
    </row>
    <row r="37" spans="1:8" ht="18.75" customHeight="1">
      <c r="A37" s="4"/>
      <c r="B37" s="4"/>
      <c r="C37" s="33" t="s">
        <v>4</v>
      </c>
      <c r="D37" s="4" t="s">
        <v>13</v>
      </c>
      <c r="E37" s="4"/>
      <c r="F37" s="4"/>
      <c r="G37" s="4"/>
      <c r="H37" s="31">
        <f>H31+H13</f>
        <v>0</v>
      </c>
    </row>
    <row r="38" spans="1:8" ht="18.75" customHeight="1">
      <c r="A38" s="4"/>
      <c r="B38" s="4"/>
      <c r="C38" s="33" t="s">
        <v>5</v>
      </c>
      <c r="D38" s="4" t="s">
        <v>13</v>
      </c>
      <c r="E38" s="4"/>
      <c r="F38" s="4"/>
      <c r="G38" s="4"/>
      <c r="H38" s="32">
        <f>H32+H14</f>
        <v>0</v>
      </c>
    </row>
    <row r="39" spans="1:8" ht="18.75" customHeight="1">
      <c r="A39" s="4"/>
      <c r="B39" s="4"/>
      <c r="C39" s="4" t="s">
        <v>6</v>
      </c>
      <c r="D39" s="4" t="s">
        <v>13</v>
      </c>
      <c r="E39" s="4"/>
      <c r="F39" s="4"/>
      <c r="G39" s="4"/>
      <c r="H39" s="26">
        <f>H36-H37-H38</f>
        <v>0</v>
      </c>
    </row>
    <row r="40" spans="1:8" ht="44.25" customHeight="1">
      <c r="A40" s="4"/>
      <c r="B40" s="4"/>
      <c r="C40" s="6" t="s">
        <v>3</v>
      </c>
      <c r="D40" s="4" t="s">
        <v>13</v>
      </c>
      <c r="E40" s="4"/>
      <c r="F40" s="4"/>
      <c r="G40" s="4"/>
      <c r="H40" s="28">
        <f>SUM(H37:H39)</f>
        <v>0</v>
      </c>
    </row>
    <row r="41" spans="1:8" ht="16.5" customHeight="1">
      <c r="A41" s="4"/>
      <c r="B41" s="4"/>
      <c r="C41" s="4" t="s">
        <v>49</v>
      </c>
      <c r="D41" s="34">
        <v>0.1</v>
      </c>
      <c r="E41" s="4"/>
      <c r="F41" s="4"/>
      <c r="G41" s="4"/>
      <c r="H41" s="26">
        <f>D41*H40</f>
        <v>0</v>
      </c>
    </row>
    <row r="42" spans="1:8" ht="16.5" customHeight="1">
      <c r="A42" s="4"/>
      <c r="B42" s="4"/>
      <c r="C42" s="4" t="s">
        <v>14</v>
      </c>
      <c r="D42" s="4" t="s">
        <v>13</v>
      </c>
      <c r="E42" s="4"/>
      <c r="F42" s="4"/>
      <c r="G42" s="4"/>
      <c r="H42" s="28">
        <f>SUM(H40:H41)</f>
        <v>0</v>
      </c>
    </row>
    <row r="43" spans="1:8" ht="16.5" customHeight="1">
      <c r="A43" s="4"/>
      <c r="B43" s="4"/>
      <c r="C43" s="4" t="s">
        <v>24</v>
      </c>
      <c r="D43" s="34">
        <v>0.08</v>
      </c>
      <c r="E43" s="4"/>
      <c r="F43" s="4"/>
      <c r="G43" s="4"/>
      <c r="H43" s="26">
        <f>H42*D43</f>
        <v>0</v>
      </c>
    </row>
    <row r="44" spans="1:8" ht="16.5" customHeight="1">
      <c r="A44" s="4"/>
      <c r="B44" s="4"/>
      <c r="C44" s="6" t="s">
        <v>10</v>
      </c>
      <c r="D44" s="4" t="s">
        <v>13</v>
      </c>
      <c r="E44" s="4"/>
      <c r="F44" s="4"/>
      <c r="G44" s="4"/>
      <c r="H44" s="28">
        <f>H43+H42</f>
        <v>0</v>
      </c>
    </row>
    <row r="45" spans="1:8" ht="16.5" customHeight="1">
      <c r="A45" s="7"/>
      <c r="B45" s="7"/>
      <c r="C45" s="37"/>
      <c r="D45" s="7"/>
      <c r="E45" s="7"/>
      <c r="F45" s="7"/>
      <c r="G45" s="7"/>
      <c r="H45" s="38"/>
    </row>
    <row r="46" spans="1:8" ht="16.5" customHeight="1">
      <c r="A46" s="7"/>
      <c r="B46" s="7"/>
      <c r="C46" s="37" t="s">
        <v>388</v>
      </c>
      <c r="D46" s="7"/>
      <c r="E46" s="454"/>
      <c r="F46" s="454"/>
      <c r="G46" s="454"/>
      <c r="H46" s="38"/>
    </row>
    <row r="47" spans="1:8" ht="16.5" customHeight="1">
      <c r="A47" s="7"/>
      <c r="B47" s="7"/>
      <c r="C47" s="37"/>
      <c r="D47" s="7"/>
      <c r="E47" s="7"/>
      <c r="F47" s="7"/>
      <c r="G47" s="7"/>
      <c r="H47" s="38"/>
    </row>
    <row r="48" spans="1:8" s="35" customFormat="1" ht="16.5" customHeight="1">
      <c r="A48" s="7"/>
      <c r="B48" s="7"/>
      <c r="C48" s="37"/>
      <c r="D48" s="7"/>
      <c r="E48" s="7"/>
      <c r="F48" s="7"/>
      <c r="G48" s="7"/>
      <c r="H48" s="38"/>
    </row>
    <row r="49" spans="1:8" s="35" customFormat="1" ht="16.5" customHeight="1">
      <c r="A49" s="7"/>
      <c r="B49" s="7"/>
      <c r="C49" s="37"/>
      <c r="D49" s="7"/>
      <c r="E49" s="7"/>
      <c r="F49" s="7"/>
      <c r="G49" s="7"/>
      <c r="H49" s="38"/>
    </row>
    <row r="50" spans="1:8" s="35" customFormat="1" ht="16.5" customHeight="1">
      <c r="A50" s="7"/>
      <c r="B50" s="7"/>
      <c r="C50" s="37"/>
      <c r="D50" s="7"/>
      <c r="E50" s="7"/>
      <c r="F50" s="7"/>
      <c r="G50" s="7"/>
      <c r="H50" s="38"/>
    </row>
    <row r="51" spans="1:8" s="35" customFormat="1" ht="16.5" customHeight="1">
      <c r="A51" s="7"/>
      <c r="B51" s="7"/>
      <c r="C51" s="37"/>
      <c r="D51" s="7"/>
      <c r="E51" s="7"/>
      <c r="F51" s="7"/>
      <c r="G51" s="7"/>
      <c r="H51" s="38"/>
    </row>
    <row r="52" spans="1:8" s="35" customFormat="1" ht="16.5" customHeight="1">
      <c r="A52" s="7"/>
      <c r="B52" s="7"/>
      <c r="C52" s="37"/>
      <c r="D52" s="7"/>
      <c r="E52" s="7"/>
      <c r="F52" s="7"/>
      <c r="G52" s="7"/>
      <c r="H52" s="38"/>
    </row>
    <row r="53" spans="1:8" s="35" customFormat="1" ht="16.5" customHeight="1">
      <c r="A53" s="7"/>
      <c r="B53" s="7"/>
      <c r="C53" s="37"/>
      <c r="D53" s="7"/>
      <c r="E53" s="7"/>
      <c r="F53" s="7"/>
      <c r="G53" s="7"/>
      <c r="H53" s="38"/>
    </row>
    <row r="54" spans="1:8" s="35" customFormat="1" ht="16.5" customHeight="1">
      <c r="A54" s="7"/>
      <c r="B54" s="7"/>
      <c r="C54" s="37"/>
      <c r="D54" s="7"/>
      <c r="E54" s="7"/>
      <c r="F54" s="7"/>
      <c r="G54" s="7"/>
      <c r="H54" s="38"/>
    </row>
    <row r="55" spans="1:8" s="35" customFormat="1" ht="16.5" customHeight="1">
      <c r="A55" s="7"/>
      <c r="B55" s="7"/>
      <c r="C55" s="37"/>
      <c r="D55" s="7"/>
      <c r="E55" s="7"/>
      <c r="F55" s="7"/>
      <c r="G55" s="7"/>
      <c r="H55" s="38"/>
    </row>
    <row r="56" spans="1:8" s="35" customFormat="1" ht="16.5" customHeight="1">
      <c r="A56" s="7"/>
      <c r="B56" s="7"/>
      <c r="C56" s="37"/>
      <c r="D56" s="7"/>
      <c r="E56" s="7"/>
      <c r="F56" s="7"/>
      <c r="G56" s="7"/>
      <c r="H56" s="38"/>
    </row>
    <row r="57" spans="1:8" s="35" customFormat="1" ht="16.5" customHeight="1">
      <c r="A57" s="7"/>
      <c r="B57" s="7"/>
      <c r="C57" s="37"/>
      <c r="D57" s="7"/>
      <c r="E57" s="7"/>
      <c r="F57" s="7"/>
      <c r="G57" s="7"/>
      <c r="H57" s="38"/>
    </row>
    <row r="58" spans="1:8" s="35" customFormat="1" ht="16.5" customHeight="1">
      <c r="A58" s="7"/>
      <c r="B58" s="7"/>
      <c r="C58" s="37"/>
      <c r="D58" s="7"/>
      <c r="E58" s="7"/>
      <c r="F58" s="7"/>
      <c r="G58" s="7"/>
      <c r="H58" s="38"/>
    </row>
    <row r="59" spans="1:8" s="35" customFormat="1" ht="16.5" customHeight="1">
      <c r="A59" s="7"/>
      <c r="B59" s="7"/>
      <c r="C59" s="37"/>
      <c r="D59" s="7"/>
      <c r="E59" s="7"/>
      <c r="F59" s="7"/>
      <c r="G59" s="7"/>
      <c r="H59" s="38"/>
    </row>
    <row r="60" spans="1:8" s="35" customFormat="1" ht="16.5" customHeight="1">
      <c r="A60" s="7"/>
      <c r="B60" s="7"/>
      <c r="C60" s="37"/>
      <c r="D60" s="7"/>
      <c r="E60" s="7"/>
      <c r="F60" s="7"/>
      <c r="G60" s="7"/>
      <c r="H60" s="38"/>
    </row>
    <row r="61" spans="1:8" s="35" customFormat="1" ht="16.5" customHeight="1">
      <c r="A61" s="7"/>
      <c r="B61" s="7"/>
      <c r="C61" s="37"/>
      <c r="D61" s="7"/>
      <c r="E61" s="7"/>
      <c r="F61" s="7"/>
      <c r="G61" s="7"/>
      <c r="H61" s="38"/>
    </row>
    <row r="62" spans="1:8" s="35" customFormat="1" ht="16.5" customHeight="1">
      <c r="A62" s="7"/>
      <c r="B62" s="7"/>
      <c r="C62" s="37"/>
      <c r="D62" s="7"/>
      <c r="E62" s="7"/>
      <c r="F62" s="7"/>
      <c r="G62" s="7"/>
      <c r="H62" s="38"/>
    </row>
    <row r="63" spans="1:8" s="35" customFormat="1" ht="16.5" customHeight="1">
      <c r="A63" s="7"/>
      <c r="B63" s="7"/>
      <c r="C63" s="37"/>
      <c r="D63" s="7"/>
      <c r="E63" s="7"/>
      <c r="F63" s="7"/>
      <c r="G63" s="7"/>
      <c r="H63" s="38"/>
    </row>
    <row r="64" spans="1:8" ht="16.5" customHeight="1">
      <c r="A64" s="7"/>
      <c r="B64" s="7"/>
      <c r="C64" s="37"/>
      <c r="D64" s="7"/>
      <c r="E64" s="7"/>
      <c r="F64" s="7"/>
      <c r="G64" s="7"/>
      <c r="H64" s="38"/>
    </row>
    <row r="65" spans="1:8" ht="16.5" customHeight="1">
      <c r="A65" s="7"/>
      <c r="B65" s="7"/>
      <c r="C65" s="37"/>
      <c r="D65" s="7"/>
      <c r="E65" s="7"/>
      <c r="F65" s="7"/>
      <c r="G65" s="7"/>
      <c r="H65" s="38"/>
    </row>
    <row r="66" spans="1:8" ht="16.5" customHeight="1">
      <c r="A66" s="7"/>
      <c r="B66" s="7"/>
      <c r="C66" s="37"/>
      <c r="D66" s="7"/>
      <c r="E66" s="7"/>
      <c r="F66" s="7"/>
      <c r="G66" s="7"/>
      <c r="H66" s="38"/>
    </row>
    <row r="67" spans="1:8" ht="16.5" customHeight="1">
      <c r="A67" s="7"/>
      <c r="B67" s="7"/>
      <c r="C67" s="37"/>
      <c r="D67" s="7"/>
      <c r="E67" s="7"/>
      <c r="F67" s="7"/>
      <c r="G67" s="7"/>
      <c r="H67" s="38"/>
    </row>
    <row r="68" spans="1:8" ht="16.5" customHeight="1">
      <c r="A68" s="7"/>
      <c r="B68" s="7"/>
      <c r="C68" s="37"/>
      <c r="D68" s="7"/>
      <c r="E68" s="7"/>
      <c r="F68" s="7"/>
      <c r="G68" s="7"/>
      <c r="H68" s="38"/>
    </row>
  </sheetData>
  <sheetProtection/>
  <mergeCells count="15">
    <mergeCell ref="E46:G46"/>
    <mergeCell ref="A5:C5"/>
    <mergeCell ref="E5:H5"/>
    <mergeCell ref="A6:A7"/>
    <mergeCell ref="B6:B7"/>
    <mergeCell ref="C6:C7"/>
    <mergeCell ref="D6:D7"/>
    <mergeCell ref="E6:F6"/>
    <mergeCell ref="G6:H6"/>
    <mergeCell ref="A1:H1"/>
    <mergeCell ref="A2:H2"/>
    <mergeCell ref="A3:C3"/>
    <mergeCell ref="E3:H3"/>
    <mergeCell ref="A4:C4"/>
    <mergeCell ref="E4:H4"/>
  </mergeCells>
  <printOptions/>
  <pageMargins left="0.3" right="0.24" top="0.37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73">
      <selection activeCell="A68" sqref="A68"/>
    </sheetView>
  </sheetViews>
  <sheetFormatPr defaultColWidth="9.00390625" defaultRowHeight="12.75"/>
  <cols>
    <col min="1" max="1" width="6.375" style="142" customWidth="1"/>
    <col min="2" max="2" width="9.125" style="142" customWidth="1"/>
    <col min="3" max="3" width="43.00390625" style="142" customWidth="1"/>
    <col min="4" max="4" width="7.625" style="142" customWidth="1"/>
    <col min="5" max="5" width="7.375" style="142" customWidth="1"/>
    <col min="6" max="6" width="7.625" style="142" customWidth="1"/>
    <col min="7" max="7" width="7.875" style="142" customWidth="1"/>
    <col min="8" max="8" width="8.00390625" style="199" customWidth="1"/>
    <col min="9" max="9" width="8.00390625" style="93" customWidth="1"/>
    <col min="10" max="10" width="35.625" style="93" customWidth="1"/>
    <col min="11" max="11" width="8.00390625" style="93" customWidth="1"/>
    <col min="12" max="12" width="7.125" style="142" customWidth="1"/>
    <col min="13" max="13" width="12.00390625" style="142" customWidth="1"/>
    <col min="14" max="14" width="13.125" style="93" bestFit="1" customWidth="1"/>
    <col min="15" max="15" width="13.375" style="93" bestFit="1" customWidth="1"/>
    <col min="16" max="16384" width="9.125" style="93" customWidth="1"/>
  </cols>
  <sheetData>
    <row r="1" spans="1:11" ht="33.75" customHeight="1">
      <c r="A1" s="416" t="s">
        <v>237</v>
      </c>
      <c r="B1" s="416"/>
      <c r="C1" s="416"/>
      <c r="D1" s="416"/>
      <c r="E1" s="416"/>
      <c r="F1" s="416"/>
      <c r="G1" s="416"/>
      <c r="H1" s="416"/>
      <c r="I1" s="95"/>
      <c r="J1" s="95"/>
      <c r="K1" s="95"/>
    </row>
    <row r="2" spans="1:11" ht="60" customHeight="1">
      <c r="A2" s="417" t="s">
        <v>236</v>
      </c>
      <c r="B2" s="417"/>
      <c r="C2" s="417"/>
      <c r="D2" s="417"/>
      <c r="E2" s="417"/>
      <c r="F2" s="417"/>
      <c r="G2" s="417"/>
      <c r="H2" s="417"/>
      <c r="I2" s="143"/>
      <c r="J2" s="143"/>
      <c r="K2" s="143"/>
    </row>
    <row r="3" spans="1:13" s="94" customFormat="1" ht="42.75" customHeight="1">
      <c r="A3" s="416" t="s">
        <v>165</v>
      </c>
      <c r="B3" s="416"/>
      <c r="C3" s="416"/>
      <c r="D3" s="144">
        <f>H83/1000</f>
        <v>0</v>
      </c>
      <c r="E3" s="416" t="s">
        <v>164</v>
      </c>
      <c r="F3" s="416"/>
      <c r="G3" s="145"/>
      <c r="H3" s="211"/>
      <c r="I3" s="146"/>
      <c r="J3" s="402"/>
      <c r="K3" s="146"/>
      <c r="L3" s="147"/>
      <c r="M3" s="147"/>
    </row>
    <row r="4" spans="1:13" s="94" customFormat="1" ht="42.75" customHeight="1">
      <c r="A4" s="416" t="s">
        <v>166</v>
      </c>
      <c r="B4" s="416"/>
      <c r="C4" s="416"/>
      <c r="D4" s="148">
        <f>H76/1000</f>
        <v>0</v>
      </c>
      <c r="E4" s="416" t="s">
        <v>164</v>
      </c>
      <c r="F4" s="416"/>
      <c r="G4" s="145"/>
      <c r="H4" s="211"/>
      <c r="I4" s="146"/>
      <c r="J4" s="146"/>
      <c r="K4" s="146"/>
      <c r="L4" s="149"/>
      <c r="M4" s="147"/>
    </row>
    <row r="5" spans="1:11" ht="60.75" customHeight="1">
      <c r="A5" s="425" t="s">
        <v>7</v>
      </c>
      <c r="B5" s="427" t="s">
        <v>128</v>
      </c>
      <c r="C5" s="425" t="s">
        <v>129</v>
      </c>
      <c r="D5" s="427" t="s">
        <v>130</v>
      </c>
      <c r="E5" s="429" t="s">
        <v>131</v>
      </c>
      <c r="F5" s="430"/>
      <c r="G5" s="429" t="s">
        <v>132</v>
      </c>
      <c r="H5" s="430"/>
      <c r="I5" s="139"/>
      <c r="J5" s="139"/>
      <c r="K5" s="139"/>
    </row>
    <row r="6" spans="1:14" ht="74.25" customHeight="1">
      <c r="A6" s="426"/>
      <c r="B6" s="428"/>
      <c r="C6" s="426"/>
      <c r="D6" s="428"/>
      <c r="E6" s="150" t="s">
        <v>133</v>
      </c>
      <c r="F6" s="150" t="s">
        <v>134</v>
      </c>
      <c r="G6" s="150" t="s">
        <v>133</v>
      </c>
      <c r="H6" s="212" t="s">
        <v>127</v>
      </c>
      <c r="I6" s="151"/>
      <c r="J6" s="151"/>
      <c r="K6" s="151"/>
      <c r="N6" s="152"/>
    </row>
    <row r="7" spans="1:11" ht="16.5" customHeight="1" thickBot="1">
      <c r="A7" s="141">
        <v>1</v>
      </c>
      <c r="B7" s="141">
        <v>2</v>
      </c>
      <c r="C7" s="141">
        <v>3</v>
      </c>
      <c r="D7" s="123">
        <v>4</v>
      </c>
      <c r="E7" s="123">
        <v>5</v>
      </c>
      <c r="F7" s="123">
        <v>6</v>
      </c>
      <c r="G7" s="123">
        <v>7</v>
      </c>
      <c r="H7" s="213">
        <v>8</v>
      </c>
      <c r="I7" s="139"/>
      <c r="J7" s="139"/>
      <c r="K7" s="139"/>
    </row>
    <row r="8" spans="1:11" ht="18.75" customHeight="1" thickBot="1">
      <c r="A8" s="462" t="s">
        <v>274</v>
      </c>
      <c r="B8" s="463"/>
      <c r="C8" s="463"/>
      <c r="D8" s="463"/>
      <c r="E8" s="463"/>
      <c r="F8" s="463"/>
      <c r="G8" s="463"/>
      <c r="H8" s="464"/>
      <c r="I8" s="139"/>
      <c r="J8" s="139"/>
      <c r="K8" s="139"/>
    </row>
    <row r="9" spans="1:11" ht="78.75" customHeight="1" thickBot="1">
      <c r="A9" s="140">
        <v>1</v>
      </c>
      <c r="B9" s="86" t="s">
        <v>90</v>
      </c>
      <c r="C9" s="127" t="s">
        <v>238</v>
      </c>
      <c r="D9" s="86" t="s">
        <v>92</v>
      </c>
      <c r="E9" s="153"/>
      <c r="F9" s="132">
        <v>19</v>
      </c>
      <c r="G9" s="153"/>
      <c r="H9" s="214"/>
      <c r="I9" s="155"/>
      <c r="J9" s="156"/>
      <c r="K9" s="139"/>
    </row>
    <row r="10" spans="1:11" ht="16.5" customHeight="1">
      <c r="A10" s="102">
        <f>A9+0.1</f>
        <v>1.1</v>
      </c>
      <c r="B10" s="130"/>
      <c r="C10" s="103" t="s">
        <v>93</v>
      </c>
      <c r="D10" s="103" t="s">
        <v>94</v>
      </c>
      <c r="E10" s="105">
        <f>88.7/100</f>
        <v>0.89</v>
      </c>
      <c r="F10" s="105">
        <f>F9*E10</f>
        <v>16.91</v>
      </c>
      <c r="G10" s="118"/>
      <c r="H10" s="215"/>
      <c r="I10" s="157">
        <f>G10*F10</f>
        <v>0</v>
      </c>
      <c r="J10" s="157"/>
      <c r="K10" s="139"/>
    </row>
    <row r="11" spans="1:11" ht="16.5" customHeight="1" thickBot="1">
      <c r="A11" s="123">
        <f>A10+0.1</f>
        <v>1.2</v>
      </c>
      <c r="B11" s="119"/>
      <c r="C11" s="119" t="s">
        <v>95</v>
      </c>
      <c r="D11" s="128" t="s">
        <v>96</v>
      </c>
      <c r="E11" s="158">
        <f>9.84/100</f>
        <v>0.1</v>
      </c>
      <c r="F11" s="158">
        <f>F9*E11</f>
        <v>1.9</v>
      </c>
      <c r="G11" s="158"/>
      <c r="H11" s="216"/>
      <c r="I11" s="157">
        <f aca="true" t="shared" si="0" ref="I11:I74">G11*F11</f>
        <v>0</v>
      </c>
      <c r="J11" s="157"/>
      <c r="K11" s="139"/>
    </row>
    <row r="12" spans="1:11" ht="56.25" customHeight="1" thickBot="1">
      <c r="A12" s="140">
        <v>2</v>
      </c>
      <c r="B12" s="86" t="s">
        <v>90</v>
      </c>
      <c r="C12" s="127" t="s">
        <v>275</v>
      </c>
      <c r="D12" s="129" t="s">
        <v>92</v>
      </c>
      <c r="E12" s="127"/>
      <c r="F12" s="132">
        <f>F21</f>
        <v>18.5</v>
      </c>
      <c r="G12" s="127"/>
      <c r="H12" s="214"/>
      <c r="I12" s="157">
        <f t="shared" si="0"/>
        <v>0</v>
      </c>
      <c r="J12" s="187"/>
      <c r="K12" s="139"/>
    </row>
    <row r="13" spans="1:13" ht="16.5" customHeight="1">
      <c r="A13" s="160">
        <f>A12+0.1</f>
        <v>2.1</v>
      </c>
      <c r="B13" s="130"/>
      <c r="C13" s="103" t="s">
        <v>93</v>
      </c>
      <c r="D13" s="118" t="s">
        <v>94</v>
      </c>
      <c r="E13" s="98">
        <v>1</v>
      </c>
      <c r="F13" s="118">
        <f>F12*E13</f>
        <v>18.5</v>
      </c>
      <c r="G13" s="118"/>
      <c r="H13" s="215"/>
      <c r="I13" s="157">
        <f t="shared" si="0"/>
        <v>0</v>
      </c>
      <c r="J13" s="187"/>
      <c r="K13" s="403"/>
      <c r="M13" s="161"/>
    </row>
    <row r="14" spans="1:11" ht="16.5" customHeight="1">
      <c r="A14" s="122">
        <f>A13+0.1</f>
        <v>2.2</v>
      </c>
      <c r="B14" s="119"/>
      <c r="C14" s="119" t="s">
        <v>95</v>
      </c>
      <c r="D14" s="120" t="s">
        <v>107</v>
      </c>
      <c r="E14" s="325">
        <v>1</v>
      </c>
      <c r="F14" s="120">
        <f>F12*E14</f>
        <v>18.5</v>
      </c>
      <c r="G14" s="120"/>
      <c r="H14" s="218"/>
      <c r="I14" s="157">
        <f t="shared" si="0"/>
        <v>0</v>
      </c>
      <c r="J14" s="157"/>
      <c r="K14" s="139"/>
    </row>
    <row r="15" spans="1:11" ht="16.5" customHeight="1">
      <c r="A15" s="122">
        <f>A14+0.1</f>
        <v>2.3</v>
      </c>
      <c r="B15" s="324"/>
      <c r="C15" s="122" t="s">
        <v>276</v>
      </c>
      <c r="D15" s="135" t="s">
        <v>92</v>
      </c>
      <c r="E15" s="191">
        <v>1</v>
      </c>
      <c r="F15" s="135">
        <f>F12*E15</f>
        <v>18.5</v>
      </c>
      <c r="G15" s="135"/>
      <c r="H15" s="222"/>
      <c r="I15" s="157">
        <f t="shared" si="0"/>
        <v>0</v>
      </c>
      <c r="J15" s="162"/>
      <c r="K15" s="139"/>
    </row>
    <row r="16" spans="1:11" ht="16.5" customHeight="1">
      <c r="A16" s="122">
        <f>A15+0.1</f>
        <v>2.4</v>
      </c>
      <c r="B16" s="130"/>
      <c r="C16" s="141" t="s">
        <v>277</v>
      </c>
      <c r="D16" s="326" t="s">
        <v>109</v>
      </c>
      <c r="E16" s="327">
        <v>3</v>
      </c>
      <c r="F16" s="326">
        <f>F12*E16</f>
        <v>55.5</v>
      </c>
      <c r="G16" s="326"/>
      <c r="H16" s="222"/>
      <c r="I16" s="157">
        <f t="shared" si="0"/>
        <v>0</v>
      </c>
      <c r="J16" s="162"/>
      <c r="K16" s="139"/>
    </row>
    <row r="17" spans="1:11" ht="16.5" customHeight="1" thickBot="1">
      <c r="A17" s="141">
        <f>A16+0.1</f>
        <v>2.5</v>
      </c>
      <c r="B17" s="119"/>
      <c r="C17" s="123" t="s">
        <v>106</v>
      </c>
      <c r="D17" s="136" t="s">
        <v>107</v>
      </c>
      <c r="E17" s="188">
        <v>1</v>
      </c>
      <c r="F17" s="136">
        <f>F12*E17</f>
        <v>18.5</v>
      </c>
      <c r="G17" s="136"/>
      <c r="H17" s="222"/>
      <c r="I17" s="157">
        <f t="shared" si="0"/>
        <v>0</v>
      </c>
      <c r="J17" s="162"/>
      <c r="K17" s="139"/>
    </row>
    <row r="18" spans="1:11" ht="49.5" customHeight="1" thickBot="1">
      <c r="A18" s="140">
        <v>3</v>
      </c>
      <c r="B18" s="86" t="s">
        <v>169</v>
      </c>
      <c r="C18" s="127" t="s">
        <v>99</v>
      </c>
      <c r="D18" s="86" t="s">
        <v>100</v>
      </c>
      <c r="E18" s="127"/>
      <c r="F18" s="154">
        <v>1.2</v>
      </c>
      <c r="G18" s="163"/>
      <c r="H18" s="214"/>
      <c r="I18" s="157">
        <f t="shared" si="0"/>
        <v>0</v>
      </c>
      <c r="J18" s="159"/>
      <c r="K18" s="139"/>
    </row>
    <row r="19" spans="1:11" ht="16.5" customHeight="1" thickBot="1">
      <c r="A19" s="141">
        <f>A18+0.1</f>
        <v>3.1</v>
      </c>
      <c r="B19" s="141"/>
      <c r="C19" s="130" t="s">
        <v>101</v>
      </c>
      <c r="D19" s="131" t="s">
        <v>94</v>
      </c>
      <c r="E19" s="164">
        <f>3.37</f>
        <v>3.37</v>
      </c>
      <c r="F19" s="164">
        <f>F18*E19</f>
        <v>4.04</v>
      </c>
      <c r="G19" s="165"/>
      <c r="H19" s="219"/>
      <c r="I19" s="157">
        <f t="shared" si="0"/>
        <v>0</v>
      </c>
      <c r="J19" s="159"/>
      <c r="K19" s="139"/>
    </row>
    <row r="20" spans="1:11" ht="35.25" customHeight="1" thickBot="1">
      <c r="A20" s="140">
        <f>A18+1</f>
        <v>4</v>
      </c>
      <c r="B20" s="86" t="s">
        <v>170</v>
      </c>
      <c r="C20" s="137" t="s">
        <v>102</v>
      </c>
      <c r="D20" s="138" t="s">
        <v>103</v>
      </c>
      <c r="E20" s="137"/>
      <c r="F20" s="166">
        <f>F18*1.6</f>
        <v>1.92</v>
      </c>
      <c r="G20" s="167"/>
      <c r="H20" s="220"/>
      <c r="I20" s="157">
        <f t="shared" si="0"/>
        <v>0</v>
      </c>
      <c r="J20" s="159"/>
      <c r="K20" s="139"/>
    </row>
    <row r="21" spans="1:11" ht="69.75" customHeight="1" thickBot="1">
      <c r="A21" s="174">
        <f>A20+1</f>
        <v>5</v>
      </c>
      <c r="B21" s="195" t="s">
        <v>206</v>
      </c>
      <c r="C21" s="127" t="s">
        <v>249</v>
      </c>
      <c r="D21" s="132" t="s">
        <v>92</v>
      </c>
      <c r="E21" s="153"/>
      <c r="F21" s="175">
        <v>18.5</v>
      </c>
      <c r="G21" s="153"/>
      <c r="H21" s="214"/>
      <c r="I21" s="157">
        <f t="shared" si="0"/>
        <v>0</v>
      </c>
      <c r="J21" s="159"/>
      <c r="K21" s="139"/>
    </row>
    <row r="22" spans="1:11" ht="27" customHeight="1">
      <c r="A22" s="102">
        <f>A21+0.1</f>
        <v>5.1</v>
      </c>
      <c r="B22" s="103"/>
      <c r="C22" s="103" t="s">
        <v>93</v>
      </c>
      <c r="D22" s="103" t="s">
        <v>94</v>
      </c>
      <c r="E22" s="98">
        <f>65.8/100</f>
        <v>0.658</v>
      </c>
      <c r="F22" s="105">
        <f>F21*E22</f>
        <v>12.17</v>
      </c>
      <c r="G22" s="118"/>
      <c r="H22" s="215"/>
      <c r="I22" s="157">
        <f t="shared" si="0"/>
        <v>0</v>
      </c>
      <c r="J22" s="157"/>
      <c r="K22" s="139"/>
    </row>
    <row r="23" spans="1:11" ht="27" customHeight="1">
      <c r="A23" s="102">
        <f>A22+0.1</f>
        <v>5.2</v>
      </c>
      <c r="B23" s="121"/>
      <c r="C23" s="121" t="s">
        <v>95</v>
      </c>
      <c r="D23" s="121" t="s">
        <v>98</v>
      </c>
      <c r="E23" s="189">
        <f>0.01</f>
        <v>0.01</v>
      </c>
      <c r="F23" s="170">
        <f>F21*E23</f>
        <v>0.19</v>
      </c>
      <c r="G23" s="133"/>
      <c r="H23" s="221"/>
      <c r="I23" s="157">
        <f t="shared" si="0"/>
        <v>0</v>
      </c>
      <c r="J23" s="159"/>
      <c r="K23" s="139"/>
    </row>
    <row r="24" spans="1:11" ht="27" customHeight="1">
      <c r="A24" s="102">
        <f>A23+0.1</f>
        <v>5.3</v>
      </c>
      <c r="B24" s="121"/>
      <c r="C24" s="122" t="s">
        <v>160</v>
      </c>
      <c r="D24" s="122" t="s">
        <v>109</v>
      </c>
      <c r="E24" s="135">
        <v>0.63</v>
      </c>
      <c r="F24" s="171">
        <f>F21*E24</f>
        <v>11.66</v>
      </c>
      <c r="G24" s="135"/>
      <c r="H24" s="222"/>
      <c r="I24" s="157">
        <f t="shared" si="0"/>
        <v>0</v>
      </c>
      <c r="J24" s="157"/>
      <c r="K24" s="139"/>
    </row>
    <row r="25" spans="1:11" ht="27" customHeight="1">
      <c r="A25" s="102">
        <f>A24+0.1</f>
        <v>5.4</v>
      </c>
      <c r="B25" s="197"/>
      <c r="C25" s="122" t="s">
        <v>119</v>
      </c>
      <c r="D25" s="135" t="s">
        <v>109</v>
      </c>
      <c r="E25" s="135">
        <v>0.79</v>
      </c>
      <c r="F25" s="171">
        <f>F21*E25</f>
        <v>14.62</v>
      </c>
      <c r="G25" s="135"/>
      <c r="H25" s="222"/>
      <c r="I25" s="157">
        <f t="shared" si="0"/>
        <v>0</v>
      </c>
      <c r="J25" s="157"/>
      <c r="K25" s="139"/>
    </row>
    <row r="26" spans="1:11" ht="27" customHeight="1" thickBot="1">
      <c r="A26" s="141">
        <f>A25+0.1</f>
        <v>5.5</v>
      </c>
      <c r="B26" s="242"/>
      <c r="C26" s="123" t="s">
        <v>106</v>
      </c>
      <c r="D26" s="136" t="s">
        <v>107</v>
      </c>
      <c r="E26" s="192">
        <f>1.6/100</f>
        <v>0.016</v>
      </c>
      <c r="F26" s="173">
        <f>F21*E26</f>
        <v>0.3</v>
      </c>
      <c r="G26" s="136"/>
      <c r="H26" s="223"/>
      <c r="I26" s="157">
        <f t="shared" si="0"/>
        <v>0</v>
      </c>
      <c r="J26" s="157"/>
      <c r="K26" s="139"/>
    </row>
    <row r="27" spans="1:11" ht="27" customHeight="1" thickBot="1">
      <c r="A27" s="462" t="s">
        <v>250</v>
      </c>
      <c r="B27" s="463"/>
      <c r="C27" s="463"/>
      <c r="D27" s="463"/>
      <c r="E27" s="463"/>
      <c r="F27" s="463"/>
      <c r="G27" s="463"/>
      <c r="H27" s="464"/>
      <c r="I27" s="157">
        <f t="shared" si="0"/>
        <v>0</v>
      </c>
      <c r="J27" s="157"/>
      <c r="K27" s="139"/>
    </row>
    <row r="28" spans="1:11" ht="27" customHeight="1" thickBot="1">
      <c r="A28" s="174">
        <f>A21+1</f>
        <v>6</v>
      </c>
      <c r="B28" s="86" t="s">
        <v>251</v>
      </c>
      <c r="C28" s="153" t="s">
        <v>273</v>
      </c>
      <c r="D28" s="132" t="s">
        <v>97</v>
      </c>
      <c r="E28" s="269"/>
      <c r="F28" s="153">
        <v>0.08</v>
      </c>
      <c r="G28" s="269"/>
      <c r="H28" s="154"/>
      <c r="I28" s="157">
        <f t="shared" si="0"/>
        <v>0</v>
      </c>
      <c r="J28" s="159"/>
      <c r="K28" s="139"/>
    </row>
    <row r="29" spans="1:11" ht="27" customHeight="1">
      <c r="A29" s="177">
        <f aca="true" t="shared" si="1" ref="A29:A37">A28+0.1</f>
        <v>6.1</v>
      </c>
      <c r="B29" s="103"/>
      <c r="C29" s="312" t="s">
        <v>93</v>
      </c>
      <c r="D29" s="118" t="s">
        <v>94</v>
      </c>
      <c r="E29" s="118">
        <f>23.8*1.15</f>
        <v>27.37</v>
      </c>
      <c r="F29" s="118">
        <f>F28*E29</f>
        <v>2.19</v>
      </c>
      <c r="G29" s="165"/>
      <c r="H29" s="105"/>
      <c r="I29" s="157">
        <f t="shared" si="0"/>
        <v>0</v>
      </c>
      <c r="J29" s="159"/>
      <c r="K29" s="139"/>
    </row>
    <row r="30" spans="1:11" ht="27" customHeight="1" thickBot="1">
      <c r="A30" s="179">
        <f t="shared" si="1"/>
        <v>6.2</v>
      </c>
      <c r="B30" s="121"/>
      <c r="C30" s="313" t="s">
        <v>95</v>
      </c>
      <c r="D30" s="313" t="s">
        <v>107</v>
      </c>
      <c r="E30" s="133">
        <f>2.1*1.15</f>
        <v>2.42</v>
      </c>
      <c r="F30" s="120">
        <f>F28*E30</f>
        <v>0.19</v>
      </c>
      <c r="G30" s="133"/>
      <c r="H30" s="170"/>
      <c r="I30" s="157">
        <f t="shared" si="0"/>
        <v>0</v>
      </c>
      <c r="J30" s="157"/>
      <c r="K30" s="139"/>
    </row>
    <row r="31" spans="1:11" ht="27" customHeight="1" thickBot="1">
      <c r="A31" s="179">
        <f t="shared" si="1"/>
        <v>6.3</v>
      </c>
      <c r="B31" s="107"/>
      <c r="C31" s="122" t="s">
        <v>252</v>
      </c>
      <c r="D31" s="135" t="s">
        <v>97</v>
      </c>
      <c r="E31" s="315">
        <v>1.05</v>
      </c>
      <c r="F31" s="269">
        <f>F28*E31</f>
        <v>0.08</v>
      </c>
      <c r="G31" s="24"/>
      <c r="H31" s="171"/>
      <c r="I31" s="157">
        <f t="shared" si="0"/>
        <v>0</v>
      </c>
      <c r="J31" s="157"/>
      <c r="K31" s="139"/>
    </row>
    <row r="32" spans="1:11" ht="27" customHeight="1">
      <c r="A32" s="179">
        <f t="shared" si="1"/>
        <v>6.4</v>
      </c>
      <c r="B32" s="107"/>
      <c r="C32" s="122" t="s">
        <v>253</v>
      </c>
      <c r="D32" s="135" t="s">
        <v>109</v>
      </c>
      <c r="E32" s="135">
        <v>1.96</v>
      </c>
      <c r="F32" s="316">
        <f>F28*E32</f>
        <v>0.16</v>
      </c>
      <c r="G32" s="135"/>
      <c r="H32" s="171"/>
      <c r="I32" s="157">
        <f t="shared" si="0"/>
        <v>0</v>
      </c>
      <c r="J32" s="157"/>
      <c r="K32" s="139"/>
    </row>
    <row r="33" spans="1:11" ht="27" customHeight="1">
      <c r="A33" s="179">
        <f t="shared" si="1"/>
        <v>6.5</v>
      </c>
      <c r="B33" s="122"/>
      <c r="C33" s="122" t="s">
        <v>254</v>
      </c>
      <c r="D33" s="135" t="s">
        <v>92</v>
      </c>
      <c r="E33" s="135">
        <v>3.38</v>
      </c>
      <c r="F33" s="135">
        <f>F28*E33</f>
        <v>0.27</v>
      </c>
      <c r="G33" s="135"/>
      <c r="H33" s="171"/>
      <c r="I33" s="157">
        <f t="shared" si="0"/>
        <v>0</v>
      </c>
      <c r="J33" s="157"/>
      <c r="K33" s="139"/>
    </row>
    <row r="34" spans="1:11" ht="27" customHeight="1">
      <c r="A34" s="179">
        <f t="shared" si="1"/>
        <v>6.6</v>
      </c>
      <c r="B34" s="122"/>
      <c r="C34" s="122" t="s">
        <v>255</v>
      </c>
      <c r="D34" s="135" t="s">
        <v>109</v>
      </c>
      <c r="E34" s="135">
        <v>4.38</v>
      </c>
      <c r="F34" s="136">
        <f>F28*E34</f>
        <v>0.35</v>
      </c>
      <c r="G34" s="135"/>
      <c r="H34" s="171"/>
      <c r="I34" s="157">
        <f t="shared" si="0"/>
        <v>0</v>
      </c>
      <c r="J34" s="157"/>
      <c r="K34" s="139"/>
    </row>
    <row r="35" spans="1:11" ht="27" customHeight="1">
      <c r="A35" s="179">
        <f t="shared" si="1"/>
        <v>6.7</v>
      </c>
      <c r="B35" s="122"/>
      <c r="C35" s="122" t="s">
        <v>256</v>
      </c>
      <c r="D35" s="135" t="s">
        <v>109</v>
      </c>
      <c r="E35" s="135"/>
      <c r="F35" s="136">
        <v>8</v>
      </c>
      <c r="G35" s="135"/>
      <c r="H35" s="171"/>
      <c r="I35" s="157">
        <f t="shared" si="0"/>
        <v>0</v>
      </c>
      <c r="J35" s="157"/>
      <c r="K35" s="139"/>
    </row>
    <row r="36" spans="1:11" ht="27" customHeight="1">
      <c r="A36" s="179">
        <f t="shared" si="1"/>
        <v>6.8</v>
      </c>
      <c r="B36" s="122"/>
      <c r="C36" s="122" t="s">
        <v>257</v>
      </c>
      <c r="D36" s="135" t="s">
        <v>109</v>
      </c>
      <c r="E36" s="135">
        <v>7.2</v>
      </c>
      <c r="F36" s="135">
        <f>F28*E36</f>
        <v>0.58</v>
      </c>
      <c r="G36" s="135"/>
      <c r="H36" s="171"/>
      <c r="I36" s="157">
        <f t="shared" si="0"/>
        <v>0</v>
      </c>
      <c r="J36" s="157"/>
      <c r="K36" s="139"/>
    </row>
    <row r="37" spans="1:11" ht="27" customHeight="1" thickBot="1">
      <c r="A37" s="179">
        <f t="shared" si="1"/>
        <v>6.9</v>
      </c>
      <c r="B37" s="123"/>
      <c r="C37" s="123" t="s">
        <v>106</v>
      </c>
      <c r="D37" s="136" t="s">
        <v>107</v>
      </c>
      <c r="E37" s="136">
        <v>3.44</v>
      </c>
      <c r="F37" s="136">
        <f>F28*E37</f>
        <v>0.28</v>
      </c>
      <c r="G37" s="136"/>
      <c r="H37" s="171"/>
      <c r="I37" s="157">
        <f t="shared" si="0"/>
        <v>0</v>
      </c>
      <c r="J37" s="159"/>
      <c r="K37" s="139"/>
    </row>
    <row r="38" spans="1:11" ht="45.75" customHeight="1" thickBot="1">
      <c r="A38" s="317">
        <f>A28+1</f>
        <v>7</v>
      </c>
      <c r="B38" s="101" t="s">
        <v>258</v>
      </c>
      <c r="C38" s="101" t="s">
        <v>259</v>
      </c>
      <c r="D38" s="101" t="s">
        <v>260</v>
      </c>
      <c r="E38" s="101"/>
      <c r="F38" s="323">
        <v>0.027</v>
      </c>
      <c r="G38" s="101"/>
      <c r="H38" s="321"/>
      <c r="I38" s="157">
        <f t="shared" si="0"/>
        <v>0</v>
      </c>
      <c r="J38" s="157"/>
      <c r="K38" s="139"/>
    </row>
    <row r="39" spans="1:11" ht="27" customHeight="1">
      <c r="A39" s="177">
        <f>A38+0.1</f>
        <v>7.1</v>
      </c>
      <c r="B39" s="103"/>
      <c r="C39" s="312" t="s">
        <v>93</v>
      </c>
      <c r="D39" s="118" t="s">
        <v>94</v>
      </c>
      <c r="E39" s="105">
        <f>4.24</f>
        <v>4.24</v>
      </c>
      <c r="F39" s="105">
        <f>F38*E39</f>
        <v>0.11</v>
      </c>
      <c r="G39" s="165"/>
      <c r="H39" s="105"/>
      <c r="I39" s="157">
        <f t="shared" si="0"/>
        <v>0</v>
      </c>
      <c r="J39" s="157"/>
      <c r="K39" s="139"/>
    </row>
    <row r="40" spans="1:11" ht="27" customHeight="1">
      <c r="A40" s="179">
        <f>A39+0.1</f>
        <v>7.2</v>
      </c>
      <c r="B40" s="121"/>
      <c r="C40" s="313" t="s">
        <v>95</v>
      </c>
      <c r="D40" s="313" t="s">
        <v>107</v>
      </c>
      <c r="E40" s="318">
        <f>0.21</f>
        <v>0.21</v>
      </c>
      <c r="F40" s="318">
        <f>F38*E40</f>
        <v>0.01</v>
      </c>
      <c r="G40" s="318"/>
      <c r="H40" s="319"/>
      <c r="I40" s="157">
        <f t="shared" si="0"/>
        <v>0</v>
      </c>
      <c r="J40" s="157"/>
      <c r="K40" s="139"/>
    </row>
    <row r="41" spans="1:11" ht="27" customHeight="1" thickBot="1">
      <c r="A41" s="190">
        <f>A40+0.1</f>
        <v>7.3</v>
      </c>
      <c r="B41" s="123"/>
      <c r="C41" s="123" t="s">
        <v>261</v>
      </c>
      <c r="D41" s="123" t="s">
        <v>109</v>
      </c>
      <c r="E41" s="136">
        <v>150</v>
      </c>
      <c r="F41" s="136">
        <f>F38*E41</f>
        <v>4.05</v>
      </c>
      <c r="G41" s="136"/>
      <c r="H41" s="173"/>
      <c r="I41" s="157">
        <f t="shared" si="0"/>
        <v>0</v>
      </c>
      <c r="J41" s="157"/>
      <c r="K41" s="139"/>
    </row>
    <row r="42" spans="1:11" ht="43.5" customHeight="1" thickBot="1">
      <c r="A42" s="140">
        <f>A38+1</f>
        <v>8</v>
      </c>
      <c r="B42" s="86" t="s">
        <v>262</v>
      </c>
      <c r="C42" s="127" t="s">
        <v>263</v>
      </c>
      <c r="D42" s="86" t="s">
        <v>264</v>
      </c>
      <c r="E42" s="127"/>
      <c r="F42" s="323">
        <v>0.027</v>
      </c>
      <c r="G42" s="127"/>
      <c r="H42" s="154"/>
      <c r="I42" s="157">
        <f t="shared" si="0"/>
        <v>0</v>
      </c>
      <c r="J42" s="157"/>
      <c r="K42" s="139"/>
    </row>
    <row r="43" spans="1:11" ht="27" customHeight="1">
      <c r="A43" s="177">
        <f>A42+0.1</f>
        <v>8.1</v>
      </c>
      <c r="B43" s="103"/>
      <c r="C43" s="312" t="s">
        <v>93</v>
      </c>
      <c r="D43" s="118" t="s">
        <v>94</v>
      </c>
      <c r="E43" s="105">
        <f>3.03</f>
        <v>3.03</v>
      </c>
      <c r="F43" s="105">
        <f>F42*E43</f>
        <v>0.08</v>
      </c>
      <c r="G43" s="165"/>
      <c r="H43" s="105"/>
      <c r="I43" s="157">
        <f t="shared" si="0"/>
        <v>0</v>
      </c>
      <c r="J43" s="157"/>
      <c r="K43" s="139"/>
    </row>
    <row r="44" spans="1:11" ht="27" customHeight="1">
      <c r="A44" s="179">
        <f>A43+0.1</f>
        <v>8.2</v>
      </c>
      <c r="B44" s="121"/>
      <c r="C44" s="313" t="s">
        <v>95</v>
      </c>
      <c r="D44" s="313" t="s">
        <v>107</v>
      </c>
      <c r="E44" s="319">
        <f>0.41</f>
        <v>0.41</v>
      </c>
      <c r="F44" s="319">
        <f>F42*E44</f>
        <v>0.01</v>
      </c>
      <c r="G44" s="319"/>
      <c r="H44" s="319"/>
      <c r="I44" s="157">
        <f t="shared" si="0"/>
        <v>0</v>
      </c>
      <c r="J44" s="157"/>
      <c r="K44" s="139"/>
    </row>
    <row r="45" spans="1:11" ht="27" customHeight="1" thickBot="1">
      <c r="A45" s="190">
        <f>A44+0.1</f>
        <v>8.3</v>
      </c>
      <c r="B45" s="123"/>
      <c r="C45" s="123" t="s">
        <v>265</v>
      </c>
      <c r="D45" s="123" t="s">
        <v>109</v>
      </c>
      <c r="E45" s="173">
        <v>32.4</v>
      </c>
      <c r="F45" s="173">
        <f>E45*F42</f>
        <v>0.87</v>
      </c>
      <c r="G45" s="173"/>
      <c r="H45" s="173"/>
      <c r="I45" s="157">
        <f t="shared" si="0"/>
        <v>0</v>
      </c>
      <c r="J45" s="157"/>
      <c r="K45" s="139"/>
    </row>
    <row r="46" spans="1:11" ht="44.25" customHeight="1" thickBot="1">
      <c r="A46" s="86">
        <f>A42+1</f>
        <v>9</v>
      </c>
      <c r="B46" s="86" t="s">
        <v>266</v>
      </c>
      <c r="C46" s="127" t="s">
        <v>267</v>
      </c>
      <c r="D46" s="132" t="s">
        <v>268</v>
      </c>
      <c r="E46" s="272"/>
      <c r="F46" s="323">
        <v>0.027</v>
      </c>
      <c r="G46" s="153"/>
      <c r="H46" s="154"/>
      <c r="I46" s="157">
        <f t="shared" si="0"/>
        <v>0</v>
      </c>
      <c r="J46" s="157"/>
      <c r="K46" s="139"/>
    </row>
    <row r="47" spans="1:11" ht="27" customHeight="1">
      <c r="A47" s="177">
        <f aca="true" t="shared" si="2" ref="A47:A61">A46+0.1</f>
        <v>9.1</v>
      </c>
      <c r="B47" s="102" t="s">
        <v>184</v>
      </c>
      <c r="C47" s="312" t="s">
        <v>93</v>
      </c>
      <c r="D47" s="118" t="s">
        <v>94</v>
      </c>
      <c r="E47" s="118">
        <f>43.9*1.15</f>
        <v>50.49</v>
      </c>
      <c r="F47" s="105">
        <f>F46*E47</f>
        <v>1.36</v>
      </c>
      <c r="G47" s="165"/>
      <c r="H47" s="164"/>
      <c r="I47" s="157">
        <f t="shared" si="0"/>
        <v>0</v>
      </c>
      <c r="J47" s="157"/>
      <c r="K47" s="139"/>
    </row>
    <row r="48" spans="1:11" ht="27" customHeight="1">
      <c r="A48" s="177">
        <f t="shared" si="2"/>
        <v>9.2</v>
      </c>
      <c r="B48" s="122" t="s">
        <v>184</v>
      </c>
      <c r="C48" s="313" t="s">
        <v>95</v>
      </c>
      <c r="D48" s="313" t="s">
        <v>107</v>
      </c>
      <c r="E48" s="318">
        <f>3.5*1.15</f>
        <v>4.03</v>
      </c>
      <c r="F48" s="318">
        <f>F46*E48</f>
        <v>0.11</v>
      </c>
      <c r="G48" s="318"/>
      <c r="H48" s="314"/>
      <c r="I48" s="157">
        <f t="shared" si="0"/>
        <v>0</v>
      </c>
      <c r="J48" s="157"/>
      <c r="K48" s="139"/>
    </row>
    <row r="49" spans="1:11" ht="27" customHeight="1">
      <c r="A49" s="177">
        <f t="shared" si="2"/>
        <v>9.3</v>
      </c>
      <c r="B49" s="122"/>
      <c r="C49" s="122" t="s">
        <v>269</v>
      </c>
      <c r="D49" s="135" t="s">
        <v>92</v>
      </c>
      <c r="E49" s="135">
        <v>110</v>
      </c>
      <c r="F49" s="171">
        <f>F46*E49</f>
        <v>2.97</v>
      </c>
      <c r="G49" s="135"/>
      <c r="H49" s="173"/>
      <c r="I49" s="157">
        <f t="shared" si="0"/>
        <v>0</v>
      </c>
      <c r="J49" s="157"/>
      <c r="K49" s="139"/>
    </row>
    <row r="50" spans="1:11" ht="27" customHeight="1" thickBot="1">
      <c r="A50" s="177">
        <f t="shared" si="2"/>
        <v>9.4</v>
      </c>
      <c r="B50" s="122"/>
      <c r="C50" s="122" t="s">
        <v>252</v>
      </c>
      <c r="D50" s="135" t="s">
        <v>97</v>
      </c>
      <c r="E50" s="135">
        <v>1.19</v>
      </c>
      <c r="F50" s="136">
        <f>F46*E50</f>
        <v>0.03</v>
      </c>
      <c r="G50" s="24"/>
      <c r="H50" s="173"/>
      <c r="I50" s="157">
        <f t="shared" si="0"/>
        <v>0</v>
      </c>
      <c r="J50" s="157"/>
      <c r="K50" s="139"/>
    </row>
    <row r="51" spans="1:11" ht="27" customHeight="1" thickBot="1">
      <c r="A51" s="177">
        <f t="shared" si="2"/>
        <v>9.5</v>
      </c>
      <c r="B51" s="122"/>
      <c r="C51" s="122" t="s">
        <v>270</v>
      </c>
      <c r="D51" s="135" t="s">
        <v>103</v>
      </c>
      <c r="E51" s="315" t="s">
        <v>19</v>
      </c>
      <c r="F51" s="322">
        <f>F46*0.03</f>
        <v>0.001</v>
      </c>
      <c r="G51" s="320"/>
      <c r="H51" s="173"/>
      <c r="I51" s="157">
        <f t="shared" si="0"/>
        <v>0</v>
      </c>
      <c r="J51" s="157"/>
      <c r="K51" s="139"/>
    </row>
    <row r="52" spans="1:11" ht="27" customHeight="1">
      <c r="A52" s="177">
        <f t="shared" si="2"/>
        <v>9.6</v>
      </c>
      <c r="B52" s="122"/>
      <c r="C52" s="122" t="s">
        <v>271</v>
      </c>
      <c r="D52" s="135" t="s">
        <v>109</v>
      </c>
      <c r="E52" s="135">
        <v>15</v>
      </c>
      <c r="F52" s="316">
        <f>F46*E52</f>
        <v>0.41</v>
      </c>
      <c r="G52" s="171"/>
      <c r="H52" s="173"/>
      <c r="I52" s="157">
        <f t="shared" si="0"/>
        <v>0</v>
      </c>
      <c r="J52" s="157"/>
      <c r="K52" s="139"/>
    </row>
    <row r="53" spans="1:11" ht="27" customHeight="1">
      <c r="A53" s="177">
        <f t="shared" si="2"/>
        <v>9.7</v>
      </c>
      <c r="B53" s="122"/>
      <c r="C53" s="122" t="s">
        <v>272</v>
      </c>
      <c r="D53" s="135" t="s">
        <v>105</v>
      </c>
      <c r="E53" s="135" t="s">
        <v>19</v>
      </c>
      <c r="F53" s="179">
        <f>F46*100*6</f>
        <v>16.2</v>
      </c>
      <c r="G53" s="135"/>
      <c r="H53" s="173"/>
      <c r="I53" s="157">
        <f t="shared" si="0"/>
        <v>0</v>
      </c>
      <c r="J53" s="157"/>
      <c r="K53" s="139"/>
    </row>
    <row r="54" spans="1:11" ht="27" customHeight="1" thickBot="1">
      <c r="A54" s="177">
        <f t="shared" si="2"/>
        <v>9.8</v>
      </c>
      <c r="B54" s="123"/>
      <c r="C54" s="123" t="s">
        <v>106</v>
      </c>
      <c r="D54" s="136" t="s">
        <v>107</v>
      </c>
      <c r="E54" s="136">
        <v>8.16</v>
      </c>
      <c r="F54" s="136">
        <f>F46*E54</f>
        <v>0.22</v>
      </c>
      <c r="G54" s="136"/>
      <c r="H54" s="173"/>
      <c r="I54" s="157">
        <f t="shared" si="0"/>
        <v>0</v>
      </c>
      <c r="J54" s="157"/>
      <c r="K54" s="139"/>
    </row>
    <row r="55" spans="1:11" ht="44.25" customHeight="1" thickBot="1">
      <c r="A55" s="86">
        <f>A46+1</f>
        <v>10</v>
      </c>
      <c r="B55" s="86" t="s">
        <v>266</v>
      </c>
      <c r="C55" s="127" t="s">
        <v>278</v>
      </c>
      <c r="D55" s="132" t="s">
        <v>92</v>
      </c>
      <c r="E55" s="272"/>
      <c r="F55" s="323">
        <v>4</v>
      </c>
      <c r="G55" s="153"/>
      <c r="H55" s="154"/>
      <c r="I55" s="157">
        <f t="shared" si="0"/>
        <v>0</v>
      </c>
      <c r="J55" s="159"/>
      <c r="K55" s="139"/>
    </row>
    <row r="56" spans="1:11" ht="27" customHeight="1">
      <c r="A56" s="177">
        <f t="shared" si="2"/>
        <v>10.1</v>
      </c>
      <c r="B56" s="102" t="s">
        <v>184</v>
      </c>
      <c r="C56" s="312" t="s">
        <v>93</v>
      </c>
      <c r="D56" s="118" t="s">
        <v>94</v>
      </c>
      <c r="E56" s="118">
        <f>0.439</f>
        <v>0.44</v>
      </c>
      <c r="F56" s="105">
        <f>F55*E56</f>
        <v>1.76</v>
      </c>
      <c r="G56" s="165"/>
      <c r="H56" s="164"/>
      <c r="I56" s="157">
        <f t="shared" si="0"/>
        <v>0</v>
      </c>
      <c r="J56" s="157"/>
      <c r="K56" s="139"/>
    </row>
    <row r="57" spans="1:11" ht="27" customHeight="1">
      <c r="A57" s="177">
        <f t="shared" si="2"/>
        <v>10.2</v>
      </c>
      <c r="B57" s="122" t="s">
        <v>184</v>
      </c>
      <c r="C57" s="313" t="s">
        <v>95</v>
      </c>
      <c r="D57" s="313" t="s">
        <v>107</v>
      </c>
      <c r="E57" s="318">
        <v>0.04</v>
      </c>
      <c r="F57" s="318">
        <f>F55*E57</f>
        <v>0.16</v>
      </c>
      <c r="G57" s="318"/>
      <c r="H57" s="314"/>
      <c r="I57" s="157">
        <f t="shared" si="0"/>
        <v>0</v>
      </c>
      <c r="J57" s="157"/>
      <c r="K57" s="139"/>
    </row>
    <row r="58" spans="1:11" ht="27" customHeight="1">
      <c r="A58" s="177">
        <f t="shared" si="2"/>
        <v>10.3</v>
      </c>
      <c r="B58" s="122"/>
      <c r="C58" s="122" t="s">
        <v>279</v>
      </c>
      <c r="D58" s="135" t="s">
        <v>92</v>
      </c>
      <c r="E58" s="135">
        <v>1.1</v>
      </c>
      <c r="F58" s="171">
        <f>F55*E58</f>
        <v>4.4</v>
      </c>
      <c r="G58" s="135"/>
      <c r="H58" s="173"/>
      <c r="I58" s="157">
        <f t="shared" si="0"/>
        <v>0</v>
      </c>
      <c r="J58" s="157"/>
      <c r="K58" s="139"/>
    </row>
    <row r="59" spans="1:11" ht="27" customHeight="1">
      <c r="A59" s="177">
        <f t="shared" si="2"/>
        <v>10.4</v>
      </c>
      <c r="B59" s="122"/>
      <c r="C59" s="122" t="s">
        <v>252</v>
      </c>
      <c r="D59" s="135" t="s">
        <v>97</v>
      </c>
      <c r="E59" s="135">
        <f>0.0119</f>
        <v>0.01</v>
      </c>
      <c r="F59" s="136">
        <f>F55*E59</f>
        <v>0.04</v>
      </c>
      <c r="G59" s="24"/>
      <c r="H59" s="173"/>
      <c r="I59" s="157">
        <f t="shared" si="0"/>
        <v>0</v>
      </c>
      <c r="J59" s="157"/>
      <c r="K59" s="139"/>
    </row>
    <row r="60" spans="1:11" ht="27" customHeight="1">
      <c r="A60" s="177">
        <f t="shared" si="2"/>
        <v>10.5</v>
      </c>
      <c r="B60" s="122"/>
      <c r="C60" s="122" t="s">
        <v>272</v>
      </c>
      <c r="D60" s="135" t="s">
        <v>105</v>
      </c>
      <c r="E60" s="135" t="s">
        <v>19</v>
      </c>
      <c r="F60" s="179">
        <f>F55*6</f>
        <v>24</v>
      </c>
      <c r="G60" s="135"/>
      <c r="H60" s="173"/>
      <c r="I60" s="157">
        <f t="shared" si="0"/>
        <v>0</v>
      </c>
      <c r="J60" s="157"/>
      <c r="K60" s="139"/>
    </row>
    <row r="61" spans="1:11" ht="27" customHeight="1">
      <c r="A61" s="177">
        <f t="shared" si="2"/>
        <v>10.6</v>
      </c>
      <c r="B61" s="123"/>
      <c r="C61" s="123" t="s">
        <v>106</v>
      </c>
      <c r="D61" s="136" t="s">
        <v>107</v>
      </c>
      <c r="E61" s="192">
        <v>0.08</v>
      </c>
      <c r="F61" s="136">
        <f>F55*E61</f>
        <v>0.32</v>
      </c>
      <c r="G61" s="136"/>
      <c r="H61" s="173"/>
      <c r="I61" s="157">
        <f t="shared" si="0"/>
        <v>0</v>
      </c>
      <c r="J61" s="157"/>
      <c r="K61" s="139"/>
    </row>
    <row r="62" spans="1:11" ht="27" customHeight="1" thickBot="1">
      <c r="A62" s="465"/>
      <c r="B62" s="466"/>
      <c r="C62" s="466"/>
      <c r="D62" s="466"/>
      <c r="E62" s="466"/>
      <c r="F62" s="466"/>
      <c r="G62" s="466"/>
      <c r="H62" s="467"/>
      <c r="I62" s="157">
        <f t="shared" si="0"/>
        <v>0</v>
      </c>
      <c r="J62" s="157"/>
      <c r="K62" s="139"/>
    </row>
    <row r="63" spans="1:9" s="352" customFormat="1" ht="79.5" customHeight="1" thickBot="1">
      <c r="A63" s="174">
        <v>11</v>
      </c>
      <c r="B63" s="86" t="s">
        <v>90</v>
      </c>
      <c r="C63" s="127" t="s">
        <v>313</v>
      </c>
      <c r="D63" s="86" t="s">
        <v>105</v>
      </c>
      <c r="E63" s="124"/>
      <c r="F63" s="154">
        <v>13</v>
      </c>
      <c r="G63" s="350"/>
      <c r="H63" s="351"/>
      <c r="I63" s="157">
        <f t="shared" si="0"/>
        <v>0</v>
      </c>
    </row>
    <row r="64" spans="1:9" s="352" customFormat="1" ht="33.75" customHeight="1">
      <c r="A64" s="177">
        <f>A63+0.1</f>
        <v>11.1</v>
      </c>
      <c r="B64" s="243"/>
      <c r="C64" s="353" t="s">
        <v>93</v>
      </c>
      <c r="D64" s="353" t="s">
        <v>105</v>
      </c>
      <c r="E64" s="353">
        <v>1</v>
      </c>
      <c r="F64" s="354">
        <f>F63*E64</f>
        <v>13</v>
      </c>
      <c r="G64" s="316"/>
      <c r="H64" s="355"/>
      <c r="I64" s="157">
        <f t="shared" si="0"/>
        <v>0</v>
      </c>
    </row>
    <row r="65" spans="1:9" s="352" customFormat="1" ht="36.75" customHeight="1">
      <c r="A65" s="179">
        <f>A64+0.1</f>
        <v>11.2</v>
      </c>
      <c r="B65" s="107"/>
      <c r="C65" s="360" t="s">
        <v>312</v>
      </c>
      <c r="D65" s="360" t="s">
        <v>105</v>
      </c>
      <c r="E65" s="361">
        <v>1</v>
      </c>
      <c r="F65" s="191">
        <v>13</v>
      </c>
      <c r="G65" s="135"/>
      <c r="H65" s="171"/>
      <c r="I65" s="157">
        <f t="shared" si="0"/>
        <v>0</v>
      </c>
    </row>
    <row r="66" spans="1:9" s="352" customFormat="1" ht="36.75" customHeight="1">
      <c r="A66" s="179">
        <f>A65+0.1</f>
        <v>11.3</v>
      </c>
      <c r="B66" s="107"/>
      <c r="C66" s="360" t="s">
        <v>106</v>
      </c>
      <c r="D66" s="360" t="s">
        <v>107</v>
      </c>
      <c r="E66" s="361">
        <v>1</v>
      </c>
      <c r="F66" s="191">
        <f>F63*E66</f>
        <v>13</v>
      </c>
      <c r="G66" s="135"/>
      <c r="H66" s="171"/>
      <c r="I66" s="157">
        <f t="shared" si="0"/>
        <v>0</v>
      </c>
    </row>
    <row r="67" spans="1:13" ht="62.25" customHeight="1" thickBot="1">
      <c r="A67" s="358">
        <v>12</v>
      </c>
      <c r="B67" s="359" t="s">
        <v>303</v>
      </c>
      <c r="C67" s="350" t="s">
        <v>304</v>
      </c>
      <c r="D67" s="359" t="s">
        <v>92</v>
      </c>
      <c r="E67" s="350"/>
      <c r="F67" s="351">
        <v>7</v>
      </c>
      <c r="G67" s="350"/>
      <c r="H67" s="351"/>
      <c r="I67" s="157">
        <f t="shared" si="0"/>
        <v>0</v>
      </c>
      <c r="L67" s="93"/>
      <c r="M67" s="93"/>
    </row>
    <row r="68" spans="1:13" ht="24" customHeight="1">
      <c r="A68" s="102">
        <f aca="true" t="shared" si="3" ref="A68:A73">A67+0.1</f>
        <v>12.1</v>
      </c>
      <c r="B68" s="102"/>
      <c r="C68" s="102" t="s">
        <v>93</v>
      </c>
      <c r="D68" s="316" t="s">
        <v>94</v>
      </c>
      <c r="E68" s="354">
        <v>0.741</v>
      </c>
      <c r="F68" s="355">
        <f>F67*E68</f>
        <v>5.19</v>
      </c>
      <c r="G68" s="316"/>
      <c r="H68" s="355"/>
      <c r="I68" s="157">
        <f t="shared" si="0"/>
        <v>0</v>
      </c>
      <c r="L68" s="93"/>
      <c r="M68" s="93"/>
    </row>
    <row r="69" spans="1:13" ht="19.5" customHeight="1">
      <c r="A69" s="122">
        <f t="shared" si="3"/>
        <v>12.2</v>
      </c>
      <c r="B69" s="122"/>
      <c r="C69" s="122" t="s">
        <v>95</v>
      </c>
      <c r="D69" s="135" t="s">
        <v>98</v>
      </c>
      <c r="E69" s="122">
        <v>0.001</v>
      </c>
      <c r="F69" s="171">
        <f>F67*E69</f>
        <v>0.01</v>
      </c>
      <c r="G69" s="171"/>
      <c r="H69" s="171"/>
      <c r="I69" s="157">
        <f t="shared" si="0"/>
        <v>0</v>
      </c>
      <c r="L69" s="93"/>
      <c r="M69" s="93"/>
    </row>
    <row r="70" spans="1:13" ht="20.25" customHeight="1">
      <c r="A70" s="122">
        <f t="shared" si="3"/>
        <v>12.3</v>
      </c>
      <c r="B70" s="356" t="s">
        <v>305</v>
      </c>
      <c r="C70" s="122" t="s">
        <v>306</v>
      </c>
      <c r="D70" s="122" t="s">
        <v>109</v>
      </c>
      <c r="E70" s="194" t="s">
        <v>19</v>
      </c>
      <c r="F70" s="171">
        <f>F67*0.2</f>
        <v>1.4</v>
      </c>
      <c r="G70" s="179"/>
      <c r="H70" s="171"/>
      <c r="I70" s="157">
        <f t="shared" si="0"/>
        <v>0</v>
      </c>
      <c r="L70" s="93"/>
      <c r="M70" s="93"/>
    </row>
    <row r="71" spans="1:13" ht="20.25" customHeight="1">
      <c r="A71" s="122">
        <f t="shared" si="3"/>
        <v>12.4</v>
      </c>
      <c r="B71" s="356" t="s">
        <v>307</v>
      </c>
      <c r="C71" s="122" t="s">
        <v>308</v>
      </c>
      <c r="D71" s="122" t="s">
        <v>109</v>
      </c>
      <c r="E71" s="171" t="s">
        <v>19</v>
      </c>
      <c r="F71" s="171">
        <f>F67*0.2</f>
        <v>1.4</v>
      </c>
      <c r="G71" s="179"/>
      <c r="H71" s="171"/>
      <c r="I71" s="157">
        <f t="shared" si="0"/>
        <v>0</v>
      </c>
      <c r="L71" s="93"/>
      <c r="M71" s="93"/>
    </row>
    <row r="72" spans="1:13" ht="20.25" customHeight="1">
      <c r="A72" s="122">
        <f t="shared" si="3"/>
        <v>12.5</v>
      </c>
      <c r="B72" s="356" t="s">
        <v>309</v>
      </c>
      <c r="C72" s="122" t="s">
        <v>310</v>
      </c>
      <c r="D72" s="122" t="s">
        <v>109</v>
      </c>
      <c r="E72" s="171">
        <v>0.82</v>
      </c>
      <c r="F72" s="357">
        <f>E72*F67</f>
        <v>5.74</v>
      </c>
      <c r="G72" s="357"/>
      <c r="H72" s="171"/>
      <c r="I72" s="157">
        <f t="shared" si="0"/>
        <v>0</v>
      </c>
      <c r="L72" s="93"/>
      <c r="M72" s="93"/>
    </row>
    <row r="73" spans="1:13" ht="19.5" customHeight="1">
      <c r="A73" s="122">
        <f t="shared" si="3"/>
        <v>12.6</v>
      </c>
      <c r="B73" s="123"/>
      <c r="C73" s="123" t="s">
        <v>311</v>
      </c>
      <c r="D73" s="123" t="s">
        <v>96</v>
      </c>
      <c r="E73" s="123">
        <v>0.017</v>
      </c>
      <c r="F73" s="357">
        <f>E73*F67</f>
        <v>0.12</v>
      </c>
      <c r="G73" s="357"/>
      <c r="H73" s="173"/>
      <c r="I73" s="157">
        <f t="shared" si="0"/>
        <v>0</v>
      </c>
      <c r="L73" s="93"/>
      <c r="M73" s="93"/>
    </row>
    <row r="74" spans="1:11" ht="57" customHeight="1">
      <c r="A74" s="177">
        <f>A67+1</f>
        <v>13</v>
      </c>
      <c r="B74" s="123" t="s">
        <v>90</v>
      </c>
      <c r="C74" s="123" t="s">
        <v>371</v>
      </c>
      <c r="D74" s="136" t="s">
        <v>105</v>
      </c>
      <c r="E74" s="192"/>
      <c r="F74" s="136">
        <v>1</v>
      </c>
      <c r="G74" s="136"/>
      <c r="H74" s="173"/>
      <c r="I74" s="157">
        <f t="shared" si="0"/>
        <v>0</v>
      </c>
      <c r="J74" s="157"/>
      <c r="K74" s="139"/>
    </row>
    <row r="75" spans="1:12" ht="49.5" customHeight="1">
      <c r="A75" s="122"/>
      <c r="B75" s="122"/>
      <c r="C75" s="107" t="s">
        <v>120</v>
      </c>
      <c r="D75" s="107" t="s">
        <v>107</v>
      </c>
      <c r="E75" s="122"/>
      <c r="F75" s="122"/>
      <c r="G75" s="122"/>
      <c r="H75" s="207">
        <f>H67+H63+H55+H46+H74+H42+H38+H28+H21+H20+H18+H12+H9</f>
        <v>0</v>
      </c>
      <c r="I75" s="198"/>
      <c r="J75" s="198"/>
      <c r="K75" s="198"/>
      <c r="L75" s="199"/>
    </row>
    <row r="76" spans="1:12" ht="21" customHeight="1">
      <c r="A76" s="122"/>
      <c r="B76" s="122"/>
      <c r="C76" s="200" t="s">
        <v>121</v>
      </c>
      <c r="D76" s="122" t="s">
        <v>107</v>
      </c>
      <c r="E76" s="122"/>
      <c r="F76" s="122"/>
      <c r="G76" s="122"/>
      <c r="H76" s="226">
        <f>H56+H47+H43+H39+H29+H22+H19+H13+H10</f>
        <v>0</v>
      </c>
      <c r="I76" s="201"/>
      <c r="J76" s="201"/>
      <c r="K76" s="201"/>
      <c r="L76" s="199"/>
    </row>
    <row r="77" spans="1:13" ht="21" customHeight="1">
      <c r="A77" s="122"/>
      <c r="B77" s="122"/>
      <c r="C77" s="200" t="s">
        <v>122</v>
      </c>
      <c r="D77" s="122" t="s">
        <v>107</v>
      </c>
      <c r="E77" s="122"/>
      <c r="F77" s="122"/>
      <c r="G77" s="122"/>
      <c r="H77" s="224">
        <f>H57+H48+H40+H30+H23+H20+H14++H11</f>
        <v>0</v>
      </c>
      <c r="I77" s="202"/>
      <c r="J77" s="202"/>
      <c r="K77" s="202"/>
      <c r="L77" s="199"/>
      <c r="M77" s="199"/>
    </row>
    <row r="78" spans="1:13" ht="21" customHeight="1">
      <c r="A78" s="122"/>
      <c r="B78" s="122"/>
      <c r="C78" s="122" t="s">
        <v>123</v>
      </c>
      <c r="D78" s="122" t="s">
        <v>107</v>
      </c>
      <c r="E78" s="122"/>
      <c r="F78" s="122"/>
      <c r="G78" s="122"/>
      <c r="H78" s="222">
        <f>H75-H76-H77</f>
        <v>0</v>
      </c>
      <c r="I78" s="203"/>
      <c r="J78" s="203"/>
      <c r="K78" s="203"/>
      <c r="L78" s="199"/>
      <c r="M78" s="199"/>
    </row>
    <row r="79" spans="1:12" ht="44.25" customHeight="1">
      <c r="A79" s="122"/>
      <c r="B79" s="122"/>
      <c r="C79" s="107" t="s">
        <v>120</v>
      </c>
      <c r="D79" s="122" t="s">
        <v>107</v>
      </c>
      <c r="E79" s="122"/>
      <c r="F79" s="122"/>
      <c r="G79" s="122"/>
      <c r="H79" s="207">
        <f>H78+H77+H76</f>
        <v>0</v>
      </c>
      <c r="I79" s="198"/>
      <c r="J79" s="198"/>
      <c r="K79" s="198"/>
      <c r="L79" s="199"/>
    </row>
    <row r="80" spans="1:12" ht="27.75" customHeight="1">
      <c r="A80" s="122"/>
      <c r="B80" s="122"/>
      <c r="C80" s="122" t="s">
        <v>124</v>
      </c>
      <c r="D80" s="204">
        <v>0.1</v>
      </c>
      <c r="E80" s="122"/>
      <c r="F80" s="122"/>
      <c r="G80" s="122"/>
      <c r="H80" s="222">
        <f>D80*H79</f>
        <v>0</v>
      </c>
      <c r="I80" s="203"/>
      <c r="J80" s="203"/>
      <c r="K80" s="203"/>
      <c r="L80" s="199"/>
    </row>
    <row r="81" spans="1:12" ht="27.75" customHeight="1">
      <c r="A81" s="122"/>
      <c r="B81" s="122"/>
      <c r="C81" s="122" t="s">
        <v>125</v>
      </c>
      <c r="D81" s="122" t="s">
        <v>107</v>
      </c>
      <c r="E81" s="122"/>
      <c r="F81" s="122"/>
      <c r="G81" s="122"/>
      <c r="H81" s="207">
        <f>SUM(H79:H80)</f>
        <v>0</v>
      </c>
      <c r="I81" s="198"/>
      <c r="J81" s="198"/>
      <c r="K81" s="198"/>
      <c r="L81" s="199"/>
    </row>
    <row r="82" spans="1:12" ht="27.75" customHeight="1">
      <c r="A82" s="122"/>
      <c r="B82" s="122"/>
      <c r="C82" s="122" t="s">
        <v>126</v>
      </c>
      <c r="D82" s="204">
        <v>0.08</v>
      </c>
      <c r="E82" s="122"/>
      <c r="F82" s="122"/>
      <c r="G82" s="122"/>
      <c r="H82" s="222">
        <f>H81*D82</f>
        <v>0</v>
      </c>
      <c r="I82" s="203"/>
      <c r="J82" s="203"/>
      <c r="K82" s="203"/>
      <c r="L82" s="199"/>
    </row>
    <row r="83" spans="1:12" ht="27.75" customHeight="1">
      <c r="A83" s="122"/>
      <c r="B83" s="122"/>
      <c r="C83" s="107" t="s">
        <v>127</v>
      </c>
      <c r="D83" s="122" t="s">
        <v>107</v>
      </c>
      <c r="E83" s="122"/>
      <c r="F83" s="122"/>
      <c r="G83" s="122"/>
      <c r="H83" s="207">
        <f>SUM(H81:H82)</f>
        <v>0</v>
      </c>
      <c r="I83" s="198"/>
      <c r="J83" s="198"/>
      <c r="K83" s="198"/>
      <c r="L83" s="199"/>
    </row>
    <row r="84" spans="1:12" ht="16.5" customHeight="1">
      <c r="A84" s="205"/>
      <c r="B84" s="205"/>
      <c r="C84" s="206"/>
      <c r="D84" s="205"/>
      <c r="E84" s="205"/>
      <c r="F84" s="205"/>
      <c r="G84" s="205"/>
      <c r="H84" s="198"/>
      <c r="I84" s="198"/>
      <c r="J84" s="198"/>
      <c r="K84" s="198"/>
      <c r="L84" s="199"/>
    </row>
    <row r="85" spans="1:12" ht="16.5" customHeight="1">
      <c r="A85" s="205"/>
      <c r="B85" s="205"/>
      <c r="C85" s="206"/>
      <c r="D85" s="205"/>
      <c r="E85" s="205"/>
      <c r="F85" s="205"/>
      <c r="G85" s="205"/>
      <c r="H85" s="198"/>
      <c r="I85" s="198"/>
      <c r="J85" s="198"/>
      <c r="K85" s="198"/>
      <c r="L85" s="199"/>
    </row>
    <row r="86" spans="1:12" ht="16.5" customHeight="1">
      <c r="A86" s="205"/>
      <c r="B86" s="205"/>
      <c r="C86" s="206" t="s">
        <v>389</v>
      </c>
      <c r="D86" s="205"/>
      <c r="E86" s="424"/>
      <c r="F86" s="424"/>
      <c r="G86" s="424"/>
      <c r="H86" s="198"/>
      <c r="I86" s="198"/>
      <c r="J86" s="198"/>
      <c r="K86" s="198"/>
      <c r="L86" s="199"/>
    </row>
    <row r="87" spans="1:12" ht="16.5" customHeight="1">
      <c r="A87" s="205"/>
      <c r="B87" s="205"/>
      <c r="C87" s="206"/>
      <c r="D87" s="205"/>
      <c r="E87" s="205"/>
      <c r="F87" s="205"/>
      <c r="G87" s="205"/>
      <c r="H87" s="198"/>
      <c r="I87" s="198"/>
      <c r="J87" s="198"/>
      <c r="K87" s="198"/>
      <c r="L87" s="199"/>
    </row>
    <row r="88" spans="1:12" ht="16.5" customHeight="1">
      <c r="A88" s="205"/>
      <c r="B88" s="205"/>
      <c r="C88" s="206"/>
      <c r="D88" s="205"/>
      <c r="E88" s="205"/>
      <c r="F88" s="205"/>
      <c r="G88" s="205"/>
      <c r="H88" s="198"/>
      <c r="I88" s="198"/>
      <c r="J88" s="198"/>
      <c r="K88" s="198"/>
      <c r="L88" s="199"/>
    </row>
    <row r="89" spans="1:12" ht="16.5" customHeight="1">
      <c r="A89" s="205"/>
      <c r="B89" s="205"/>
      <c r="C89" s="206"/>
      <c r="D89" s="205"/>
      <c r="E89" s="205"/>
      <c r="F89" s="205"/>
      <c r="G89" s="205"/>
      <c r="H89" s="198"/>
      <c r="I89" s="198"/>
      <c r="J89" s="198"/>
      <c r="K89" s="198"/>
      <c r="L89" s="199"/>
    </row>
    <row r="90" spans="1:12" ht="16.5" customHeight="1">
      <c r="A90" s="205"/>
      <c r="B90" s="205"/>
      <c r="C90" s="206"/>
      <c r="D90" s="205"/>
      <c r="E90" s="205"/>
      <c r="F90" s="205"/>
      <c r="G90" s="205"/>
      <c r="H90" s="198"/>
      <c r="I90" s="198"/>
      <c r="J90" s="198"/>
      <c r="K90" s="198"/>
      <c r="L90" s="199"/>
    </row>
    <row r="91" spans="1:12" ht="16.5" customHeight="1">
      <c r="A91" s="205"/>
      <c r="B91" s="205"/>
      <c r="C91" s="206"/>
      <c r="D91" s="205"/>
      <c r="E91" s="205"/>
      <c r="F91" s="205"/>
      <c r="G91" s="205"/>
      <c r="H91" s="198"/>
      <c r="I91" s="198"/>
      <c r="J91" s="198"/>
      <c r="K91" s="198"/>
      <c r="L91" s="199"/>
    </row>
    <row r="92" spans="1:12" ht="16.5" customHeight="1">
      <c r="A92" s="205"/>
      <c r="B92" s="205"/>
      <c r="C92" s="206"/>
      <c r="D92" s="205"/>
      <c r="E92" s="205"/>
      <c r="F92" s="205"/>
      <c r="G92" s="205"/>
      <c r="H92" s="198"/>
      <c r="I92" s="198"/>
      <c r="J92" s="198"/>
      <c r="K92" s="198"/>
      <c r="L92" s="199"/>
    </row>
    <row r="93" spans="1:12" ht="16.5" customHeight="1">
      <c r="A93" s="205"/>
      <c r="B93" s="205"/>
      <c r="C93" s="206"/>
      <c r="D93" s="205"/>
      <c r="E93" s="205"/>
      <c r="F93" s="205"/>
      <c r="G93" s="205"/>
      <c r="H93" s="198"/>
      <c r="I93" s="198"/>
      <c r="J93" s="198"/>
      <c r="K93" s="198"/>
      <c r="L93" s="199"/>
    </row>
    <row r="94" spans="1:12" ht="16.5" customHeight="1">
      <c r="A94" s="205"/>
      <c r="B94" s="205"/>
      <c r="C94" s="206"/>
      <c r="D94" s="205"/>
      <c r="E94" s="205"/>
      <c r="F94" s="205"/>
      <c r="G94" s="205"/>
      <c r="H94" s="198"/>
      <c r="I94" s="198"/>
      <c r="J94" s="198"/>
      <c r="K94" s="198"/>
      <c r="L94" s="199"/>
    </row>
    <row r="95" spans="1:12" ht="16.5" customHeight="1">
      <c r="A95" s="205"/>
      <c r="B95" s="205"/>
      <c r="C95" s="206"/>
      <c r="D95" s="205"/>
      <c r="E95" s="205"/>
      <c r="F95" s="205"/>
      <c r="G95" s="205"/>
      <c r="H95" s="198"/>
      <c r="I95" s="198"/>
      <c r="J95" s="198"/>
      <c r="K95" s="198"/>
      <c r="L95" s="199"/>
    </row>
    <row r="96" spans="1:12" ht="16.5" customHeight="1">
      <c r="A96" s="205"/>
      <c r="B96" s="205"/>
      <c r="C96" s="206"/>
      <c r="D96" s="205"/>
      <c r="E96" s="205"/>
      <c r="F96" s="205"/>
      <c r="G96" s="205"/>
      <c r="H96" s="198"/>
      <c r="I96" s="198"/>
      <c r="J96" s="198"/>
      <c r="K96" s="198"/>
      <c r="L96" s="199"/>
    </row>
    <row r="97" spans="1:12" ht="16.5" customHeight="1">
      <c r="A97" s="205"/>
      <c r="B97" s="205"/>
      <c r="C97" s="206"/>
      <c r="D97" s="205"/>
      <c r="E97" s="205"/>
      <c r="F97" s="205"/>
      <c r="G97" s="205"/>
      <c r="H97" s="198"/>
      <c r="I97" s="198"/>
      <c r="J97" s="198"/>
      <c r="K97" s="198"/>
      <c r="L97" s="199"/>
    </row>
    <row r="98" spans="1:12" ht="16.5" customHeight="1">
      <c r="A98" s="205"/>
      <c r="B98" s="205"/>
      <c r="C98" s="206"/>
      <c r="D98" s="205"/>
      <c r="E98" s="205"/>
      <c r="F98" s="205"/>
      <c r="G98" s="205"/>
      <c r="H98" s="198"/>
      <c r="I98" s="198"/>
      <c r="J98" s="198"/>
      <c r="K98" s="198"/>
      <c r="L98" s="199"/>
    </row>
    <row r="99" spans="1:12" ht="16.5" customHeight="1">
      <c r="A99" s="205"/>
      <c r="B99" s="205"/>
      <c r="C99" s="206"/>
      <c r="D99" s="205"/>
      <c r="E99" s="205"/>
      <c r="F99" s="205"/>
      <c r="G99" s="205"/>
      <c r="H99" s="198"/>
      <c r="I99" s="198"/>
      <c r="J99" s="198"/>
      <c r="K99" s="198"/>
      <c r="L99" s="199"/>
    </row>
    <row r="100" spans="1:12" ht="16.5" customHeight="1">
      <c r="A100" s="205"/>
      <c r="B100" s="205"/>
      <c r="C100" s="206"/>
      <c r="D100" s="205"/>
      <c r="E100" s="205"/>
      <c r="F100" s="205"/>
      <c r="G100" s="205"/>
      <c r="H100" s="198"/>
      <c r="I100" s="198"/>
      <c r="J100" s="198"/>
      <c r="K100" s="198"/>
      <c r="L100" s="199"/>
    </row>
    <row r="101" spans="1:12" ht="16.5" customHeight="1">
      <c r="A101" s="205"/>
      <c r="B101" s="205"/>
      <c r="C101" s="206"/>
      <c r="D101" s="205"/>
      <c r="E101" s="205"/>
      <c r="F101" s="205"/>
      <c r="G101" s="205"/>
      <c r="H101" s="198"/>
      <c r="I101" s="198"/>
      <c r="J101" s="198"/>
      <c r="K101" s="198"/>
      <c r="L101" s="199"/>
    </row>
    <row r="102" spans="1:12" ht="16.5" customHeight="1">
      <c r="A102" s="205"/>
      <c r="B102" s="205"/>
      <c r="C102" s="206"/>
      <c r="D102" s="205"/>
      <c r="E102" s="205"/>
      <c r="F102" s="205"/>
      <c r="G102" s="205"/>
      <c r="H102" s="198"/>
      <c r="I102" s="198"/>
      <c r="J102" s="198"/>
      <c r="K102" s="198"/>
      <c r="L102" s="199"/>
    </row>
    <row r="103" spans="1:12" ht="16.5" customHeight="1">
      <c r="A103" s="205"/>
      <c r="B103" s="205"/>
      <c r="C103" s="206"/>
      <c r="D103" s="205"/>
      <c r="E103" s="205"/>
      <c r="F103" s="205"/>
      <c r="G103" s="205"/>
      <c r="H103" s="198"/>
      <c r="I103" s="198"/>
      <c r="J103" s="198"/>
      <c r="K103" s="198"/>
      <c r="L103" s="199"/>
    </row>
    <row r="104" spans="1:12" ht="16.5" customHeight="1">
      <c r="A104" s="205"/>
      <c r="B104" s="205"/>
      <c r="C104" s="206"/>
      <c r="D104" s="205"/>
      <c r="E104" s="205"/>
      <c r="F104" s="205"/>
      <c r="G104" s="205"/>
      <c r="H104" s="198"/>
      <c r="I104" s="198"/>
      <c r="J104" s="198"/>
      <c r="K104" s="198"/>
      <c r="L104" s="199"/>
    </row>
    <row r="105" spans="1:12" ht="16.5" customHeight="1">
      <c r="A105" s="205"/>
      <c r="B105" s="205"/>
      <c r="C105" s="206"/>
      <c r="D105" s="205"/>
      <c r="E105" s="205"/>
      <c r="F105" s="205"/>
      <c r="G105" s="205"/>
      <c r="H105" s="198"/>
      <c r="I105" s="198"/>
      <c r="J105" s="198"/>
      <c r="K105" s="198"/>
      <c r="L105" s="199"/>
    </row>
    <row r="106" spans="1:12" ht="16.5" customHeight="1">
      <c r="A106" s="205"/>
      <c r="B106" s="205"/>
      <c r="C106" s="206"/>
      <c r="D106" s="205"/>
      <c r="E106" s="205"/>
      <c r="F106" s="205"/>
      <c r="G106" s="205"/>
      <c r="H106" s="198"/>
      <c r="I106" s="198"/>
      <c r="J106" s="198"/>
      <c r="K106" s="198"/>
      <c r="L106" s="199"/>
    </row>
    <row r="107" spans="1:12" ht="16.5" customHeight="1">
      <c r="A107" s="205"/>
      <c r="B107" s="205"/>
      <c r="C107" s="206"/>
      <c r="D107" s="205"/>
      <c r="E107" s="205"/>
      <c r="F107" s="205"/>
      <c r="G107" s="205"/>
      <c r="H107" s="198"/>
      <c r="I107" s="198"/>
      <c r="J107" s="198"/>
      <c r="K107" s="198"/>
      <c r="L107" s="199"/>
    </row>
  </sheetData>
  <sheetProtection/>
  <mergeCells count="16">
    <mergeCell ref="A1:H1"/>
    <mergeCell ref="A2:H2"/>
    <mergeCell ref="A3:C3"/>
    <mergeCell ref="E3:F3"/>
    <mergeCell ref="A4:C4"/>
    <mergeCell ref="E4:F4"/>
    <mergeCell ref="E86:G86"/>
    <mergeCell ref="A8:H8"/>
    <mergeCell ref="A27:H27"/>
    <mergeCell ref="A5:A6"/>
    <mergeCell ref="B5:B6"/>
    <mergeCell ref="C5:C6"/>
    <mergeCell ref="D5:D6"/>
    <mergeCell ref="A62:H62"/>
    <mergeCell ref="E5:F5"/>
    <mergeCell ref="G5:H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Gogitidze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Djemal</dc:creator>
  <cp:keywords/>
  <dc:description/>
  <cp:lastModifiedBy>Amiran Gagua</cp:lastModifiedBy>
  <cp:lastPrinted>2018-04-23T06:42:54Z</cp:lastPrinted>
  <dcterms:created xsi:type="dcterms:W3CDTF">2002-10-19T09:08:49Z</dcterms:created>
  <dcterms:modified xsi:type="dcterms:W3CDTF">2018-05-08T06:33:21Z</dcterms:modified>
  <cp:category/>
  <cp:version/>
  <cp:contentType/>
  <cp:contentStatus/>
</cp:coreProperties>
</file>