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 firstSheet="4" activeTab="11"/>
  </bookViews>
  <sheets>
    <sheet name="გაერთიანებული" sheetId="14" r:id="rId1"/>
    <sheet name="კანალიზაცია ნაკრები" sheetId="13" r:id="rId2"/>
    <sheet name="04 ჩიხის კანალიზაცია" sheetId="12" r:id="rId3"/>
    <sheet name="05 ქუჩის და 04 ჩიხის კანალიზაცი" sheetId="11" r:id="rId4"/>
    <sheet name="მთლიანი ასფალტი" sheetId="1" r:id="rId5"/>
    <sheet name="გამსახურდიას 04 ჩიხი" sheetId="2" r:id="rId6"/>
    <sheet name="Sheet4" sheetId="4" r:id="rId7"/>
    <sheet name="Sheet7" sheetId="7" r:id="rId8"/>
    <sheet name="05 ქუჩა და 02 ჩიხი" sheetId="8" r:id="rId9"/>
    <sheet name="Sheet9" sheetId="9" r:id="rId10"/>
    <sheet name="Sheet10" sheetId="10" r:id="rId11"/>
    <sheet name="Sheet5" sheetId="5" r:id="rId12"/>
    <sheet name="Sheet1" sheetId="15" r:id="rId13"/>
  </sheets>
  <calcPr calcId="125725"/>
</workbook>
</file>

<file path=xl/calcChain.xml><?xml version="1.0" encoding="utf-8"?>
<calcChain xmlns="http://schemas.openxmlformats.org/spreadsheetml/2006/main">
  <c r="D12" i="11"/>
  <c r="D8"/>
  <c r="D13" s="1"/>
  <c r="C14" i="13"/>
  <c r="C14" i="14"/>
  <c r="J26" i="2"/>
  <c r="N25"/>
  <c r="N24"/>
  <c r="N26" s="1"/>
  <c r="N20"/>
  <c r="F24" i="4"/>
  <c r="L24" s="1"/>
  <c r="M24" s="1"/>
  <c r="E23"/>
  <c r="F23" s="1"/>
  <c r="J23" s="1"/>
  <c r="E22"/>
  <c r="F22" s="1"/>
  <c r="L22" s="1"/>
  <c r="M22" s="1"/>
  <c r="E20"/>
  <c r="F20" s="1"/>
  <c r="E19"/>
  <c r="F19" s="1"/>
  <c r="H19" s="1"/>
  <c r="M19" s="1"/>
  <c r="E16"/>
  <c r="F16" s="1"/>
  <c r="E14"/>
  <c r="F14" s="1"/>
  <c r="E68" i="7"/>
  <c r="F68" s="1"/>
  <c r="J68" s="1"/>
  <c r="M68" s="1"/>
  <c r="E67"/>
  <c r="F67" s="1"/>
  <c r="J67" s="1"/>
  <c r="M67" s="1"/>
  <c r="E66"/>
  <c r="F66" s="1"/>
  <c r="L66" s="1"/>
  <c r="M66" s="1"/>
  <c r="E64"/>
  <c r="F64" s="1"/>
  <c r="F65" s="1"/>
  <c r="H65" s="1"/>
  <c r="M65" s="1"/>
  <c r="E62"/>
  <c r="F62" s="1"/>
  <c r="F63" s="1"/>
  <c r="H63" s="1"/>
  <c r="M63" s="1"/>
  <c r="E60"/>
  <c r="F60" s="1"/>
  <c r="F61" s="1"/>
  <c r="H61" s="1"/>
  <c r="M61" s="1"/>
  <c r="E59"/>
  <c r="F59" s="1"/>
  <c r="H59" s="1"/>
  <c r="M59" s="1"/>
  <c r="F54"/>
  <c r="F57" s="1"/>
  <c r="J57" s="1"/>
  <c r="M57" s="1"/>
  <c r="E53"/>
  <c r="F53" s="1"/>
  <c r="J53" s="1"/>
  <c r="M53" s="1"/>
  <c r="E52"/>
  <c r="F52" s="1"/>
  <c r="J52" s="1"/>
  <c r="M52" s="1"/>
  <c r="E51"/>
  <c r="F51" s="1"/>
  <c r="L51" s="1"/>
  <c r="M51" s="1"/>
  <c r="E49"/>
  <c r="F49" s="1"/>
  <c r="E47"/>
  <c r="F47" s="1"/>
  <c r="E45"/>
  <c r="F45" s="1"/>
  <c r="E44"/>
  <c r="F44" s="1"/>
  <c r="H44" s="1"/>
  <c r="M44" s="1"/>
  <c r="F39"/>
  <c r="F42" s="1"/>
  <c r="J42" s="1"/>
  <c r="M42" s="1"/>
  <c r="E38"/>
  <c r="F38" s="1"/>
  <c r="J38" s="1"/>
  <c r="M38" s="1"/>
  <c r="F37"/>
  <c r="J37" s="1"/>
  <c r="M37" s="1"/>
  <c r="E35"/>
  <c r="F35" s="1"/>
  <c r="E33"/>
  <c r="F33" s="1"/>
  <c r="E31"/>
  <c r="F31" s="1"/>
  <c r="E29"/>
  <c r="F29" s="1"/>
  <c r="E27"/>
  <c r="F27" s="1"/>
  <c r="E25"/>
  <c r="F25" s="1"/>
  <c r="E24"/>
  <c r="F24" s="1"/>
  <c r="H24" s="1"/>
  <c r="M24" s="1"/>
  <c r="E22"/>
  <c r="F22" s="1"/>
  <c r="J22" s="1"/>
  <c r="M22" s="1"/>
  <c r="J21"/>
  <c r="F21"/>
  <c r="F19"/>
  <c r="F20" s="1"/>
  <c r="H20" s="1"/>
  <c r="M20" s="1"/>
  <c r="E19"/>
  <c r="F17"/>
  <c r="F18" s="1"/>
  <c r="H18" s="1"/>
  <c r="M18" s="1"/>
  <c r="E17"/>
  <c r="F15"/>
  <c r="F16" s="1"/>
  <c r="H16" s="1"/>
  <c r="M16" s="1"/>
  <c r="E15"/>
  <c r="F14"/>
  <c r="H14" s="1"/>
  <c r="N24" i="8"/>
  <c r="N19"/>
  <c r="L28" i="9"/>
  <c r="M28" s="1"/>
  <c r="F27"/>
  <c r="H27" s="1"/>
  <c r="M27" s="1"/>
  <c r="F25"/>
  <c r="H25" s="1"/>
  <c r="M25" s="1"/>
  <c r="E23"/>
  <c r="F23" s="1"/>
  <c r="J23" s="1"/>
  <c r="E22"/>
  <c r="F22" s="1"/>
  <c r="L22" s="1"/>
  <c r="M22" s="1"/>
  <c r="E20"/>
  <c r="F20" s="1"/>
  <c r="E19"/>
  <c r="F19" s="1"/>
  <c r="H19" s="1"/>
  <c r="M19" s="1"/>
  <c r="F16"/>
  <c r="F17" s="1"/>
  <c r="H17" s="1"/>
  <c r="M17" s="1"/>
  <c r="E16"/>
  <c r="F14"/>
  <c r="F15" s="1"/>
  <c r="H15" s="1"/>
  <c r="E14"/>
  <c r="E78" i="10"/>
  <c r="F78" s="1"/>
  <c r="J78" s="1"/>
  <c r="M78" s="1"/>
  <c r="F77"/>
  <c r="J77" s="1"/>
  <c r="M77" s="1"/>
  <c r="E75"/>
  <c r="F75" s="1"/>
  <c r="E73"/>
  <c r="F73" s="1"/>
  <c r="E71"/>
  <c r="F71" s="1"/>
  <c r="F70"/>
  <c r="H70" s="1"/>
  <c r="M70" s="1"/>
  <c r="F68"/>
  <c r="J68" s="1"/>
  <c r="M68" s="1"/>
  <c r="E68"/>
  <c r="E67"/>
  <c r="F67" s="1"/>
  <c r="J67" s="1"/>
  <c r="M67" s="1"/>
  <c r="E66"/>
  <c r="F66" s="1"/>
  <c r="L66" s="1"/>
  <c r="M66" s="1"/>
  <c r="E64"/>
  <c r="F64" s="1"/>
  <c r="E62"/>
  <c r="F62" s="1"/>
  <c r="E60"/>
  <c r="F60" s="1"/>
  <c r="E59"/>
  <c r="F59" s="1"/>
  <c r="H59" s="1"/>
  <c r="M59" s="1"/>
  <c r="F55"/>
  <c r="F56" s="1"/>
  <c r="H56" s="1"/>
  <c r="M56" s="1"/>
  <c r="F54"/>
  <c r="F57" s="1"/>
  <c r="J57" s="1"/>
  <c r="M57" s="1"/>
  <c r="F53"/>
  <c r="J53" s="1"/>
  <c r="M53" s="1"/>
  <c r="E53"/>
  <c r="F52"/>
  <c r="J52" s="1"/>
  <c r="M52" s="1"/>
  <c r="E52"/>
  <c r="E51"/>
  <c r="F51" s="1"/>
  <c r="L51" s="1"/>
  <c r="M51" s="1"/>
  <c r="E49"/>
  <c r="F49" s="1"/>
  <c r="F50" s="1"/>
  <c r="H50" s="1"/>
  <c r="M50" s="1"/>
  <c r="E47"/>
  <c r="F47" s="1"/>
  <c r="E45"/>
  <c r="F45" s="1"/>
  <c r="E44"/>
  <c r="F44" s="1"/>
  <c r="H44" s="1"/>
  <c r="M44" s="1"/>
  <c r="F39"/>
  <c r="F40" s="1"/>
  <c r="E38"/>
  <c r="F38" s="1"/>
  <c r="J38" s="1"/>
  <c r="M38" s="1"/>
  <c r="J37"/>
  <c r="M37" s="1"/>
  <c r="F37"/>
  <c r="F35"/>
  <c r="F36" s="1"/>
  <c r="H36" s="1"/>
  <c r="M36" s="1"/>
  <c r="E35"/>
  <c r="F33"/>
  <c r="F34" s="1"/>
  <c r="H34" s="1"/>
  <c r="M34" s="1"/>
  <c r="E33"/>
  <c r="E31"/>
  <c r="F31" s="1"/>
  <c r="E29"/>
  <c r="F29" s="1"/>
  <c r="F30" s="1"/>
  <c r="H30" s="1"/>
  <c r="M30" s="1"/>
  <c r="E27"/>
  <c r="F27" s="1"/>
  <c r="F28" s="1"/>
  <c r="H28" s="1"/>
  <c r="M28" s="1"/>
  <c r="E25"/>
  <c r="F25" s="1"/>
  <c r="F26" s="1"/>
  <c r="H26" s="1"/>
  <c r="M26" s="1"/>
  <c r="E24"/>
  <c r="F24" s="1"/>
  <c r="H24" s="1"/>
  <c r="M24" s="1"/>
  <c r="E22"/>
  <c r="F22" s="1"/>
  <c r="J22" s="1"/>
  <c r="M22" s="1"/>
  <c r="F21"/>
  <c r="J21" s="1"/>
  <c r="E19"/>
  <c r="F19" s="1"/>
  <c r="E17"/>
  <c r="F17" s="1"/>
  <c r="E15"/>
  <c r="F15" s="1"/>
  <c r="F14"/>
  <c r="H14" s="1"/>
  <c r="J49" i="5"/>
  <c r="M49" s="1"/>
  <c r="J48"/>
  <c r="M48" s="1"/>
  <c r="J47"/>
  <c r="M47" s="1"/>
  <c r="J46"/>
  <c r="M46" s="1"/>
  <c r="F43"/>
  <c r="F51" s="1"/>
  <c r="J51" s="1"/>
  <c r="M51" s="1"/>
  <c r="F42"/>
  <c r="J42" s="1"/>
  <c r="M42" s="1"/>
  <c r="F41"/>
  <c r="J41" s="1"/>
  <c r="M41" s="1"/>
  <c r="F38"/>
  <c r="J38" s="1"/>
  <c r="M38" s="1"/>
  <c r="F37"/>
  <c r="J37" s="1"/>
  <c r="M37" s="1"/>
  <c r="E36"/>
  <c r="F36" s="1"/>
  <c r="J36" s="1"/>
  <c r="M36" s="1"/>
  <c r="E35"/>
  <c r="F35" s="1"/>
  <c r="J35" s="1"/>
  <c r="M35" s="1"/>
  <c r="E34"/>
  <c r="F34" s="1"/>
  <c r="J34" s="1"/>
  <c r="M34" s="1"/>
  <c r="E33"/>
  <c r="F33" s="1"/>
  <c r="J33" s="1"/>
  <c r="M33" s="1"/>
  <c r="F32"/>
  <c r="J32" s="1"/>
  <c r="M32" s="1"/>
  <c r="F31"/>
  <c r="L31" s="1"/>
  <c r="M31" s="1"/>
  <c r="F29"/>
  <c r="F30" s="1"/>
  <c r="H30" s="1"/>
  <c r="M30" s="1"/>
  <c r="F28"/>
  <c r="H28" s="1"/>
  <c r="M28" s="1"/>
  <c r="F26"/>
  <c r="J26" s="1"/>
  <c r="M26" s="1"/>
  <c r="F25"/>
  <c r="L25" s="1"/>
  <c r="M25" s="1"/>
  <c r="F24"/>
  <c r="H24" s="1"/>
  <c r="M24" s="1"/>
  <c r="F22"/>
  <c r="L22" s="1"/>
  <c r="M22" s="1"/>
  <c r="E21"/>
  <c r="F21" s="1"/>
  <c r="H21" s="1"/>
  <c r="M21" s="1"/>
  <c r="F19"/>
  <c r="L19" s="1"/>
  <c r="M19" s="1"/>
  <c r="E18"/>
  <c r="F18" s="1"/>
  <c r="J18" s="1"/>
  <c r="E17"/>
  <c r="F17" s="1"/>
  <c r="L17" s="1"/>
  <c r="M17" s="1"/>
  <c r="E15"/>
  <c r="F15" s="1"/>
  <c r="F14"/>
  <c r="H14" s="1"/>
  <c r="E14"/>
  <c r="N47" i="1"/>
  <c r="N42"/>
  <c r="J27"/>
  <c r="N26"/>
  <c r="N25"/>
  <c r="N27" s="1"/>
  <c r="N21"/>
  <c r="F39" i="5" l="1"/>
  <c r="F40" s="1"/>
  <c r="H40" s="1"/>
  <c r="M40" s="1"/>
  <c r="F40" i="7"/>
  <c r="F41" s="1"/>
  <c r="H41" s="1"/>
  <c r="M41" s="1"/>
  <c r="M14" i="5"/>
  <c r="M18"/>
  <c r="F16"/>
  <c r="H16" s="1"/>
  <c r="M16" s="1"/>
  <c r="L15"/>
  <c r="M14" i="10"/>
  <c r="F41"/>
  <c r="H41" s="1"/>
  <c r="M41" s="1"/>
  <c r="L40"/>
  <c r="M40" s="1"/>
  <c r="F72"/>
  <c r="H72" s="1"/>
  <c r="M72" s="1"/>
  <c r="L71"/>
  <c r="M71" s="1"/>
  <c r="F74"/>
  <c r="H74" s="1"/>
  <c r="M74" s="1"/>
  <c r="L73"/>
  <c r="M73" s="1"/>
  <c r="F76"/>
  <c r="H76" s="1"/>
  <c r="M76" s="1"/>
  <c r="L75"/>
  <c r="M75" s="1"/>
  <c r="J29" i="9"/>
  <c r="M23"/>
  <c r="M14" i="7"/>
  <c r="F26"/>
  <c r="H26" s="1"/>
  <c r="M26" s="1"/>
  <c r="L25"/>
  <c r="M25" s="1"/>
  <c r="F28"/>
  <c r="H28" s="1"/>
  <c r="M28" s="1"/>
  <c r="L27"/>
  <c r="M27" s="1"/>
  <c r="F30"/>
  <c r="H30" s="1"/>
  <c r="M30" s="1"/>
  <c r="L29"/>
  <c r="M29" s="1"/>
  <c r="F32"/>
  <c r="H32" s="1"/>
  <c r="M32" s="1"/>
  <c r="L31"/>
  <c r="M31" s="1"/>
  <c r="F34"/>
  <c r="H34" s="1"/>
  <c r="M34" s="1"/>
  <c r="L33"/>
  <c r="M33" s="1"/>
  <c r="F36"/>
  <c r="H36" s="1"/>
  <c r="M36" s="1"/>
  <c r="L35"/>
  <c r="M35" s="1"/>
  <c r="F21" i="4"/>
  <c r="H21" s="1"/>
  <c r="M21" s="1"/>
  <c r="L20"/>
  <c r="M20" s="1"/>
  <c r="F44" i="5"/>
  <c r="H44" s="1"/>
  <c r="M44" s="1"/>
  <c r="F50"/>
  <c r="J50" s="1"/>
  <c r="M50" s="1"/>
  <c r="F52"/>
  <c r="J52" s="1"/>
  <c r="M52" s="1"/>
  <c r="F16" i="10"/>
  <c r="H16" s="1"/>
  <c r="M16" s="1"/>
  <c r="L15"/>
  <c r="F18"/>
  <c r="H18" s="1"/>
  <c r="M18" s="1"/>
  <c r="L17"/>
  <c r="M17" s="1"/>
  <c r="F20"/>
  <c r="H20" s="1"/>
  <c r="M20" s="1"/>
  <c r="L19"/>
  <c r="M19" s="1"/>
  <c r="M21"/>
  <c r="F32"/>
  <c r="H32" s="1"/>
  <c r="M32" s="1"/>
  <c r="L31"/>
  <c r="M31" s="1"/>
  <c r="F46"/>
  <c r="H46" s="1"/>
  <c r="M46" s="1"/>
  <c r="L45"/>
  <c r="M45" s="1"/>
  <c r="F48"/>
  <c r="H48" s="1"/>
  <c r="M48" s="1"/>
  <c r="L47"/>
  <c r="M47" s="1"/>
  <c r="F61"/>
  <c r="H61" s="1"/>
  <c r="M61" s="1"/>
  <c r="L60"/>
  <c r="M60" s="1"/>
  <c r="F63"/>
  <c r="H63" s="1"/>
  <c r="M63" s="1"/>
  <c r="L62"/>
  <c r="M62" s="1"/>
  <c r="F65"/>
  <c r="H65" s="1"/>
  <c r="M65" s="1"/>
  <c r="L64"/>
  <c r="M64" s="1"/>
  <c r="M15" i="9"/>
  <c r="F21"/>
  <c r="H21" s="1"/>
  <c r="M21" s="1"/>
  <c r="L20"/>
  <c r="M20" s="1"/>
  <c r="F46" i="7"/>
  <c r="H46" s="1"/>
  <c r="M46" s="1"/>
  <c r="L45"/>
  <c r="M45" s="1"/>
  <c r="F48"/>
  <c r="H48" s="1"/>
  <c r="M48" s="1"/>
  <c r="L47"/>
  <c r="M47" s="1"/>
  <c r="F50"/>
  <c r="H50" s="1"/>
  <c r="M50" s="1"/>
  <c r="L49"/>
  <c r="M49" s="1"/>
  <c r="F15" i="4"/>
  <c r="H15" s="1"/>
  <c r="L14"/>
  <c r="F17"/>
  <c r="H17" s="1"/>
  <c r="M17" s="1"/>
  <c r="L16"/>
  <c r="M16" s="1"/>
  <c r="J25"/>
  <c r="M23"/>
  <c r="L29" i="5"/>
  <c r="M29" s="1"/>
  <c r="F45"/>
  <c r="L45" s="1"/>
  <c r="M45" s="1"/>
  <c r="J69" i="7"/>
  <c r="L25" i="10"/>
  <c r="M25" s="1"/>
  <c r="L27"/>
  <c r="M27" s="1"/>
  <c r="L29"/>
  <c r="M29" s="1"/>
  <c r="L33"/>
  <c r="M33" s="1"/>
  <c r="L35"/>
  <c r="M35" s="1"/>
  <c r="F42"/>
  <c r="J42" s="1"/>
  <c r="M42" s="1"/>
  <c r="L49"/>
  <c r="M49" s="1"/>
  <c r="L55"/>
  <c r="M55" s="1"/>
  <c r="L14" i="9"/>
  <c r="L16"/>
  <c r="M16" s="1"/>
  <c r="M21" i="7"/>
  <c r="F55"/>
  <c r="L15"/>
  <c r="L17"/>
  <c r="M17" s="1"/>
  <c r="L19"/>
  <c r="M19" s="1"/>
  <c r="L40"/>
  <c r="M40" s="1"/>
  <c r="L60"/>
  <c r="M60" s="1"/>
  <c r="L62"/>
  <c r="M62" s="1"/>
  <c r="L64"/>
  <c r="M64" s="1"/>
  <c r="M15" l="1"/>
  <c r="M14" i="9"/>
  <c r="L29"/>
  <c r="M14" i="4"/>
  <c r="L25"/>
  <c r="L79" i="10"/>
  <c r="M15"/>
  <c r="J30" i="9"/>
  <c r="J31" s="1"/>
  <c r="J53" i="5"/>
  <c r="H53"/>
  <c r="F56" i="7"/>
  <c r="H56" s="1"/>
  <c r="M56" s="1"/>
  <c r="L55"/>
  <c r="M55" s="1"/>
  <c r="J70"/>
  <c r="J71" s="1"/>
  <c r="J26" i="4"/>
  <c r="J27" s="1"/>
  <c r="H25"/>
  <c r="M15"/>
  <c r="L53" i="5"/>
  <c r="M15"/>
  <c r="H29" i="9"/>
  <c r="H30" s="1"/>
  <c r="J79" i="10"/>
  <c r="H69" i="7"/>
  <c r="H79" i="10"/>
  <c r="J32" i="9" l="1"/>
  <c r="J33" s="1"/>
  <c r="M79" i="10"/>
  <c r="H80"/>
  <c r="H81" s="1"/>
  <c r="J80"/>
  <c r="J81" s="1"/>
  <c r="H54" i="5"/>
  <c r="H55" s="1"/>
  <c r="M53"/>
  <c r="L80" i="10"/>
  <c r="L81" s="1"/>
  <c r="L69" i="7"/>
  <c r="M69" s="1"/>
  <c r="H70"/>
  <c r="H71" s="1"/>
  <c r="M29" i="9"/>
  <c r="H31"/>
  <c r="L54" i="5"/>
  <c r="L55" s="1"/>
  <c r="M25" i="4"/>
  <c r="H26"/>
  <c r="H27" s="1"/>
  <c r="J28"/>
  <c r="J29" s="1"/>
  <c r="J72" i="7"/>
  <c r="J73" s="1"/>
  <c r="J54" i="5"/>
  <c r="J55" s="1"/>
  <c r="L26" i="4"/>
  <c r="L27" s="1"/>
  <c r="L30" i="9"/>
  <c r="L31" s="1"/>
  <c r="L32" l="1"/>
  <c r="L33" s="1"/>
  <c r="J56" i="5"/>
  <c r="J57" s="1"/>
  <c r="L28" i="4"/>
  <c r="L29" s="1"/>
  <c r="M27"/>
  <c r="H28"/>
  <c r="H29" s="1"/>
  <c r="L82" i="10"/>
  <c r="L83" s="1"/>
  <c r="H72" i="7"/>
  <c r="H73" s="1"/>
  <c r="L70"/>
  <c r="L71" s="1"/>
  <c r="M30" i="9"/>
  <c r="M54" i="5"/>
  <c r="M80" i="10"/>
  <c r="L56" i="5"/>
  <c r="L57" s="1"/>
  <c r="M31" i="9"/>
  <c r="H32"/>
  <c r="H56" i="5"/>
  <c r="H57" s="1"/>
  <c r="M55"/>
  <c r="J82" i="10"/>
  <c r="J83" s="1"/>
  <c r="M81"/>
  <c r="H82"/>
  <c r="H83" s="1"/>
  <c r="M26" i="4"/>
  <c r="M70" i="7" l="1"/>
  <c r="M32" i="9"/>
  <c r="H33"/>
  <c r="L72" i="7"/>
  <c r="L73" s="1"/>
  <c r="M73" s="1"/>
  <c r="M71"/>
  <c r="M82" i="10"/>
  <c r="M56" i="5"/>
  <c r="M28" i="4"/>
  <c r="M83" i="10"/>
  <c r="M57" i="5"/>
  <c r="M33" i="9"/>
  <c r="M72" i="7"/>
  <c r="M29" i="4"/>
  <c r="J23" i="8" l="1"/>
  <c r="J18"/>
  <c r="J14"/>
  <c r="J19" i="2"/>
  <c r="J15"/>
  <c r="N23" i="8" l="1"/>
  <c r="N25" s="1"/>
  <c r="J46" i="1"/>
  <c r="J25" i="8"/>
  <c r="J41" i="1"/>
  <c r="N18" i="8"/>
  <c r="N20" s="1"/>
  <c r="J20"/>
  <c r="J15"/>
  <c r="N14"/>
  <c r="N15" s="1"/>
  <c r="J37" i="1"/>
  <c r="N19" i="2"/>
  <c r="N21" s="1"/>
  <c r="J20" i="1"/>
  <c r="J21" i="2"/>
  <c r="N15"/>
  <c r="N16" s="1"/>
  <c r="J16" i="1"/>
  <c r="J16" i="2"/>
  <c r="N26" i="8" l="1"/>
  <c r="M27" s="1"/>
  <c r="M28" s="1"/>
  <c r="J48" i="1"/>
  <c r="N46"/>
  <c r="N48" s="1"/>
  <c r="J43"/>
  <c r="N41"/>
  <c r="N43" s="1"/>
  <c r="J26" i="8"/>
  <c r="J28" s="1"/>
  <c r="J30" s="1"/>
  <c r="J38" i="1"/>
  <c r="N37"/>
  <c r="N38" s="1"/>
  <c r="N27" i="8"/>
  <c r="N28" s="1"/>
  <c r="M29" s="1"/>
  <c r="N29" s="1"/>
  <c r="N30" s="1"/>
  <c r="N20" i="1"/>
  <c r="N22" s="1"/>
  <c r="J22"/>
  <c r="J27" i="2"/>
  <c r="J29" s="1"/>
  <c r="J31" s="1"/>
  <c r="N27"/>
  <c r="M28" s="1"/>
  <c r="N28" s="1"/>
  <c r="N29" s="1"/>
  <c r="M30" s="1"/>
  <c r="N30" s="1"/>
  <c r="N31" s="1"/>
  <c r="N16" i="1"/>
  <c r="N17" s="1"/>
  <c r="N28" s="1"/>
  <c r="M29" s="1"/>
  <c r="J17"/>
  <c r="J28" s="1"/>
  <c r="J30" s="1"/>
  <c r="J32" s="1"/>
  <c r="N49" l="1"/>
  <c r="M50" s="1"/>
  <c r="M51" s="1"/>
  <c r="J49"/>
  <c r="J51" s="1"/>
  <c r="J53" s="1"/>
  <c r="M30" i="8"/>
  <c r="M29" i="2"/>
  <c r="M31" s="1"/>
  <c r="N29" i="1"/>
  <c r="N30" s="1"/>
  <c r="M31" s="1"/>
  <c r="N31" s="1"/>
  <c r="N32" s="1"/>
  <c r="M30"/>
  <c r="N50" l="1"/>
  <c r="N51" s="1"/>
  <c r="M52" s="1"/>
  <c r="N52" s="1"/>
  <c r="N53" s="1"/>
  <c r="N55" s="1"/>
  <c r="M32"/>
  <c r="M53" l="1"/>
</calcChain>
</file>

<file path=xl/sharedStrings.xml><?xml version="1.0" encoding="utf-8"?>
<sst xmlns="http://schemas.openxmlformats.org/spreadsheetml/2006/main" count="868" uniqueCount="188">
  <si>
    <t>##</t>
  </si>
  <si>
    <t>xarjTaRricxvebis angariSebis ##</t>
  </si>
  <si>
    <t>Tavebis, obieqtebis, samuSaoebis da danaxarjebis dasaxeleba</t>
  </si>
  <si>
    <t>saxarjTaRricxvo Rirebuleba  aT.lari</t>
  </si>
  <si>
    <t>saerTo   saxajTaR-ricxvo   Rirebuleba,   lari</t>
  </si>
  <si>
    <t>samSeneblo samuSaoe-bis</t>
  </si>
  <si>
    <t>samontaJo samu-Saoebis</t>
  </si>
  <si>
    <t>mowyobilo-bebis, inven-taris</t>
  </si>
  <si>
    <t>sxva dana-xarjebis</t>
  </si>
  <si>
    <t>Tavi I</t>
  </si>
  <si>
    <t>mSeneblobis teritoriis momzadeba</t>
  </si>
  <si>
    <t>x.a.#1</t>
  </si>
  <si>
    <t>mosamzadebeli samuSaoebi</t>
  </si>
  <si>
    <t>sul Tavi I</t>
  </si>
  <si>
    <t>Tavi III</t>
  </si>
  <si>
    <t>sagzao samosi</t>
  </si>
  <si>
    <t>x.a.#2</t>
  </si>
  <si>
    <t>sagzao samosis mowyoba, asfaltobetoni</t>
  </si>
  <si>
    <t>x.a.#3</t>
  </si>
  <si>
    <t>sagzao samosis mowyoba, cementobetoni</t>
  </si>
  <si>
    <t>sul Tavi III</t>
  </si>
  <si>
    <t>Tavi IV</t>
  </si>
  <si>
    <t>xelovnuri nagebobebi</t>
  </si>
  <si>
    <t>x.a.#4</t>
  </si>
  <si>
    <t>rk.betonis kiuvetis mowyoba</t>
  </si>
  <si>
    <t>x.a.#5</t>
  </si>
  <si>
    <t xml:space="preserve">gabionis, specprofilis parapetis da betonis bordiurebis mowyoba    </t>
  </si>
  <si>
    <t>sul Tavi IV</t>
  </si>
  <si>
    <t>sul Tavi I_IV</t>
  </si>
  <si>
    <t>gauTvaliswinebeli xarjebi 3%</t>
  </si>
  <si>
    <t>sul</t>
  </si>
  <si>
    <t>dRg 18%</t>
  </si>
  <si>
    <t>sul mSeneblobis Rirebulebis nakrebi saxarjTaRrivxvo angariSebiT</t>
  </si>
  <si>
    <t>მთლიანი სახარჯთაღრიცხვო ღირებულება</t>
  </si>
  <si>
    <t xml:space="preserve"> lokaluri  xarjTaRricxva # 4</t>
  </si>
  <si>
    <t>#</t>
  </si>
  <si>
    <t>safuZveli</t>
  </si>
  <si>
    <t>samuSaoebis, resursebis   dasaxeleba</t>
  </si>
  <si>
    <t xml:space="preserve">   normatiuli  resursi</t>
  </si>
  <si>
    <t xml:space="preserve">   xelfasi</t>
  </si>
  <si>
    <t xml:space="preserve">     masala</t>
  </si>
  <si>
    <t xml:space="preserve">   samSeneblo </t>
  </si>
  <si>
    <t>jami</t>
  </si>
  <si>
    <t xml:space="preserve">   meqanizmebi</t>
  </si>
  <si>
    <t>ganz.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</si>
  <si>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</si>
  <si>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</si>
  <si>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</si>
  <si>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</si>
  <si>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</si>
  <si>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</si>
  <si>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</si>
  <si>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</si>
  <si>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</si>
  <si>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</si>
  <si>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</si>
  <si>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</si>
  <si>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</si>
  <si>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</si>
  <si>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</si>
  <si>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1-22-15</t>
  </si>
  <si>
    <t xml:space="preserve">III jgufis gruntis damuSaveba meqanizirebuli wesiT, datvirTva a/tviTmclelebze </t>
  </si>
  <si>
    <r>
      <t>m</t>
    </r>
    <r>
      <rPr>
        <vertAlign val="superscript"/>
        <sz val="10"/>
        <rFont val="AcadNusx"/>
      </rPr>
      <t>3</t>
    </r>
  </si>
  <si>
    <t>normatiuli Sromatevadoba</t>
  </si>
  <si>
    <t>kac/sT</t>
  </si>
  <si>
    <t>eqskavatori</t>
  </si>
  <si>
    <t>manq/sT</t>
  </si>
  <si>
    <t>meqanizmebze momsaxure personalis xelfasi</t>
  </si>
  <si>
    <t>sxva manqanebi</t>
  </si>
  <si>
    <t>lari</t>
  </si>
  <si>
    <t>RorRi fraqcia 20-40mm</t>
  </si>
  <si>
    <t xml:space="preserve">transportireba nayarSi 15 km-ze </t>
  </si>
  <si>
    <t>t</t>
  </si>
  <si>
    <t>1-80-3 r1-3</t>
  </si>
  <si>
    <t xml:space="preserve">III jgufisgruntis damuSaveba xeliT,  datvirTva a/tviTmclelebze </t>
  </si>
  <si>
    <t>30-3-2</t>
  </si>
  <si>
    <t>qvesagebi fenis mowyoba fraqciuli RorRiT</t>
  </si>
  <si>
    <t>fraqciuli RorRi</t>
  </si>
  <si>
    <t>30-5-1</t>
  </si>
  <si>
    <t xml:space="preserve">monoliTuri betoni B25 F200 W6 </t>
  </si>
  <si>
    <t>amwe pnevmosvlaze 25 t</t>
  </si>
  <si>
    <t>betoni</t>
  </si>
  <si>
    <t>xe mrgvali</t>
  </si>
  <si>
    <t>xis Zeli</t>
  </si>
  <si>
    <t>ficari Camoganuli 40-60 mm, II xarisxis</t>
  </si>
  <si>
    <t>igive, III xarisxis</t>
  </si>
  <si>
    <t>samSeneblo naWedi</t>
  </si>
  <si>
    <t>kg</t>
  </si>
  <si>
    <t>sxva masalebi</t>
  </si>
  <si>
    <t>30-5-2</t>
  </si>
  <si>
    <t>armaturis dayeneba</t>
  </si>
  <si>
    <t>armatura A-1; Ǿ8mm.</t>
  </si>
  <si>
    <t>proeqtiT</t>
  </si>
  <si>
    <t>armatura A-1; Ǿ6mm.</t>
  </si>
  <si>
    <t>9-17-5</t>
  </si>
  <si>
    <t>rk.betonis kiuvetis gadaxurva cxauriT</t>
  </si>
  <si>
    <t>manqanebi</t>
  </si>
  <si>
    <t>armatura A AAI  Ǿ8 mm</t>
  </si>
  <si>
    <t>foladis zolana 60X6</t>
  </si>
  <si>
    <t>foladis kvadrati 8X8</t>
  </si>
  <si>
    <t>kuTxovana 65X50X6</t>
  </si>
  <si>
    <t>WanWiki</t>
  </si>
  <si>
    <t>eleqtrodi</t>
  </si>
  <si>
    <t>sxva masala</t>
  </si>
  <si>
    <t xml:space="preserve"> lokaluri  xarjTaRricxva # 2</t>
  </si>
  <si>
    <t>27-7-2</t>
  </si>
  <si>
    <t>safuZvlis qveda fenis mowyoba qviSa-xreSovani nareviT,
sisqiT 20sm.</t>
  </si>
  <si>
    <t>avtogreideri saSualo tipis 79kvt</t>
  </si>
  <si>
    <t>satkepni sagzao TviTmavali pnevmosvlaze 18 t</t>
  </si>
  <si>
    <t>mosarwyav-mosarecxi manqana 6000l</t>
  </si>
  <si>
    <t>qviSa-xreSovani narevi</t>
  </si>
  <si>
    <t>wyali</t>
  </si>
  <si>
    <t>27-7-4</t>
  </si>
  <si>
    <t>safuZvlis zeda fenis mowyoba fr.RorRiT (0-40mm), sisqiT 12sm</t>
  </si>
  <si>
    <t>buldozeri 79kvt</t>
  </si>
  <si>
    <t>satkepni sagzao TviTmavali pnevmosvlaze 18t</t>
  </si>
  <si>
    <t>satkepni sagzao TviTmavali gluvi 5t</t>
  </si>
  <si>
    <t>igive, 10t</t>
  </si>
  <si>
    <t xml:space="preserve">RorRi </t>
  </si>
  <si>
    <t>27-63-1</t>
  </si>
  <si>
    <r>
      <t>Txevadi bitumis mosxma mTel farTze, 0,7kg/m</t>
    </r>
    <r>
      <rPr>
        <vertAlign val="superscript"/>
        <sz val="10"/>
        <rFont val="AcadNusx"/>
      </rPr>
      <t>2</t>
    </r>
    <r>
      <rPr>
        <sz val="10"/>
        <rFont val="AcadNusx"/>
      </rPr>
      <t xml:space="preserve">-ze </t>
    </r>
  </si>
  <si>
    <t>avtogudronatori 3500 l</t>
  </si>
  <si>
    <t xml:space="preserve">  bitumis emulsia </t>
  </si>
  <si>
    <t>27-39-1,2                 27-40-1,2</t>
  </si>
  <si>
    <t>safaris qveda fenis mowyoba msxvilmarcvlovani forovani RorRovani a/betonis cxeli nareviT, sisqiT 5sm.</t>
  </si>
  <si>
    <r>
      <t>m</t>
    </r>
    <r>
      <rPr>
        <vertAlign val="superscript"/>
        <sz val="10"/>
        <rFont val="AcadNusx"/>
      </rPr>
      <t>2</t>
    </r>
  </si>
  <si>
    <t>asfaltobetonis damgebi</t>
  </si>
  <si>
    <t>msxvilmarcvlovani asfaltobetoni</t>
  </si>
  <si>
    <r>
      <t>Txevadi bitumis mosxma mTel farTze, 0,35kg/m</t>
    </r>
    <r>
      <rPr>
        <vertAlign val="superscript"/>
        <sz val="10"/>
        <rFont val="AcadNusx"/>
      </rPr>
      <t>2</t>
    </r>
    <r>
      <rPr>
        <sz val="10"/>
        <rFont val="AcadNusx"/>
      </rPr>
      <t xml:space="preserve">-ze </t>
    </r>
  </si>
  <si>
    <t>27-39-1                    27-40-1</t>
  </si>
  <si>
    <t>safaris zeda fenis mowyoba wvrilmarcvlovani mkvrivi  a/betonis cxeli nareviT, sisqiT 4sm.</t>
  </si>
  <si>
    <t>wvrilmarcvlovani asfaltobetoni</t>
  </si>
  <si>
    <t>misayreli gverdulis mowyoba qviSa-xreSovani narevisagan, sisqiT 15 sm</t>
  </si>
  <si>
    <t xml:space="preserve"> lokaluri  xarjTaRricxva # 1</t>
  </si>
  <si>
    <t>1-116-3</t>
  </si>
  <si>
    <t>arsebuli teritoriis moSandakeba meqanizirebuli wesiT</t>
  </si>
  <si>
    <t>buldozeri 79 kvt</t>
  </si>
  <si>
    <t>avtogreideri 79 kvt</t>
  </si>
  <si>
    <t>dazaianebuli da amortizirebuli gruntis moxsna meqanizirebuli wesiT da datvirTva a/TviTmclelebze, saS sisqiT 42sm.</t>
  </si>
  <si>
    <t>endgaf - 68 p.17-2</t>
  </si>
  <si>
    <t>arsebuli milebis gawmenda danaleqi gruntisagan da datvirTva a/TviTmclelebze</t>
  </si>
  <si>
    <t>r1-3</t>
  </si>
  <si>
    <t>datvirTva a/TviTmclelebze</t>
  </si>
  <si>
    <t>zedmeti gruntisa da samSeneblo narCenebis zidva nagavsayrelze, 5km-mde manZilze</t>
  </si>
  <si>
    <t xml:space="preserve"> ლოკალური  ხარჯთაღრიცხვა # 2</t>
  </si>
  <si>
    <t>საგზაო სამოსის მოწყობა, ასფალტობეტონი</t>
  </si>
  <si>
    <t>dazaianebuli da amortizirebuli gruntis moxsna meqanizirebuli wesiT da datvirTva a/TviTmclelebze, saS sisqiT 40sm.</t>
  </si>
  <si>
    <t xml:space="preserve">zednadebi xarjebi  </t>
  </si>
  <si>
    <t xml:space="preserve">gegmiuri mogeba   </t>
  </si>
  <si>
    <t>ქალაქ ამბროლაურში გამსახურდიას 04 ჩიხის, 05 ქუჩის და 02 ჩიხის  საგზაო ინფრასტრუქტურის სარეაბილიტაციო სამუშაოების Rirebulebis nakrebi saxarjTaRricxvo angariSi</t>
  </si>
  <si>
    <t xml:space="preserve">ქალაქ ამბროლაურში გამსახურდიას 04 ჩიხის საგზაო ინფრასტრუქტურის სარეაბილიტაციო სამუშაოების Rirebulebis nakrebi saxarjTaRricxvo angariSi </t>
  </si>
  <si>
    <t xml:space="preserve">ქალაქ ამბროლაურში 05 ქუჩის და 02 ჩიხის საგზაო ინფრასტრუქტურის სარეაბილიტაციო სამუშაოების Rirebulebis nakrebi saxarjTaRricxvo angariSi </t>
  </si>
  <si>
    <t xml:space="preserve">qალაქ ambrolaurSi kონსტანტინე gamsaxurdias quCის 04 Cixiს, 05 ქუჩის და 02 Cixiს sakanalizacio qselebis mowyobis სამუშაოების                                                                                                                     nakrebi saxarjTaRricxvo angariSi </t>
  </si>
  <si>
    <t>obieqtebis dasaxeleba</t>
  </si>
  <si>
    <t>saerTo   saxajTaR-ricxvo   Rirebuleba დანარიცხების ჩათვლით,   lari</t>
  </si>
  <si>
    <t>qალაქ ambrolaurSi kონსტანტინე gamsaxurdias quCის 04 Cixiს sakanalizacio qselis mowyobis სამუშაოები</t>
  </si>
  <si>
    <t xml:space="preserve">qალაქ ambrolaurSi 05 ქუჩის და 02 Cixiს sakanalizacio qselebis mowyobis სამუშაოები                                                                                                                   </t>
  </si>
  <si>
    <t>qალაქ ambrolaurSi kონსტანტინე gamsaxurdias quCის 04 Cixiს sakanalizacio qselis mowyobis სამუშაოების                                                                              xarjTaRricxva</t>
  </si>
  <si>
    <t xml:space="preserve">Sedgenilia 2017 IV kv. doneze                                 </t>
  </si>
  <si>
    <t>masala</t>
  </si>
  <si>
    <t>xelfasi</t>
  </si>
  <si>
    <t xml:space="preserve">samSeneblo </t>
  </si>
  <si>
    <t>s a m u S a o T a</t>
  </si>
  <si>
    <t>meqanizmebi</t>
  </si>
  <si>
    <t>d a s a x e l e b a</t>
  </si>
  <si>
    <t>mixdes  III kategoriis gruntis gaWra meqanozmebis meSveobiT. sakanalizacio milis mowyobis Semdeg ori mesamedi gruntis gafxviorebiT, uku miyriT da datkepniT 200 m, sigane 0.4m, siRrme 1.2m))</t>
  </si>
  <si>
    <t>kubm</t>
  </si>
  <si>
    <t>moewyos rkina betonis Wa (r/b Wis simaRle 1.0m, diametri 1000mm, r/b Ziri, r/b saxuravi Tavisi Cugunis d=60 sm xufiT )</t>
  </si>
  <si>
    <t>cali</t>
  </si>
  <si>
    <r>
      <t>moewyos plasmasis sakanalizacio gofrirebuli mili d=200 mm</t>
    </r>
    <r>
      <rPr>
        <sz val="10"/>
        <rFont val="Arial"/>
        <family val="2"/>
        <charset val="204"/>
      </rPr>
      <t xml:space="preserve">  </t>
    </r>
  </si>
  <si>
    <t>grZm</t>
  </si>
  <si>
    <r>
      <t>moewyos plasmasis sakanalizacio gofrirebuli mili d=100 mm</t>
    </r>
    <r>
      <rPr>
        <sz val="10"/>
        <rFont val="Arial"/>
        <family val="2"/>
        <charset val="204"/>
      </rPr>
      <t xml:space="preserve"> </t>
    </r>
  </si>
  <si>
    <t>moxdes sakanalizacio qselis gaxveva  qviSaSi 200X0.4X0.4m</t>
  </si>
  <si>
    <t>zedmeti gruntis datvirTva eqskavatoriT TviTmclelze da gatana 5 km manZilze</t>
  </si>
  <si>
    <t xml:space="preserve"> jami</t>
  </si>
  <si>
    <t>qალაქ ambrolaurSi 05 ქუჩის და 02 Cixiს sakanalizacio qselebis mowyobis სამუშაოების                                                                                                                     xarjTaRricxva</t>
  </si>
  <si>
    <t>mოxdes  III kategoriis gruntis gaWra meqanიzmebis meSveobiT. sakanalizacio milis mowyobis Semdeg ori mesamedi gruntis gafxviorebiT, uku miyriT da datkepniT  (ტრანშეის ზომები 825X0,4 X1,2 m)</t>
  </si>
  <si>
    <t>moewyos rkina-betonis Wa (rkina-betonis Wis simaRle 1.50m, diametri 1000mm, rkina-betonis Ziri, rkina-betonis saxuravi Tavisi Cugunis d=60 sm xufiT )</t>
  </si>
  <si>
    <r>
      <t>moewyos plasmasis sakanalizacio gofrirebuli mili d=200 mm</t>
    </r>
    <r>
      <rPr>
        <sz val="10"/>
        <rFont val="Arial"/>
        <family val="2"/>
        <charset val="204"/>
      </rPr>
      <t xml:space="preserve"> </t>
    </r>
  </si>
  <si>
    <t>moewyos plasmasis sakanalizacio gofrirebuli mili d=100 mm</t>
  </si>
  <si>
    <t>moxdes sakanalizacio qselis gaxveva  qviSaSi 825X0.4X0.4m</t>
  </si>
  <si>
    <t>zedmeti gruntis datvirTva eqskavatoriT ავტოTviTmclelze da gatana ნაყარში 5 km manZilze</t>
  </si>
  <si>
    <t>masalebis transporti</t>
  </si>
  <si>
    <t xml:space="preserve">zednabebi xarji </t>
  </si>
  <si>
    <t xml:space="preserve">mogeba </t>
  </si>
  <si>
    <t>ქალაქ ამბროლაურში კონსტანტინე გამსახურდიას ქუჩის 04 ჩიხის, 05 ქუჩის და 02 ჩიხის საკანალიზაციო ქსელების მოწყობის და საგზაო ინფრასტრუქტურის სარეაბილიტაციო სამუშაოების ღირებულების ნაკრები სახარჯთაღრიცხვო ანგარიში</t>
  </si>
  <si>
    <t>ქალაქ ამბროლაურში გამსახურდიას 04 ჩიხის, 05 ქუჩის და 02 ჩიხის (ბარათაშვილის ქუჩა) ასფალტო-ბეტონიანი გზების მოწყობის სამუშაოები.</t>
  </si>
  <si>
    <t>qალაქ ambrolaurSi gamsaxurdias  04 Cixiს, 05 ქუჩის და 02 Cixiს sakanalizacio qselebis mowyobis სამუშაოები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</si>
</sst>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\ _₾_-;\-* #,##0.00\ _₾_-;_-* &quot;-&quot;??\ _₾_-;_-@_-"/>
    <numFmt numFmtId="165" formatCode="0.000"/>
    <numFmt numFmtId="166" formatCode="0.0000"/>
    <numFmt numFmtId="167" formatCode="_-* #,##0_р_._-;\-* #,##0_р_._-;_-* &quot;-&quot;??_р_._-;_-@_-"/>
  </numFmts>
  <fonts count="26">
    <font>
      <sz val="11"/>
      <color theme="1"/>
      <name val="Calibri"/>
      <family val="2"/>
      <charset val="1"/>
      <scheme val="minor"/>
    </font>
    <font>
      <sz val="11"/>
      <name val="Arachveulebrivi Thin"/>
      <family val="2"/>
    </font>
    <font>
      <sz val="14"/>
      <name val="Arachveulebrivi Thin"/>
      <family val="2"/>
    </font>
    <font>
      <sz val="10"/>
      <name val="AcadNusx"/>
    </font>
    <font>
      <sz val="11"/>
      <name val="AcadNusx"/>
    </font>
    <font>
      <sz val="14"/>
      <name val="AcadNusx"/>
    </font>
    <font>
      <b/>
      <sz val="12"/>
      <name val="AcadNusx"/>
    </font>
    <font>
      <b/>
      <sz val="11"/>
      <name val="AcadNusx"/>
    </font>
    <font>
      <b/>
      <sz val="10"/>
      <name val="AcadNusx"/>
    </font>
    <font>
      <sz val="10"/>
      <name val="Arachveulebrivi Thin"/>
      <family val="2"/>
    </font>
    <font>
      <sz val="10"/>
      <name val="Arial"/>
      <family val="2"/>
    </font>
    <font>
      <vertAlign val="superscript"/>
      <sz val="10"/>
      <name val="AcadNusx"/>
    </font>
    <font>
      <u/>
      <sz val="10"/>
      <name val="AcadNusx"/>
    </font>
    <font>
      <b/>
      <sz val="11"/>
      <name val="Arachveulebrivi Thin"/>
      <family val="2"/>
    </font>
    <font>
      <b/>
      <sz val="10"/>
      <name val="Arachveulebrivi Thin"/>
      <family val="2"/>
    </font>
    <font>
      <u/>
      <sz val="10"/>
      <name val="Arachveulebrivi Thin"/>
      <family val="2"/>
    </font>
    <font>
      <sz val="11"/>
      <color theme="1"/>
      <name val="Calibri"/>
      <family val="2"/>
      <charset val="1"/>
      <scheme val="minor"/>
    </font>
    <font>
      <b/>
      <sz val="10"/>
      <color indexed="8"/>
      <name val="AcadNusx"/>
    </font>
    <font>
      <sz val="10"/>
      <color indexed="8"/>
      <name val="AcadNusx"/>
    </font>
    <font>
      <sz val="9"/>
      <name val="AcadNusx"/>
    </font>
    <font>
      <sz val="10"/>
      <name val="Times New Roman"/>
      <family val="1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cadNusx"/>
    </font>
    <font>
      <sz val="10"/>
      <name val="Arial Cyr"/>
      <charset val="204"/>
    </font>
    <font>
      <b/>
      <sz val="9"/>
      <name val="AcadMtav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3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 applyBorder="1" applyAlignment="1">
      <alignment wrapText="1"/>
    </xf>
    <xf numFmtId="2" fontId="4" fillId="0" borderId="0" xfId="0" applyNumberFormat="1" applyFont="1" applyBorder="1"/>
    <xf numFmtId="0" fontId="5" fillId="0" borderId="0" xfId="0" applyFo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5" fillId="0" borderId="0" xfId="0" applyNumberFormat="1" applyFont="1"/>
    <xf numFmtId="0" fontId="4" fillId="0" borderId="13" xfId="0" applyFont="1" applyBorder="1" applyAlignment="1">
      <alignment vertical="center"/>
    </xf>
    <xf numFmtId="2" fontId="6" fillId="0" borderId="13" xfId="0" applyNumberFormat="1" applyFont="1" applyBorder="1"/>
    <xf numFmtId="0" fontId="2" fillId="0" borderId="0" xfId="0" applyFont="1" applyAlignment="1">
      <alignment wrapText="1"/>
    </xf>
    <xf numFmtId="2" fontId="2" fillId="0" borderId="0" xfId="0" applyNumberFormat="1" applyFont="1"/>
    <xf numFmtId="0" fontId="9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5" xfId="1" applyNumberFormat="1" applyFont="1" applyBorder="1" applyAlignment="1">
      <alignment horizontal="center" vertical="center"/>
    </xf>
    <xf numFmtId="2" fontId="3" fillId="0" borderId="11" xfId="1" applyNumberFormat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2" fontId="3" fillId="0" borderId="12" xfId="1" applyNumberFormat="1" applyFont="1" applyBorder="1" applyAlignment="1">
      <alignment horizontal="center" vertical="center"/>
    </xf>
    <xf numFmtId="2" fontId="3" fillId="0" borderId="13" xfId="1" applyNumberFormat="1" applyFont="1" applyBorder="1" applyAlignment="1">
      <alignment horizontal="center" vertical="center"/>
    </xf>
    <xf numFmtId="2" fontId="3" fillId="0" borderId="15" xfId="1" applyNumberFormat="1" applyFont="1" applyBorder="1" applyAlignment="1">
      <alignment horizontal="center" vertical="center"/>
    </xf>
    <xf numFmtId="2" fontId="3" fillId="0" borderId="14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/>
    <xf numFmtId="2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5" xfId="1" applyNumberFormat="1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2" fontId="3" fillId="0" borderId="6" xfId="1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6" xfId="1" applyNumberFormat="1" applyFont="1" applyBorder="1" applyAlignment="1">
      <alignment horizontal="center" vertical="center"/>
    </xf>
    <xf numFmtId="2" fontId="3" fillId="0" borderId="0" xfId="1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65" fontId="3" fillId="0" borderId="5" xfId="1" applyNumberFormat="1" applyFont="1" applyBorder="1" applyAlignment="1">
      <alignment horizontal="center" vertical="center"/>
    </xf>
    <xf numFmtId="2" fontId="3" fillId="0" borderId="7" xfId="1" applyNumberFormat="1" applyFont="1" applyBorder="1" applyAlignment="1">
      <alignment horizontal="center" vertical="center"/>
    </xf>
    <xf numFmtId="165" fontId="3" fillId="0" borderId="7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/>
    </xf>
    <xf numFmtId="49" fontId="3" fillId="0" borderId="11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165" fontId="3" fillId="0" borderId="11" xfId="1" applyNumberFormat="1" applyFont="1" applyBorder="1" applyAlignment="1">
      <alignment horizontal="center" vertical="center"/>
    </xf>
    <xf numFmtId="2" fontId="3" fillId="0" borderId="10" xfId="1" applyNumberFormat="1" applyFont="1" applyBorder="1" applyAlignment="1">
      <alignment horizontal="center" vertical="center"/>
    </xf>
    <xf numFmtId="2" fontId="3" fillId="0" borderId="9" xfId="1" applyNumberFormat="1" applyFont="1" applyBorder="1" applyAlignment="1">
      <alignment horizontal="center" vertical="center"/>
    </xf>
    <xf numFmtId="2" fontId="3" fillId="0" borderId="8" xfId="1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5" xfId="2" applyFont="1" applyBorder="1" applyAlignment="1">
      <alignment horizontal="center"/>
    </xf>
    <xf numFmtId="9" fontId="3" fillId="0" borderId="5" xfId="3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wrapText="1"/>
    </xf>
    <xf numFmtId="2" fontId="3" fillId="0" borderId="5" xfId="2" applyNumberFormat="1" applyFont="1" applyBorder="1" applyAlignment="1">
      <alignment horizontal="center" vertical="center" wrapText="1"/>
    </xf>
    <xf numFmtId="165" fontId="3" fillId="0" borderId="5" xfId="2" applyNumberFormat="1" applyFont="1" applyBorder="1" applyAlignment="1">
      <alignment horizontal="center" wrapText="1"/>
    </xf>
    <xf numFmtId="2" fontId="3" fillId="0" borderId="5" xfId="2" applyNumberFormat="1" applyFont="1" applyBorder="1" applyAlignment="1">
      <alignment horizontal="center" wrapText="1"/>
    </xf>
    <xf numFmtId="0" fontId="3" fillId="0" borderId="5" xfId="2" applyFont="1" applyBorder="1" applyAlignment="1">
      <alignment horizontal="center" vertical="center"/>
    </xf>
    <xf numFmtId="2" fontId="3" fillId="0" borderId="5" xfId="2" applyNumberFormat="1" applyFont="1" applyBorder="1" applyAlignment="1">
      <alignment horizontal="center" vertical="center"/>
    </xf>
    <xf numFmtId="165" fontId="3" fillId="0" borderId="5" xfId="2" applyNumberFormat="1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/>
    </xf>
    <xf numFmtId="9" fontId="3" fillId="0" borderId="11" xfId="3" applyFont="1" applyBorder="1" applyAlignment="1">
      <alignment horizontal="center" vertical="center"/>
    </xf>
    <xf numFmtId="2" fontId="3" fillId="0" borderId="11" xfId="2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2" fontId="12" fillId="0" borderId="7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/>
    </xf>
    <xf numFmtId="49" fontId="3" fillId="0" borderId="5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2" fontId="12" fillId="0" borderId="15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2" fontId="9" fillId="0" borderId="0" xfId="0" applyNumberFormat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49" fontId="9" fillId="0" borderId="13" xfId="1" applyNumberFormat="1" applyFont="1" applyBorder="1" applyAlignment="1">
      <alignment horizontal="center" vertical="center" wrapText="1"/>
    </xf>
    <xf numFmtId="2" fontId="9" fillId="0" borderId="12" xfId="1" applyNumberFormat="1" applyFont="1" applyBorder="1" applyAlignment="1">
      <alignment horizontal="center" vertical="center"/>
    </xf>
    <xf numFmtId="2" fontId="9" fillId="0" borderId="13" xfId="1" applyNumberFormat="1" applyFont="1" applyBorder="1" applyAlignment="1">
      <alignment horizontal="center" vertical="center"/>
    </xf>
    <xf numFmtId="2" fontId="9" fillId="0" borderId="15" xfId="1" applyNumberFormat="1" applyFont="1" applyBorder="1" applyAlignment="1">
      <alignment horizontal="center" vertical="center"/>
    </xf>
    <xf numFmtId="2" fontId="9" fillId="0" borderId="14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165" fontId="15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 wrapText="1"/>
    </xf>
    <xf numFmtId="2" fontId="9" fillId="0" borderId="5" xfId="2" applyNumberFormat="1" applyFont="1" applyBorder="1" applyAlignment="1">
      <alignment horizontal="center" vertical="center" wrapText="1"/>
    </xf>
    <xf numFmtId="165" fontId="9" fillId="0" borderId="5" xfId="2" applyNumberFormat="1" applyFont="1" applyBorder="1" applyAlignment="1">
      <alignment horizontal="center" wrapText="1"/>
    </xf>
    <xf numFmtId="2" fontId="9" fillId="0" borderId="5" xfId="2" applyNumberFormat="1" applyFont="1" applyBorder="1" applyAlignment="1">
      <alignment horizontal="center" wrapText="1"/>
    </xf>
    <xf numFmtId="0" fontId="9" fillId="0" borderId="5" xfId="2" applyFont="1" applyBorder="1" applyAlignment="1">
      <alignment horizontal="center" vertical="center"/>
    </xf>
    <xf numFmtId="2" fontId="9" fillId="0" borderId="5" xfId="2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center"/>
    </xf>
    <xf numFmtId="165" fontId="9" fillId="0" borderId="5" xfId="2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/>
    </xf>
    <xf numFmtId="2" fontId="9" fillId="0" borderId="11" xfId="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2" fontId="4" fillId="0" borderId="13" xfId="0" applyNumberFormat="1" applyFont="1" applyBorder="1" applyAlignment="1">
      <alignment vertical="center"/>
    </xf>
    <xf numFmtId="0" fontId="18" fillId="0" borderId="0" xfId="0" applyFont="1" applyProtection="1"/>
    <xf numFmtId="0" fontId="3" fillId="2" borderId="0" xfId="4" applyNumberFormat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left"/>
    </xf>
    <xf numFmtId="9" fontId="3" fillId="0" borderId="0" xfId="6" applyFont="1" applyFill="1" applyProtection="1"/>
    <xf numFmtId="43" fontId="3" fillId="0" borderId="0" xfId="4" applyNumberFormat="1" applyFont="1" applyFill="1" applyBorder="1" applyAlignment="1" applyProtection="1">
      <alignment vertical="center"/>
    </xf>
    <xf numFmtId="43" fontId="3" fillId="0" borderId="0" xfId="4" applyNumberFormat="1" applyFont="1" applyFill="1" applyBorder="1" applyAlignment="1" applyProtection="1"/>
    <xf numFmtId="43" fontId="3" fillId="0" borderId="0" xfId="4" applyNumberFormat="1" applyFont="1" applyFill="1" applyAlignment="1" applyProtection="1"/>
    <xf numFmtId="0" fontId="3" fillId="0" borderId="0" xfId="2" applyFont="1" applyAlignment="1" applyProtection="1">
      <alignment horizontal="center"/>
    </xf>
    <xf numFmtId="0" fontId="3" fillId="0" borderId="3" xfId="1" applyFont="1" applyFill="1" applyBorder="1" applyAlignment="1" applyProtection="1">
      <alignment horizontal="left" vertical="center" wrapText="1"/>
    </xf>
    <xf numFmtId="43" fontId="3" fillId="0" borderId="4" xfId="4" applyNumberFormat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 vertical="center" wrapText="1"/>
    </xf>
    <xf numFmtId="43" fontId="3" fillId="0" borderId="10" xfId="4" applyNumberFormat="1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center" vertical="center" wrapText="1"/>
    </xf>
    <xf numFmtId="43" fontId="3" fillId="0" borderId="5" xfId="4" applyNumberFormat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left" wrapText="1"/>
    </xf>
    <xf numFmtId="43" fontId="3" fillId="0" borderId="11" xfId="4" applyNumberFormat="1" applyFont="1" applyFill="1" applyBorder="1" applyAlignment="1" applyProtection="1">
      <alignment horizontal="center"/>
    </xf>
    <xf numFmtId="0" fontId="3" fillId="2" borderId="5" xfId="7" applyFont="1" applyFill="1" applyBorder="1" applyAlignment="1" applyProtection="1">
      <alignment horizontal="center" vertical="center" wrapText="1"/>
    </xf>
    <xf numFmtId="0" fontId="3" fillId="0" borderId="5" xfId="7" applyFont="1" applyFill="1" applyBorder="1" applyAlignment="1" applyProtection="1">
      <alignment horizontal="center" vertical="top" wrapText="1"/>
    </xf>
    <xf numFmtId="0" fontId="19" fillId="0" borderId="5" xfId="0" applyFont="1" applyFill="1" applyBorder="1" applyAlignment="1" applyProtection="1">
      <alignment horizontal="center" vertical="top" wrapText="1"/>
    </xf>
    <xf numFmtId="167" fontId="19" fillId="0" borderId="5" xfId="4" applyNumberFormat="1" applyFont="1" applyFill="1" applyBorder="1" applyAlignment="1" applyProtection="1">
      <alignment vertical="center" wrapText="1"/>
    </xf>
    <xf numFmtId="0" fontId="20" fillId="0" borderId="0" xfId="7" applyFont="1" applyProtection="1"/>
    <xf numFmtId="0" fontId="3" fillId="2" borderId="13" xfId="7" applyFont="1" applyFill="1" applyBorder="1" applyAlignment="1" applyProtection="1">
      <alignment horizontal="center" vertical="center" wrapText="1"/>
    </xf>
    <xf numFmtId="0" fontId="3" fillId="0" borderId="13" xfId="7" applyFont="1" applyFill="1" applyBorder="1" applyAlignment="1" applyProtection="1">
      <alignment horizontal="left" vertical="top" wrapText="1"/>
    </xf>
    <xf numFmtId="0" fontId="19" fillId="0" borderId="13" xfId="7" applyFont="1" applyFill="1" applyBorder="1" applyAlignment="1" applyProtection="1">
      <alignment horizontal="center" vertical="center" wrapText="1"/>
    </xf>
    <xf numFmtId="43" fontId="19" fillId="0" borderId="13" xfId="4" applyNumberFormat="1" applyFont="1" applyFill="1" applyBorder="1" applyAlignment="1" applyProtection="1">
      <alignment vertical="center" wrapText="1"/>
    </xf>
    <xf numFmtId="0" fontId="3" fillId="0" borderId="13" xfId="7" applyFont="1" applyFill="1" applyBorder="1" applyAlignment="1" applyProtection="1">
      <alignment vertical="top" wrapText="1"/>
    </xf>
    <xf numFmtId="43" fontId="19" fillId="0" borderId="13" xfId="4" applyNumberFormat="1" applyFont="1" applyFill="1" applyBorder="1" applyAlignment="1" applyProtection="1">
      <alignment horizontal="center" vertical="center" wrapText="1"/>
    </xf>
    <xf numFmtId="0" fontId="3" fillId="0" borderId="0" xfId="7" applyFont="1" applyProtection="1"/>
    <xf numFmtId="0" fontId="19" fillId="0" borderId="13" xfId="0" applyFont="1" applyFill="1" applyBorder="1" applyAlignment="1" applyProtection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top" wrapText="1"/>
    </xf>
    <xf numFmtId="43" fontId="19" fillId="0" borderId="13" xfId="4" applyNumberFormat="1" applyFont="1" applyFill="1" applyBorder="1" applyAlignment="1">
      <alignment horizontal="center" vertical="center" wrapText="1"/>
    </xf>
    <xf numFmtId="43" fontId="19" fillId="0" borderId="13" xfId="4" applyNumberFormat="1" applyFont="1" applyFill="1" applyBorder="1" applyAlignment="1">
      <alignment horizontal="center" vertical="top" wrapText="1"/>
    </xf>
    <xf numFmtId="43" fontId="19" fillId="0" borderId="13" xfId="4" applyNumberFormat="1" applyFont="1" applyFill="1" applyBorder="1" applyAlignment="1">
      <alignment vertical="top" wrapText="1"/>
    </xf>
    <xf numFmtId="2" fontId="19" fillId="0" borderId="13" xfId="0" applyNumberFormat="1" applyFont="1" applyBorder="1" applyAlignment="1">
      <alignment horizontal="center" vertical="top" wrapText="1"/>
    </xf>
    <xf numFmtId="43" fontId="23" fillId="0" borderId="13" xfId="4" applyNumberFormat="1" applyFont="1" applyFill="1" applyBorder="1" applyAlignment="1">
      <alignment horizontal="center" vertical="top" wrapText="1"/>
    </xf>
    <xf numFmtId="0" fontId="24" fillId="0" borderId="0" xfId="0" applyFont="1" applyBorder="1"/>
    <xf numFmtId="0" fontId="3" fillId="2" borderId="13" xfId="7" applyFont="1" applyFill="1" applyBorder="1" applyAlignment="1" applyProtection="1">
      <alignment horizontal="center" vertical="center"/>
    </xf>
    <xf numFmtId="10" fontId="25" fillId="0" borderId="13" xfId="5" applyNumberFormat="1" applyFont="1" applyFill="1" applyBorder="1" applyAlignment="1" applyProtection="1">
      <alignment horizontal="center" vertical="center"/>
    </xf>
    <xf numFmtId="43" fontId="23" fillId="0" borderId="13" xfId="4" applyNumberFormat="1" applyFont="1" applyFill="1" applyBorder="1" applyAlignment="1" applyProtection="1">
      <alignment vertical="center"/>
    </xf>
    <xf numFmtId="9" fontId="25" fillId="0" borderId="13" xfId="5" applyFont="1" applyFill="1" applyBorder="1" applyAlignment="1" applyProtection="1">
      <alignment horizontal="center" vertical="center"/>
    </xf>
    <xf numFmtId="0" fontId="23" fillId="0" borderId="13" xfId="2" applyFont="1" applyFill="1" applyBorder="1" applyAlignment="1" applyProtection="1">
      <alignment horizontal="center"/>
    </xf>
    <xf numFmtId="0" fontId="3" fillId="2" borderId="0" xfId="2" applyFont="1" applyFill="1" applyAlignment="1" applyProtection="1">
      <alignment horizontal="center" vertical="center"/>
    </xf>
    <xf numFmtId="43" fontId="3" fillId="0" borderId="0" xfId="4" applyNumberFormat="1" applyFont="1" applyAlignment="1" applyProtection="1"/>
    <xf numFmtId="0" fontId="8" fillId="0" borderId="13" xfId="0" applyFont="1" applyFill="1" applyBorder="1" applyAlignment="1">
      <alignment horizontal="right" vertical="top" wrapText="1"/>
    </xf>
    <xf numFmtId="0" fontId="8" fillId="0" borderId="13" xfId="2" applyFont="1" applyFill="1" applyBorder="1" applyAlignment="1" applyProtection="1">
      <alignment horizontal="right"/>
    </xf>
    <xf numFmtId="0" fontId="8" fillId="0" borderId="13" xfId="2" applyFont="1" applyFill="1" applyBorder="1" applyAlignment="1" applyProtection="1">
      <alignment horizontal="righ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0" fontId="8" fillId="0" borderId="0" xfId="7" applyFont="1" applyFill="1" applyBorder="1" applyAlignment="1" applyProtection="1">
      <alignment horizontal="left" vertical="center" wrapText="1"/>
    </xf>
    <xf numFmtId="43" fontId="3" fillId="0" borderId="8" xfId="4" applyNumberFormat="1" applyFont="1" applyFill="1" applyBorder="1" applyAlignment="1" applyProtection="1">
      <alignment horizontal="center"/>
    </xf>
    <xf numFmtId="43" fontId="3" fillId="0" borderId="10" xfId="4" applyNumberFormat="1" applyFont="1" applyFill="1" applyBorder="1" applyAlignment="1" applyProtection="1">
      <alignment horizontal="center"/>
    </xf>
    <xf numFmtId="43" fontId="3" fillId="0" borderId="1" xfId="4" applyNumberFormat="1" applyFont="1" applyFill="1" applyBorder="1" applyAlignment="1" applyProtection="1">
      <alignment horizontal="center" vertical="center"/>
    </xf>
    <xf numFmtId="43" fontId="3" fillId="0" borderId="11" xfId="4" applyNumberFormat="1" applyFont="1" applyFill="1" applyBorder="1" applyAlignment="1" applyProtection="1">
      <alignment horizontal="center" vertical="center"/>
    </xf>
    <xf numFmtId="0" fontId="17" fillId="0" borderId="0" xfId="4" applyNumberFormat="1" applyFont="1" applyFill="1" applyBorder="1" applyAlignment="1" applyProtection="1">
      <alignment horizontal="center" vertical="center" wrapText="1"/>
    </xf>
    <xf numFmtId="43" fontId="3" fillId="0" borderId="9" xfId="4" applyNumberFormat="1" applyFont="1" applyFill="1" applyBorder="1" applyAlignment="1" applyProtection="1">
      <alignment horizontal="right"/>
    </xf>
    <xf numFmtId="0" fontId="3" fillId="2" borderId="1" xfId="1" applyNumberFormat="1" applyFont="1" applyFill="1" applyBorder="1" applyAlignment="1" applyProtection="1">
      <alignment horizontal="center" vertical="center"/>
    </xf>
    <xf numFmtId="0" fontId="3" fillId="2" borderId="5" xfId="1" applyNumberFormat="1" applyFont="1" applyFill="1" applyBorder="1" applyAlignment="1" applyProtection="1">
      <alignment horizontal="center" vertical="center"/>
    </xf>
    <xf numFmtId="0" fontId="3" fillId="2" borderId="11" xfId="1" applyNumberFormat="1" applyFont="1" applyFill="1" applyBorder="1" applyAlignment="1" applyProtection="1">
      <alignment horizontal="center" vertical="center"/>
    </xf>
    <xf numFmtId="9" fontId="3" fillId="0" borderId="1" xfId="6" applyFont="1" applyFill="1" applyBorder="1" applyAlignment="1" applyProtection="1">
      <alignment horizontal="center" vertical="center"/>
    </xf>
    <xf numFmtId="9" fontId="3" fillId="0" borderId="5" xfId="6" applyFont="1" applyFill="1" applyBorder="1" applyAlignment="1" applyProtection="1">
      <alignment horizontal="center" vertical="center"/>
    </xf>
    <xf numFmtId="9" fontId="3" fillId="0" borderId="11" xfId="6" applyFont="1" applyFill="1" applyBorder="1" applyAlignment="1" applyProtection="1">
      <alignment horizontal="center" vertical="center"/>
    </xf>
    <xf numFmtId="43" fontId="3" fillId="0" borderId="2" xfId="4" applyNumberFormat="1" applyFont="1" applyFill="1" applyBorder="1" applyAlignment="1" applyProtection="1">
      <alignment horizontal="center" vertical="center"/>
    </xf>
    <xf numFmtId="43" fontId="3" fillId="0" borderId="4" xfId="4" applyNumberFormat="1" applyFont="1" applyFill="1" applyBorder="1" applyAlignment="1" applyProtection="1">
      <alignment horizontal="center" vertical="center"/>
    </xf>
    <xf numFmtId="43" fontId="3" fillId="0" borderId="8" xfId="4" applyNumberFormat="1" applyFont="1" applyFill="1" applyBorder="1" applyAlignment="1" applyProtection="1">
      <alignment horizontal="center" vertical="center"/>
    </xf>
    <xf numFmtId="43" fontId="3" fillId="0" borderId="10" xfId="4" applyNumberFormat="1" applyFont="1" applyFill="1" applyBorder="1" applyAlignment="1" applyProtection="1">
      <alignment horizontal="center" vertical="center"/>
    </xf>
    <xf numFmtId="43" fontId="3" fillId="0" borderId="2" xfId="4" applyNumberFormat="1" applyFont="1" applyFill="1" applyBorder="1" applyAlignment="1" applyProtection="1">
      <alignment horizontal="center"/>
    </xf>
    <xf numFmtId="43" fontId="3" fillId="0" borderId="4" xfId="4" applyNumberFormat="1" applyFont="1" applyFill="1" applyBorder="1" applyAlignment="1" applyProtection="1">
      <alignment horizontal="center"/>
    </xf>
    <xf numFmtId="43" fontId="3" fillId="0" borderId="5" xfId="4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/>
    <xf numFmtId="0" fontId="4" fillId="0" borderId="15" xfId="0" applyFont="1" applyBorder="1"/>
    <xf numFmtId="2" fontId="4" fillId="0" borderId="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4" xfId="1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8" xfId="1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3" fillId="0" borderId="1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49" fontId="3" fillId="0" borderId="11" xfId="1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3" xfId="1" applyNumberFormat="1" applyFont="1" applyBorder="1" applyAlignment="1">
      <alignment horizontal="center" vertical="center"/>
    </xf>
    <xf numFmtId="2" fontId="3" fillId="0" borderId="9" xfId="1" applyNumberFormat="1" applyFont="1" applyBorder="1" applyAlignment="1">
      <alignment horizontal="center" vertical="center"/>
    </xf>
    <xf numFmtId="2" fontId="3" fillId="0" borderId="10" xfId="1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</cellXfs>
  <cellStyles count="8">
    <cellStyle name="Comma" xfId="4" builtinId="3"/>
    <cellStyle name="Normal" xfId="0" builtinId="0"/>
    <cellStyle name="Normal 10" xfId="2"/>
    <cellStyle name="Normal 3 2" xfId="7"/>
    <cellStyle name="Normal_gare wyalsadfenigagarini 2_SMSH2008-IIkv ." xfId="1"/>
    <cellStyle name="Percent" xfId="5" builtinId="5"/>
    <cellStyle name="Percent 2" xfId="3"/>
    <cellStyle name="Percent 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H12" sqref="H12"/>
    </sheetView>
  </sheetViews>
  <sheetFormatPr defaultRowHeight="18"/>
  <cols>
    <col min="1" max="1" width="9.140625" style="2"/>
    <col min="2" max="2" width="61" style="18" customWidth="1"/>
    <col min="3" max="3" width="27.28515625" style="2" customWidth="1"/>
    <col min="4" max="16384" width="9.140625" style="2"/>
  </cols>
  <sheetData>
    <row r="1" spans="1:4" ht="18.75">
      <c r="A1" s="120"/>
      <c r="B1" s="120"/>
      <c r="C1" s="120"/>
    </row>
    <row r="2" spans="1:4" ht="57.75" customHeight="1">
      <c r="A2" s="220" t="s">
        <v>185</v>
      </c>
      <c r="B2" s="220"/>
      <c r="C2" s="220"/>
      <c r="D2" s="3"/>
    </row>
    <row r="3" spans="1:4" ht="21">
      <c r="A3" s="4"/>
      <c r="B3" s="5"/>
      <c r="C3" s="4"/>
      <c r="D3" s="7"/>
    </row>
    <row r="4" spans="1:4" ht="15" customHeight="1">
      <c r="A4" s="221" t="s">
        <v>0</v>
      </c>
      <c r="B4" s="224" t="s">
        <v>153</v>
      </c>
      <c r="C4" s="227" t="s">
        <v>154</v>
      </c>
      <c r="D4" s="7"/>
    </row>
    <row r="5" spans="1:4" ht="15" customHeight="1">
      <c r="A5" s="222"/>
      <c r="B5" s="225"/>
      <c r="C5" s="228"/>
      <c r="D5" s="7"/>
    </row>
    <row r="6" spans="1:4" ht="15" customHeight="1">
      <c r="A6" s="222"/>
      <c r="B6" s="225"/>
      <c r="C6" s="228"/>
      <c r="D6" s="7"/>
    </row>
    <row r="7" spans="1:4" ht="15" customHeight="1">
      <c r="A7" s="222"/>
      <c r="B7" s="225"/>
      <c r="C7" s="228"/>
      <c r="D7" s="7"/>
    </row>
    <row r="8" spans="1:4" ht="15" customHeight="1">
      <c r="A8" s="222"/>
      <c r="B8" s="225"/>
      <c r="C8" s="228"/>
      <c r="D8" s="7"/>
    </row>
    <row r="9" spans="1:4" ht="15" customHeight="1">
      <c r="A9" s="222"/>
      <c r="B9" s="225"/>
      <c r="C9" s="228"/>
      <c r="D9" s="7"/>
    </row>
    <row r="10" spans="1:4" ht="15" customHeight="1">
      <c r="A10" s="223"/>
      <c r="B10" s="226"/>
      <c r="C10" s="229"/>
      <c r="D10" s="7"/>
    </row>
    <row r="11" spans="1:4" ht="21">
      <c r="A11" s="166">
        <v>1</v>
      </c>
      <c r="B11" s="166">
        <v>2</v>
      </c>
      <c r="C11" s="9">
        <v>3</v>
      </c>
      <c r="D11" s="7"/>
    </row>
    <row r="12" spans="1:4" ht="47.25">
      <c r="A12" s="167">
        <v>1</v>
      </c>
      <c r="B12" s="168" t="s">
        <v>187</v>
      </c>
      <c r="C12" s="14"/>
      <c r="D12" s="7"/>
    </row>
    <row r="13" spans="1:4" ht="47.25">
      <c r="A13" s="167">
        <v>2</v>
      </c>
      <c r="B13" s="168" t="s">
        <v>186</v>
      </c>
      <c r="C13" s="14"/>
      <c r="D13" s="7"/>
    </row>
    <row r="14" spans="1:4" ht="33" customHeight="1">
      <c r="A14" s="169"/>
      <c r="B14" s="169" t="s">
        <v>32</v>
      </c>
      <c r="C14" s="170">
        <f>SUM(C12:C13)</f>
        <v>0</v>
      </c>
      <c r="D14" s="7"/>
    </row>
    <row r="15" spans="1:4">
      <c r="A15" s="121"/>
      <c r="B15" s="123"/>
      <c r="C15" s="125"/>
    </row>
    <row r="16" spans="1:4">
      <c r="A16" s="230"/>
      <c r="B16" s="230"/>
      <c r="C16" s="230"/>
    </row>
    <row r="17" spans="1:4">
      <c r="A17" s="219"/>
      <c r="B17" s="219"/>
      <c r="C17" s="219"/>
    </row>
    <row r="18" spans="1:4">
      <c r="A18" s="218"/>
      <c r="B18" s="218"/>
      <c r="C18" s="218"/>
    </row>
    <row r="19" spans="1:4">
      <c r="A19" s="219"/>
      <c r="B19" s="219"/>
      <c r="C19" s="219"/>
    </row>
    <row r="20" spans="1:4">
      <c r="A20" s="218"/>
      <c r="B20" s="218"/>
      <c r="C20" s="218"/>
      <c r="D20" s="19"/>
    </row>
    <row r="21" spans="1:4">
      <c r="A21" s="126"/>
      <c r="B21" s="127"/>
      <c r="C21" s="129"/>
    </row>
    <row r="22" spans="1:4">
      <c r="A22" s="219"/>
      <c r="B22" s="219"/>
      <c r="C22" s="219"/>
    </row>
    <row r="23" spans="1:4">
      <c r="A23" s="130"/>
      <c r="B23" s="131"/>
      <c r="C23" s="132"/>
    </row>
    <row r="24" spans="1:4">
      <c r="A24" s="130"/>
      <c r="B24" s="131"/>
      <c r="C24" s="132"/>
    </row>
    <row r="25" spans="1:4">
      <c r="A25" s="130"/>
      <c r="B25" s="131"/>
      <c r="C25" s="130"/>
    </row>
    <row r="26" spans="1:4">
      <c r="A26" s="130"/>
      <c r="B26" s="131"/>
      <c r="C26" s="130"/>
    </row>
    <row r="27" spans="1:4">
      <c r="A27" s="130"/>
      <c r="B27" s="131"/>
      <c r="C27" s="130"/>
    </row>
  </sheetData>
  <mergeCells count="10">
    <mergeCell ref="A18:C18"/>
    <mergeCell ref="A19:C19"/>
    <mergeCell ref="A20:C20"/>
    <mergeCell ref="A22:C22"/>
    <mergeCell ref="A2:C2"/>
    <mergeCell ref="A4:A10"/>
    <mergeCell ref="B4:B10"/>
    <mergeCell ref="C4:C10"/>
    <mergeCell ref="A16:C16"/>
    <mergeCell ref="A17:C1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60" zoomScaleNormal="100" workbookViewId="0">
      <selection sqref="A1:M1"/>
    </sheetView>
  </sheetViews>
  <sheetFormatPr defaultRowHeight="12.75"/>
  <cols>
    <col min="1" max="1" width="3.7109375" style="104" customWidth="1"/>
    <col min="2" max="2" width="6.42578125" style="105" customWidth="1"/>
    <col min="3" max="3" width="38" style="105" customWidth="1"/>
    <col min="4" max="4" width="8.85546875" style="106" customWidth="1"/>
    <col min="5" max="5" width="7.28515625" style="106" customWidth="1"/>
    <col min="6" max="6" width="7.5703125" style="106" customWidth="1"/>
    <col min="7" max="7" width="6.42578125" style="106" customWidth="1"/>
    <col min="8" max="8" width="7.42578125" style="106" customWidth="1"/>
    <col min="9" max="10" width="6.7109375" style="106" customWidth="1"/>
    <col min="11" max="11" width="6.42578125" style="106" customWidth="1"/>
    <col min="12" max="12" width="7.7109375" style="106" customWidth="1"/>
    <col min="13" max="13" width="7.85546875" style="106" customWidth="1"/>
    <col min="14" max="16384" width="9.140625" style="20"/>
  </cols>
  <sheetData>
    <row r="1" spans="1:13" ht="13.5">
      <c r="A1" s="316" t="s">
        <v>133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3" ht="13.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3.5">
      <c r="A3" s="317" t="s">
        <v>12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13.5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3" ht="13.5" customHeight="1">
      <c r="A5" s="21"/>
      <c r="B5" s="299"/>
      <c r="C5" s="299"/>
      <c r="D5" s="319"/>
      <c r="E5" s="22"/>
      <c r="F5" s="300"/>
      <c r="G5" s="300"/>
      <c r="H5" s="300"/>
      <c r="I5" s="300"/>
      <c r="J5" s="22"/>
      <c r="K5" s="22"/>
      <c r="L5" s="22"/>
      <c r="M5" s="22"/>
    </row>
    <row r="6" spans="1:13" ht="13.5" customHeight="1">
      <c r="A6" s="21"/>
      <c r="B6" s="299"/>
      <c r="C6" s="299"/>
      <c r="D6" s="22"/>
      <c r="E6" s="22"/>
      <c r="F6" s="300"/>
      <c r="G6" s="300"/>
      <c r="H6" s="300"/>
      <c r="I6" s="300"/>
      <c r="J6" s="22"/>
      <c r="K6" s="22"/>
      <c r="L6" s="22"/>
      <c r="M6" s="22"/>
    </row>
    <row r="7" spans="1:13" ht="13.5">
      <c r="A7" s="21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3.5" customHeight="1">
      <c r="A8" s="301" t="s">
        <v>35</v>
      </c>
      <c r="B8" s="304" t="s">
        <v>36</v>
      </c>
      <c r="C8" s="307" t="s">
        <v>37</v>
      </c>
      <c r="D8" s="289" t="s">
        <v>38</v>
      </c>
      <c r="E8" s="310"/>
      <c r="F8" s="291"/>
      <c r="G8" s="289" t="s">
        <v>39</v>
      </c>
      <c r="H8" s="290"/>
      <c r="I8" s="289" t="s">
        <v>40</v>
      </c>
      <c r="J8" s="314"/>
      <c r="K8" s="289" t="s">
        <v>41</v>
      </c>
      <c r="L8" s="290"/>
      <c r="M8" s="291" t="s">
        <v>42</v>
      </c>
    </row>
    <row r="9" spans="1:13" ht="13.5">
      <c r="A9" s="302"/>
      <c r="B9" s="305"/>
      <c r="C9" s="308"/>
      <c r="D9" s="295"/>
      <c r="E9" s="311"/>
      <c r="F9" s="312"/>
      <c r="G9" s="313"/>
      <c r="H9" s="296"/>
      <c r="I9" s="313"/>
      <c r="J9" s="315"/>
      <c r="K9" s="295" t="s">
        <v>43</v>
      </c>
      <c r="L9" s="296"/>
      <c r="M9" s="292"/>
    </row>
    <row r="10" spans="1:13" ht="13.5">
      <c r="A10" s="302"/>
      <c r="B10" s="305"/>
      <c r="C10" s="308"/>
      <c r="D10" s="297" t="s">
        <v>44</v>
      </c>
      <c r="E10" s="297" t="s">
        <v>45</v>
      </c>
      <c r="F10" s="297" t="s">
        <v>30</v>
      </c>
      <c r="G10" s="23" t="s">
        <v>45</v>
      </c>
      <c r="H10" s="297" t="s">
        <v>30</v>
      </c>
      <c r="I10" s="23" t="s">
        <v>45</v>
      </c>
      <c r="J10" s="297" t="s">
        <v>30</v>
      </c>
      <c r="K10" s="23" t="s">
        <v>45</v>
      </c>
      <c r="L10" s="297" t="s">
        <v>30</v>
      </c>
      <c r="M10" s="293"/>
    </row>
    <row r="11" spans="1:13" ht="13.5">
      <c r="A11" s="303"/>
      <c r="B11" s="306"/>
      <c r="C11" s="309"/>
      <c r="D11" s="298"/>
      <c r="E11" s="298"/>
      <c r="F11" s="298"/>
      <c r="G11" s="24" t="s">
        <v>46</v>
      </c>
      <c r="H11" s="298"/>
      <c r="I11" s="24" t="s">
        <v>46</v>
      </c>
      <c r="J11" s="298"/>
      <c r="K11" s="24" t="s">
        <v>46</v>
      </c>
      <c r="L11" s="298"/>
      <c r="M11" s="294"/>
    </row>
    <row r="12" spans="1:13" ht="13.5">
      <c r="A12" s="107" t="s">
        <v>47</v>
      </c>
      <c r="B12" s="26" t="s">
        <v>48</v>
      </c>
      <c r="C12" s="27" t="s">
        <v>49</v>
      </c>
      <c r="D12" s="28" t="s">
        <v>50</v>
      </c>
      <c r="E12" s="29" t="s">
        <v>51</v>
      </c>
      <c r="F12" s="30" t="s">
        <v>52</v>
      </c>
      <c r="G12" s="31" t="s">
        <v>53</v>
      </c>
      <c r="H12" s="28" t="s">
        <v>54</v>
      </c>
      <c r="I12" s="29" t="s">
        <v>55</v>
      </c>
      <c r="J12" s="31" t="s">
        <v>56</v>
      </c>
      <c r="K12" s="29" t="s">
        <v>57</v>
      </c>
      <c r="L12" s="28" t="s">
        <v>58</v>
      </c>
      <c r="M12" s="29" t="s">
        <v>59</v>
      </c>
    </row>
    <row r="13" spans="1:13" ht="27">
      <c r="A13" s="109">
        <v>1</v>
      </c>
      <c r="B13" s="69" t="s">
        <v>134</v>
      </c>
      <c r="C13" s="110" t="s">
        <v>135</v>
      </c>
      <c r="D13" s="62" t="s">
        <v>125</v>
      </c>
      <c r="E13" s="23"/>
      <c r="F13" s="111">
        <v>3395</v>
      </c>
      <c r="G13" s="63"/>
      <c r="H13" s="62"/>
      <c r="I13" s="23"/>
      <c r="J13" s="63"/>
      <c r="K13" s="23"/>
      <c r="L13" s="62"/>
      <c r="M13" s="23"/>
    </row>
    <row r="14" spans="1:13" ht="13.5">
      <c r="A14" s="70"/>
      <c r="B14" s="33"/>
      <c r="C14" s="112" t="s">
        <v>136</v>
      </c>
      <c r="D14" s="35" t="s">
        <v>66</v>
      </c>
      <c r="E14" s="113">
        <f>0.9/1000</f>
        <v>8.9999999999999998E-4</v>
      </c>
      <c r="F14" s="23">
        <f>E14*F13</f>
        <v>3.0554999999999999</v>
      </c>
      <c r="G14" s="23"/>
      <c r="H14" s="23"/>
      <c r="I14" s="23"/>
      <c r="J14" s="23"/>
      <c r="K14" s="35"/>
      <c r="L14" s="23">
        <f>F14*K14</f>
        <v>0</v>
      </c>
      <c r="M14" s="23">
        <f>L14</f>
        <v>0</v>
      </c>
    </row>
    <row r="15" spans="1:13" ht="27">
      <c r="A15" s="70"/>
      <c r="B15" s="69"/>
      <c r="C15" s="38" t="s">
        <v>67</v>
      </c>
      <c r="D15" s="35" t="s">
        <v>64</v>
      </c>
      <c r="E15" s="113"/>
      <c r="F15" s="23">
        <f>F14</f>
        <v>3.0554999999999999</v>
      </c>
      <c r="G15" s="23"/>
      <c r="H15" s="23">
        <f>F15*G15</f>
        <v>0</v>
      </c>
      <c r="I15" s="23"/>
      <c r="J15" s="23"/>
      <c r="K15" s="23"/>
      <c r="L15" s="23"/>
      <c r="M15" s="23">
        <f>H15</f>
        <v>0</v>
      </c>
    </row>
    <row r="16" spans="1:13" ht="13.5">
      <c r="A16" s="70"/>
      <c r="B16" s="33"/>
      <c r="C16" s="38" t="s">
        <v>137</v>
      </c>
      <c r="D16" s="35" t="s">
        <v>66</v>
      </c>
      <c r="E16" s="45">
        <f>0.45/1000</f>
        <v>4.4999999999999999E-4</v>
      </c>
      <c r="F16" s="35">
        <f>E16*F13</f>
        <v>1.5277499999999999</v>
      </c>
      <c r="G16" s="35"/>
      <c r="H16" s="35"/>
      <c r="I16" s="35"/>
      <c r="J16" s="35"/>
      <c r="K16" s="35"/>
      <c r="L16" s="35">
        <f>F16*K16</f>
        <v>0</v>
      </c>
      <c r="M16" s="35">
        <f>L16</f>
        <v>0</v>
      </c>
    </row>
    <row r="17" spans="1:13" ht="27">
      <c r="A17" s="75"/>
      <c r="B17" s="76"/>
      <c r="C17" s="47" t="s">
        <v>67</v>
      </c>
      <c r="D17" s="48" t="s">
        <v>64</v>
      </c>
      <c r="E17" s="48"/>
      <c r="F17" s="48">
        <f>F16</f>
        <v>1.5277499999999999</v>
      </c>
      <c r="G17" s="48"/>
      <c r="H17" s="48">
        <f>F17*G17</f>
        <v>0</v>
      </c>
      <c r="I17" s="48"/>
      <c r="J17" s="48"/>
      <c r="K17" s="50"/>
      <c r="L17" s="48"/>
      <c r="M17" s="48">
        <f>H17</f>
        <v>0</v>
      </c>
    </row>
    <row r="18" spans="1:13" ht="54">
      <c r="A18" s="109">
        <v>2</v>
      </c>
      <c r="B18" s="33" t="s">
        <v>60</v>
      </c>
      <c r="C18" s="112" t="s">
        <v>138</v>
      </c>
      <c r="D18" s="34" t="s">
        <v>62</v>
      </c>
      <c r="E18" s="23"/>
      <c r="F18" s="111">
        <v>1358</v>
      </c>
      <c r="G18" s="63"/>
      <c r="H18" s="62"/>
      <c r="I18" s="23"/>
      <c r="J18" s="63"/>
      <c r="K18" s="23"/>
      <c r="L18" s="62"/>
      <c r="M18" s="23"/>
    </row>
    <row r="19" spans="1:13" ht="13.5">
      <c r="A19" s="33"/>
      <c r="B19" s="33"/>
      <c r="C19" s="38" t="s">
        <v>63</v>
      </c>
      <c r="D19" s="35" t="s">
        <v>64</v>
      </c>
      <c r="E19" s="35">
        <f>20/1000</f>
        <v>0.02</v>
      </c>
      <c r="F19" s="35">
        <f>E19*F18</f>
        <v>27.16</v>
      </c>
      <c r="G19" s="39"/>
      <c r="H19" s="39">
        <f>F19*G19</f>
        <v>0</v>
      </c>
      <c r="I19" s="40"/>
      <c r="J19" s="40"/>
      <c r="K19" s="40"/>
      <c r="L19" s="40"/>
      <c r="M19" s="40">
        <f>H19</f>
        <v>0</v>
      </c>
    </row>
    <row r="20" spans="1:13" ht="13.5">
      <c r="A20" s="33"/>
      <c r="B20" s="33"/>
      <c r="C20" s="38" t="s">
        <v>65</v>
      </c>
      <c r="D20" s="35" t="s">
        <v>66</v>
      </c>
      <c r="E20" s="35">
        <f>44.8/1000</f>
        <v>4.48E-2</v>
      </c>
      <c r="F20" s="35">
        <f>E20*F18</f>
        <v>60.8384</v>
      </c>
      <c r="G20" s="39"/>
      <c r="H20" s="39"/>
      <c r="I20" s="40"/>
      <c r="J20" s="41"/>
      <c r="K20" s="35"/>
      <c r="L20" s="42">
        <f>F20*K20</f>
        <v>0</v>
      </c>
      <c r="M20" s="40">
        <f>L20</f>
        <v>0</v>
      </c>
    </row>
    <row r="21" spans="1:13" ht="27">
      <c r="A21" s="33"/>
      <c r="B21" s="33"/>
      <c r="C21" s="38" t="s">
        <v>67</v>
      </c>
      <c r="D21" s="35" t="s">
        <v>64</v>
      </c>
      <c r="E21" s="35"/>
      <c r="F21" s="43">
        <f>F20</f>
        <v>60.8384</v>
      </c>
      <c r="G21" s="39"/>
      <c r="H21" s="39">
        <f>F21*G21</f>
        <v>0</v>
      </c>
      <c r="I21" s="40"/>
      <c r="J21" s="41"/>
      <c r="K21" s="40"/>
      <c r="L21" s="42"/>
      <c r="M21" s="40">
        <f>H21</f>
        <v>0</v>
      </c>
    </row>
    <row r="22" spans="1:13" ht="13.5">
      <c r="A22" s="33"/>
      <c r="B22" s="33"/>
      <c r="C22" s="38" t="s">
        <v>68</v>
      </c>
      <c r="D22" s="35" t="s">
        <v>69</v>
      </c>
      <c r="E22" s="44">
        <f>2.1/1000</f>
        <v>2.1000000000000003E-3</v>
      </c>
      <c r="F22" s="43">
        <f>E22*F18</f>
        <v>2.8518000000000003</v>
      </c>
      <c r="G22" s="35"/>
      <c r="H22" s="35"/>
      <c r="I22" s="35"/>
      <c r="J22" s="35"/>
      <c r="K22" s="35"/>
      <c r="L22" s="35">
        <f>F22*K22</f>
        <v>0</v>
      </c>
      <c r="M22" s="35">
        <f>L22</f>
        <v>0</v>
      </c>
    </row>
    <row r="23" spans="1:13" ht="15.75">
      <c r="A23" s="46"/>
      <c r="B23" s="46"/>
      <c r="C23" s="47" t="s">
        <v>70</v>
      </c>
      <c r="D23" s="48" t="s">
        <v>62</v>
      </c>
      <c r="E23" s="49">
        <f>0.09/1000</f>
        <v>8.9999999999999992E-5</v>
      </c>
      <c r="F23" s="48">
        <f>E23*F18</f>
        <v>0.12222</v>
      </c>
      <c r="G23" s="48"/>
      <c r="H23" s="48"/>
      <c r="I23" s="48"/>
      <c r="J23" s="48">
        <f>F23*I23</f>
        <v>0</v>
      </c>
      <c r="K23" s="50"/>
      <c r="L23" s="48"/>
      <c r="M23" s="48">
        <f>J23</f>
        <v>0</v>
      </c>
    </row>
    <row r="24" spans="1:13" ht="54">
      <c r="A24" s="109">
        <v>5</v>
      </c>
      <c r="B24" s="114" t="s">
        <v>139</v>
      </c>
      <c r="C24" s="110" t="s">
        <v>140</v>
      </c>
      <c r="D24" s="34" t="s">
        <v>62</v>
      </c>
      <c r="E24" s="23"/>
      <c r="F24" s="111">
        <v>9.3000000000000007</v>
      </c>
      <c r="G24" s="63"/>
      <c r="H24" s="62"/>
      <c r="I24" s="23"/>
      <c r="J24" s="63"/>
      <c r="K24" s="23"/>
      <c r="L24" s="62"/>
      <c r="M24" s="23"/>
    </row>
    <row r="25" spans="1:13" ht="13.5">
      <c r="A25" s="66"/>
      <c r="B25" s="115"/>
      <c r="C25" s="47" t="s">
        <v>63</v>
      </c>
      <c r="D25" s="48" t="s">
        <v>64</v>
      </c>
      <c r="E25" s="108">
        <v>5.35</v>
      </c>
      <c r="F25" s="48">
        <f>E25*F24</f>
        <v>49.755000000000003</v>
      </c>
      <c r="G25" s="116"/>
      <c r="H25" s="116">
        <f>F25*G25</f>
        <v>0</v>
      </c>
      <c r="I25" s="117"/>
      <c r="J25" s="117"/>
      <c r="K25" s="117"/>
      <c r="L25" s="117"/>
      <c r="M25" s="117">
        <f>H25</f>
        <v>0</v>
      </c>
    </row>
    <row r="26" spans="1:13" ht="15.75">
      <c r="A26" s="118">
        <v>6</v>
      </c>
      <c r="B26" s="58" t="s">
        <v>141</v>
      </c>
      <c r="C26" s="38" t="s">
        <v>142</v>
      </c>
      <c r="D26" s="34" t="s">
        <v>62</v>
      </c>
      <c r="E26" s="23"/>
      <c r="F26" s="111">
        <v>9.3000000000000007</v>
      </c>
      <c r="G26" s="63"/>
      <c r="H26" s="62"/>
      <c r="I26" s="23"/>
      <c r="J26" s="63"/>
      <c r="K26" s="23"/>
      <c r="L26" s="62"/>
      <c r="M26" s="23"/>
    </row>
    <row r="27" spans="1:13" ht="13.5">
      <c r="A27" s="66"/>
      <c r="B27" s="115"/>
      <c r="C27" s="47" t="s">
        <v>63</v>
      </c>
      <c r="D27" s="48" t="s">
        <v>64</v>
      </c>
      <c r="E27" s="108">
        <v>0.87</v>
      </c>
      <c r="F27" s="48">
        <f>E27*F26</f>
        <v>8.0910000000000011</v>
      </c>
      <c r="G27" s="116"/>
      <c r="H27" s="116">
        <f>F27*G27</f>
        <v>0</v>
      </c>
      <c r="I27" s="117"/>
      <c r="J27" s="117"/>
      <c r="K27" s="117"/>
      <c r="L27" s="117"/>
      <c r="M27" s="117">
        <f>H27</f>
        <v>0</v>
      </c>
    </row>
    <row r="28" spans="1:13" ht="40.5">
      <c r="A28" s="107">
        <v>7</v>
      </c>
      <c r="B28" s="26"/>
      <c r="C28" s="27" t="s">
        <v>143</v>
      </c>
      <c r="D28" s="28" t="s">
        <v>72</v>
      </c>
      <c r="E28" s="29"/>
      <c r="F28" s="119">
        <v>2405.5</v>
      </c>
      <c r="G28" s="31"/>
      <c r="H28" s="28"/>
      <c r="I28" s="29"/>
      <c r="J28" s="31"/>
      <c r="K28" s="29"/>
      <c r="L28" s="28">
        <f>F28*K28</f>
        <v>0</v>
      </c>
      <c r="M28" s="29">
        <f>L28</f>
        <v>0</v>
      </c>
    </row>
    <row r="29" spans="1:13" ht="13.5">
      <c r="A29" s="33"/>
      <c r="B29" s="33"/>
      <c r="C29" s="89" t="s">
        <v>30</v>
      </c>
      <c r="D29" s="90" t="s">
        <v>69</v>
      </c>
      <c r="E29" s="35"/>
      <c r="F29" s="35"/>
      <c r="G29" s="35"/>
      <c r="H29" s="35">
        <f>SUM(H13:H28)</f>
        <v>0</v>
      </c>
      <c r="I29" s="35"/>
      <c r="J29" s="35">
        <f>SUM(J13:J28)</f>
        <v>0</v>
      </c>
      <c r="K29" s="32"/>
      <c r="L29" s="35">
        <f>SUM(L14:L28)</f>
        <v>0</v>
      </c>
      <c r="M29" s="35">
        <f>SUM(H29:L29)</f>
        <v>0</v>
      </c>
    </row>
    <row r="30" spans="1:13" ht="13.5">
      <c r="A30" s="91"/>
      <c r="B30" s="91"/>
      <c r="C30" s="92" t="s">
        <v>147</v>
      </c>
      <c r="D30" s="90" t="s">
        <v>69</v>
      </c>
      <c r="E30" s="93"/>
      <c r="F30" s="94"/>
      <c r="G30" s="95"/>
      <c r="H30" s="93">
        <f>E30*H29</f>
        <v>0</v>
      </c>
      <c r="I30" s="93"/>
      <c r="J30" s="93">
        <f>E30*J29</f>
        <v>0</v>
      </c>
      <c r="K30" s="93"/>
      <c r="L30" s="93">
        <f>E30*L29</f>
        <v>0</v>
      </c>
      <c r="M30" s="93">
        <f>SUM(H30:L30)</f>
        <v>0</v>
      </c>
    </row>
    <row r="31" spans="1:13" ht="13.5">
      <c r="A31" s="96"/>
      <c r="B31" s="91"/>
      <c r="C31" s="89" t="s">
        <v>30</v>
      </c>
      <c r="D31" s="90" t="s">
        <v>69</v>
      </c>
      <c r="E31" s="97"/>
      <c r="F31" s="89"/>
      <c r="G31" s="89"/>
      <c r="H31" s="97">
        <f>SUM(H29:H30)</f>
        <v>0</v>
      </c>
      <c r="I31" s="97"/>
      <c r="J31" s="97">
        <f>SUM(J29:J30)</f>
        <v>0</v>
      </c>
      <c r="K31" s="97"/>
      <c r="L31" s="97">
        <f>SUM(L29:L30)</f>
        <v>0</v>
      </c>
      <c r="M31" s="97">
        <f>SUM(H31:L31)</f>
        <v>0</v>
      </c>
    </row>
    <row r="32" spans="1:13" ht="13.5">
      <c r="A32" s="91"/>
      <c r="B32" s="91"/>
      <c r="C32" s="91" t="s">
        <v>148</v>
      </c>
      <c r="D32" s="90" t="s">
        <v>69</v>
      </c>
      <c r="E32" s="93"/>
      <c r="F32" s="98"/>
      <c r="G32" s="93"/>
      <c r="H32" s="93">
        <f>E32*H31</f>
        <v>0</v>
      </c>
      <c r="I32" s="93"/>
      <c r="J32" s="93">
        <f>E32*J31</f>
        <v>0</v>
      </c>
      <c r="K32" s="93"/>
      <c r="L32" s="93">
        <f>E32*L31</f>
        <v>0</v>
      </c>
      <c r="M32" s="93">
        <f>SUM(H32:L32)</f>
        <v>0</v>
      </c>
    </row>
    <row r="33" spans="1:13" ht="13.5">
      <c r="A33" s="99"/>
      <c r="B33" s="100"/>
      <c r="C33" s="101" t="s">
        <v>30</v>
      </c>
      <c r="D33" s="102" t="s">
        <v>69</v>
      </c>
      <c r="E33" s="101"/>
      <c r="F33" s="101"/>
      <c r="G33" s="101"/>
      <c r="H33" s="103">
        <f>SUM(H31:H32)</f>
        <v>0</v>
      </c>
      <c r="I33" s="103"/>
      <c r="J33" s="103">
        <f>SUM(J31:J32)</f>
        <v>0</v>
      </c>
      <c r="K33" s="103"/>
      <c r="L33" s="103">
        <f>SUM(L31:L32)</f>
        <v>0</v>
      </c>
      <c r="M33" s="103">
        <f>SUM(H33:L33)</f>
        <v>0</v>
      </c>
    </row>
  </sheetData>
  <mergeCells count="23">
    <mergeCell ref="A1:M1"/>
    <mergeCell ref="A2:M2"/>
    <mergeCell ref="A3:M3"/>
    <mergeCell ref="A4:M4"/>
    <mergeCell ref="B5:D5"/>
    <mergeCell ref="F5:I5"/>
    <mergeCell ref="B6:C6"/>
    <mergeCell ref="F6:I6"/>
    <mergeCell ref="A8:A11"/>
    <mergeCell ref="B8:B11"/>
    <mergeCell ref="C8:C11"/>
    <mergeCell ref="D8:F9"/>
    <mergeCell ref="G8:H9"/>
    <mergeCell ref="I8:J9"/>
    <mergeCell ref="K8:L8"/>
    <mergeCell ref="M8:M11"/>
    <mergeCell ref="K9:L9"/>
    <mergeCell ref="D10:D11"/>
    <mergeCell ref="E10:E11"/>
    <mergeCell ref="F10:F11"/>
    <mergeCell ref="H10:H11"/>
    <mergeCell ref="J10:J11"/>
    <mergeCell ref="L10:L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3"/>
  <sheetViews>
    <sheetView view="pageBreakPreview" zoomScale="60" zoomScaleNormal="100" workbookViewId="0">
      <selection sqref="A1:M1"/>
    </sheetView>
  </sheetViews>
  <sheetFormatPr defaultRowHeight="12.75"/>
  <cols>
    <col min="1" max="1" width="4.7109375" style="104" customWidth="1"/>
    <col min="2" max="2" width="6.140625" style="105" customWidth="1"/>
    <col min="3" max="3" width="38.7109375" style="105" customWidth="1"/>
    <col min="4" max="4" width="8.7109375" style="106" customWidth="1"/>
    <col min="5" max="5" width="7.85546875" style="106" customWidth="1"/>
    <col min="6" max="6" width="8.7109375" style="106" customWidth="1"/>
    <col min="7" max="7" width="6.140625" style="106" customWidth="1"/>
    <col min="8" max="8" width="6.5703125" style="106" customWidth="1"/>
    <col min="9" max="9" width="6" style="106" customWidth="1"/>
    <col min="10" max="10" width="6.140625" style="106" customWidth="1"/>
    <col min="11" max="11" width="6" style="106" customWidth="1"/>
    <col min="12" max="12" width="6.85546875" style="106" customWidth="1"/>
    <col min="13" max="13" width="8" style="106" customWidth="1"/>
    <col min="14" max="16384" width="9.140625" style="20"/>
  </cols>
  <sheetData>
    <row r="1" spans="1:14" ht="13.5">
      <c r="A1" s="316" t="s">
        <v>104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4" ht="13.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4" ht="13.5">
      <c r="A3" s="317" t="s">
        <v>17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4" ht="13.5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4" ht="13.5" customHeight="1">
      <c r="A5" s="21"/>
      <c r="B5" s="299"/>
      <c r="C5" s="299"/>
      <c r="D5" s="319"/>
      <c r="E5" s="22"/>
      <c r="F5" s="300"/>
      <c r="G5" s="300"/>
      <c r="H5" s="300"/>
      <c r="I5" s="300"/>
      <c r="J5" s="22"/>
      <c r="K5" s="22"/>
      <c r="L5" s="22"/>
      <c r="M5" s="22"/>
    </row>
    <row r="6" spans="1:14" ht="13.5" customHeight="1">
      <c r="A6" s="21"/>
      <c r="B6" s="299"/>
      <c r="C6" s="299"/>
      <c r="D6" s="22"/>
      <c r="E6" s="22"/>
      <c r="F6" s="300"/>
      <c r="G6" s="300"/>
      <c r="H6" s="300"/>
      <c r="I6" s="300"/>
      <c r="J6" s="22"/>
      <c r="K6" s="22"/>
      <c r="L6" s="22"/>
      <c r="M6" s="22"/>
    </row>
    <row r="7" spans="1:14" ht="13.5">
      <c r="A7" s="21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4" ht="13.5" customHeight="1">
      <c r="A8" s="301" t="s">
        <v>35</v>
      </c>
      <c r="B8" s="304" t="s">
        <v>36</v>
      </c>
      <c r="C8" s="307" t="s">
        <v>37</v>
      </c>
      <c r="D8" s="289" t="s">
        <v>38</v>
      </c>
      <c r="E8" s="310"/>
      <c r="F8" s="291"/>
      <c r="G8" s="289" t="s">
        <v>39</v>
      </c>
      <c r="H8" s="290"/>
      <c r="I8" s="289" t="s">
        <v>40</v>
      </c>
      <c r="J8" s="314"/>
      <c r="K8" s="289" t="s">
        <v>41</v>
      </c>
      <c r="L8" s="290"/>
      <c r="M8" s="291" t="s">
        <v>42</v>
      </c>
    </row>
    <row r="9" spans="1:14" ht="13.5">
      <c r="A9" s="302"/>
      <c r="B9" s="305"/>
      <c r="C9" s="308"/>
      <c r="D9" s="295"/>
      <c r="E9" s="311"/>
      <c r="F9" s="312"/>
      <c r="G9" s="313"/>
      <c r="H9" s="296"/>
      <c r="I9" s="313"/>
      <c r="J9" s="315"/>
      <c r="K9" s="295" t="s">
        <v>43</v>
      </c>
      <c r="L9" s="296"/>
      <c r="M9" s="292"/>
    </row>
    <row r="10" spans="1:14" ht="13.5">
      <c r="A10" s="302"/>
      <c r="B10" s="305"/>
      <c r="C10" s="308"/>
      <c r="D10" s="297" t="s">
        <v>44</v>
      </c>
      <c r="E10" s="297" t="s">
        <v>45</v>
      </c>
      <c r="F10" s="297" t="s">
        <v>30</v>
      </c>
      <c r="G10" s="23" t="s">
        <v>45</v>
      </c>
      <c r="H10" s="297" t="s">
        <v>30</v>
      </c>
      <c r="I10" s="23" t="s">
        <v>45</v>
      </c>
      <c r="J10" s="297" t="s">
        <v>30</v>
      </c>
      <c r="K10" s="23" t="s">
        <v>45</v>
      </c>
      <c r="L10" s="297" t="s">
        <v>30</v>
      </c>
      <c r="M10" s="293"/>
    </row>
    <row r="11" spans="1:14" ht="13.5">
      <c r="A11" s="303"/>
      <c r="B11" s="306"/>
      <c r="C11" s="309"/>
      <c r="D11" s="298"/>
      <c r="E11" s="298"/>
      <c r="F11" s="298"/>
      <c r="G11" s="24" t="s">
        <v>46</v>
      </c>
      <c r="H11" s="298"/>
      <c r="I11" s="24" t="s">
        <v>46</v>
      </c>
      <c r="J11" s="298"/>
      <c r="K11" s="24" t="s">
        <v>46</v>
      </c>
      <c r="L11" s="298"/>
      <c r="M11" s="294"/>
    </row>
    <row r="12" spans="1:14" ht="13.5">
      <c r="A12" s="107" t="s">
        <v>47</v>
      </c>
      <c r="B12" s="26" t="s">
        <v>48</v>
      </c>
      <c r="C12" s="27" t="s">
        <v>49</v>
      </c>
      <c r="D12" s="28" t="s">
        <v>50</v>
      </c>
      <c r="E12" s="29" t="s">
        <v>51</v>
      </c>
      <c r="F12" s="30" t="s">
        <v>52</v>
      </c>
      <c r="G12" s="31" t="s">
        <v>53</v>
      </c>
      <c r="H12" s="28" t="s">
        <v>54</v>
      </c>
      <c r="I12" s="29" t="s">
        <v>55</v>
      </c>
      <c r="J12" s="31" t="s">
        <v>56</v>
      </c>
      <c r="K12" s="29" t="s">
        <v>57</v>
      </c>
      <c r="L12" s="28" t="s">
        <v>58</v>
      </c>
      <c r="M12" s="29" t="s">
        <v>59</v>
      </c>
    </row>
    <row r="13" spans="1:14" ht="40.5">
      <c r="A13" s="56">
        <v>1</v>
      </c>
      <c r="B13" s="33" t="s">
        <v>105</v>
      </c>
      <c r="C13" s="84" t="s">
        <v>106</v>
      </c>
      <c r="D13" s="35" t="s">
        <v>62</v>
      </c>
      <c r="E13" s="35"/>
      <c r="F13" s="36">
        <v>828.38</v>
      </c>
      <c r="G13" s="35"/>
      <c r="H13" s="35"/>
      <c r="I13" s="35"/>
      <c r="J13" s="35"/>
      <c r="K13" s="35"/>
      <c r="L13" s="35"/>
      <c r="M13" s="35"/>
      <c r="N13" s="37"/>
    </row>
    <row r="14" spans="1:14" ht="13.5">
      <c r="A14" s="33"/>
      <c r="B14" s="33"/>
      <c r="C14" s="34" t="s">
        <v>63</v>
      </c>
      <c r="D14" s="35" t="s">
        <v>64</v>
      </c>
      <c r="E14" s="35">
        <v>0.15</v>
      </c>
      <c r="F14" s="35">
        <f>E14*F13</f>
        <v>124.25699999999999</v>
      </c>
      <c r="G14" s="35"/>
      <c r="H14" s="35">
        <f>F14*G14</f>
        <v>0</v>
      </c>
      <c r="I14" s="32"/>
      <c r="J14" s="32"/>
      <c r="K14" s="32"/>
      <c r="L14" s="32"/>
      <c r="M14" s="35">
        <f>H14</f>
        <v>0</v>
      </c>
    </row>
    <row r="15" spans="1:14" ht="13.5">
      <c r="A15" s="33"/>
      <c r="B15" s="33"/>
      <c r="C15" s="34" t="s">
        <v>107</v>
      </c>
      <c r="D15" s="35" t="s">
        <v>66</v>
      </c>
      <c r="E15" s="35">
        <f>2.16/100</f>
        <v>2.1600000000000001E-2</v>
      </c>
      <c r="F15" s="35">
        <f>E15*F13</f>
        <v>17.893008000000002</v>
      </c>
      <c r="G15" s="35"/>
      <c r="H15" s="32"/>
      <c r="I15" s="32"/>
      <c r="J15" s="32"/>
      <c r="K15" s="35"/>
      <c r="L15" s="35">
        <f>F15*K15</f>
        <v>0</v>
      </c>
      <c r="M15" s="35">
        <f>L15</f>
        <v>0</v>
      </c>
    </row>
    <row r="16" spans="1:14" ht="27">
      <c r="A16" s="33"/>
      <c r="B16" s="33"/>
      <c r="C16" s="34" t="s">
        <v>67</v>
      </c>
      <c r="D16" s="35" t="s">
        <v>64</v>
      </c>
      <c r="E16" s="35"/>
      <c r="F16" s="35">
        <f>F15</f>
        <v>17.893008000000002</v>
      </c>
      <c r="G16" s="35"/>
      <c r="H16" s="35">
        <f>F16*G16</f>
        <v>0</v>
      </c>
      <c r="I16" s="32"/>
      <c r="J16" s="32"/>
      <c r="K16" s="32"/>
      <c r="L16" s="35"/>
      <c r="M16" s="35">
        <f>H16</f>
        <v>0</v>
      </c>
    </row>
    <row r="17" spans="1:14" ht="27">
      <c r="A17" s="33"/>
      <c r="B17" s="33"/>
      <c r="C17" s="34" t="s">
        <v>108</v>
      </c>
      <c r="D17" s="35" t="s">
        <v>66</v>
      </c>
      <c r="E17" s="35">
        <f>2.73/100</f>
        <v>2.7300000000000001E-2</v>
      </c>
      <c r="F17" s="35">
        <f>E17*F13</f>
        <v>22.614774000000001</v>
      </c>
      <c r="G17" s="35"/>
      <c r="H17" s="35"/>
      <c r="I17" s="32"/>
      <c r="J17" s="32"/>
      <c r="K17" s="35"/>
      <c r="L17" s="35">
        <f>F17*K17</f>
        <v>0</v>
      </c>
      <c r="M17" s="35">
        <f>L17</f>
        <v>0</v>
      </c>
    </row>
    <row r="18" spans="1:14" ht="27">
      <c r="A18" s="33"/>
      <c r="B18" s="33"/>
      <c r="C18" s="34" t="s">
        <v>67</v>
      </c>
      <c r="D18" s="35" t="s">
        <v>64</v>
      </c>
      <c r="E18" s="35"/>
      <c r="F18" s="35">
        <f>F17</f>
        <v>22.614774000000001</v>
      </c>
      <c r="G18" s="35"/>
      <c r="H18" s="35">
        <f>F18*G18</f>
        <v>0</v>
      </c>
      <c r="I18" s="32"/>
      <c r="J18" s="32"/>
      <c r="K18" s="32"/>
      <c r="L18" s="35"/>
      <c r="M18" s="35">
        <f>H18</f>
        <v>0</v>
      </c>
    </row>
    <row r="19" spans="1:14" ht="13.5">
      <c r="A19" s="33"/>
      <c r="B19" s="33"/>
      <c r="C19" s="34" t="s">
        <v>109</v>
      </c>
      <c r="D19" s="35" t="s">
        <v>66</v>
      </c>
      <c r="E19" s="35">
        <f>0.97/100</f>
        <v>9.7000000000000003E-3</v>
      </c>
      <c r="F19" s="35">
        <f>E19*F13</f>
        <v>8.035286000000001</v>
      </c>
      <c r="G19" s="35"/>
      <c r="H19" s="35"/>
      <c r="I19" s="32"/>
      <c r="J19" s="32"/>
      <c r="K19" s="35"/>
      <c r="L19" s="35">
        <f>F19*K19</f>
        <v>0</v>
      </c>
      <c r="M19" s="35">
        <f>L19</f>
        <v>0</v>
      </c>
    </row>
    <row r="20" spans="1:14" ht="27">
      <c r="A20" s="33"/>
      <c r="B20" s="33"/>
      <c r="C20" s="34" t="s">
        <v>67</v>
      </c>
      <c r="D20" s="35" t="s">
        <v>64</v>
      </c>
      <c r="E20" s="35"/>
      <c r="F20" s="35">
        <f>F19</f>
        <v>8.035286000000001</v>
      </c>
      <c r="G20" s="35"/>
      <c r="H20" s="35">
        <f>F20*G20</f>
        <v>0</v>
      </c>
      <c r="I20" s="32"/>
      <c r="J20" s="32"/>
      <c r="K20" s="32"/>
      <c r="L20" s="35"/>
      <c r="M20" s="35">
        <f>H20</f>
        <v>0</v>
      </c>
    </row>
    <row r="21" spans="1:14" ht="15.75">
      <c r="A21" s="33"/>
      <c r="B21" s="33"/>
      <c r="C21" s="34" t="s">
        <v>110</v>
      </c>
      <c r="D21" s="35" t="s">
        <v>62</v>
      </c>
      <c r="E21" s="35">
        <v>1.22</v>
      </c>
      <c r="F21" s="35">
        <f>E21*F13</f>
        <v>1010.6236</v>
      </c>
      <c r="G21" s="35"/>
      <c r="H21" s="35"/>
      <c r="I21" s="35"/>
      <c r="J21" s="32">
        <f>F21*I21</f>
        <v>0</v>
      </c>
      <c r="K21" s="32"/>
      <c r="L21" s="35"/>
      <c r="M21" s="35">
        <f>J21</f>
        <v>0</v>
      </c>
    </row>
    <row r="22" spans="1:14" ht="15.75">
      <c r="A22" s="46"/>
      <c r="B22" s="46"/>
      <c r="C22" s="83" t="s">
        <v>111</v>
      </c>
      <c r="D22" s="48" t="s">
        <v>62</v>
      </c>
      <c r="E22" s="48">
        <f>7/100</f>
        <v>7.0000000000000007E-2</v>
      </c>
      <c r="F22" s="48">
        <f>E22*F13</f>
        <v>57.986600000000003</v>
      </c>
      <c r="G22" s="48"/>
      <c r="H22" s="48"/>
      <c r="I22" s="48"/>
      <c r="J22" s="48">
        <f>F22*I22</f>
        <v>0</v>
      </c>
      <c r="K22" s="50"/>
      <c r="L22" s="48"/>
      <c r="M22" s="48">
        <f>J22</f>
        <v>0</v>
      </c>
    </row>
    <row r="23" spans="1:14" ht="27">
      <c r="A23" s="32">
        <v>2</v>
      </c>
      <c r="B23" s="57" t="s">
        <v>112</v>
      </c>
      <c r="C23" s="21" t="s">
        <v>113</v>
      </c>
      <c r="D23" s="35" t="s">
        <v>62</v>
      </c>
      <c r="E23" s="35"/>
      <c r="F23" s="36">
        <v>513.32000000000005</v>
      </c>
      <c r="G23" s="35"/>
      <c r="H23" s="35"/>
      <c r="I23" s="35"/>
      <c r="J23" s="35"/>
      <c r="K23" s="35"/>
      <c r="L23" s="35"/>
      <c r="M23" s="35"/>
      <c r="N23" s="37"/>
    </row>
    <row r="24" spans="1:14" ht="13.5">
      <c r="A24" s="33"/>
      <c r="B24" s="33"/>
      <c r="C24" s="34" t="s">
        <v>63</v>
      </c>
      <c r="D24" s="35" t="s">
        <v>64</v>
      </c>
      <c r="E24" s="44">
        <f>21.6/100</f>
        <v>0.21600000000000003</v>
      </c>
      <c r="F24" s="35">
        <f>E24*F23</f>
        <v>110.87712000000002</v>
      </c>
      <c r="G24" s="35"/>
      <c r="H24" s="35">
        <f>F24*G24</f>
        <v>0</v>
      </c>
      <c r="I24" s="32"/>
      <c r="J24" s="32"/>
      <c r="K24" s="32"/>
      <c r="L24" s="32"/>
      <c r="M24" s="35">
        <f>H24</f>
        <v>0</v>
      </c>
    </row>
    <row r="25" spans="1:14" ht="13.5">
      <c r="A25" s="33"/>
      <c r="B25" s="33"/>
      <c r="C25" s="34" t="s">
        <v>107</v>
      </c>
      <c r="D25" s="35" t="s">
        <v>66</v>
      </c>
      <c r="E25" s="44">
        <f>1.24/100</f>
        <v>1.24E-2</v>
      </c>
      <c r="F25" s="35">
        <f>E25*F23</f>
        <v>6.3651680000000006</v>
      </c>
      <c r="G25" s="35"/>
      <c r="H25" s="32"/>
      <c r="I25" s="32"/>
      <c r="J25" s="32"/>
      <c r="K25" s="35"/>
      <c r="L25" s="35">
        <f>F25*K25</f>
        <v>0</v>
      </c>
      <c r="M25" s="35">
        <f>L25</f>
        <v>0</v>
      </c>
    </row>
    <row r="26" spans="1:14" ht="27">
      <c r="A26" s="33"/>
      <c r="B26" s="33"/>
      <c r="C26" s="34" t="s">
        <v>67</v>
      </c>
      <c r="D26" s="35" t="s">
        <v>64</v>
      </c>
      <c r="E26" s="35"/>
      <c r="F26" s="35">
        <f>F25</f>
        <v>6.3651680000000006</v>
      </c>
      <c r="G26" s="35"/>
      <c r="H26" s="35">
        <f>F26*G26</f>
        <v>0</v>
      </c>
      <c r="I26" s="35"/>
      <c r="J26" s="35"/>
      <c r="K26" s="35"/>
      <c r="L26" s="35"/>
      <c r="M26" s="35">
        <f>H26</f>
        <v>0</v>
      </c>
    </row>
    <row r="27" spans="1:14" ht="13.5">
      <c r="A27" s="33"/>
      <c r="B27" s="33"/>
      <c r="C27" s="34" t="s">
        <v>114</v>
      </c>
      <c r="D27" s="35" t="s">
        <v>66</v>
      </c>
      <c r="E27" s="44">
        <f>2.58/100</f>
        <v>2.58E-2</v>
      </c>
      <c r="F27" s="35">
        <f>E27*F23</f>
        <v>13.243656000000001</v>
      </c>
      <c r="G27" s="35"/>
      <c r="H27" s="35"/>
      <c r="I27" s="35"/>
      <c r="J27" s="35"/>
      <c r="K27" s="35"/>
      <c r="L27" s="35">
        <f>F27*K27</f>
        <v>0</v>
      </c>
      <c r="M27" s="35">
        <f>L27</f>
        <v>0</v>
      </c>
    </row>
    <row r="28" spans="1:14" ht="27">
      <c r="A28" s="33"/>
      <c r="B28" s="33"/>
      <c r="C28" s="34" t="s">
        <v>67</v>
      </c>
      <c r="D28" s="35" t="s">
        <v>64</v>
      </c>
      <c r="E28" s="35"/>
      <c r="F28" s="35">
        <f>F27</f>
        <v>13.243656000000001</v>
      </c>
      <c r="G28" s="35"/>
      <c r="H28" s="35">
        <f>F28*G28</f>
        <v>0</v>
      </c>
      <c r="I28" s="35"/>
      <c r="J28" s="35"/>
      <c r="K28" s="35"/>
      <c r="L28" s="35"/>
      <c r="M28" s="35">
        <f>H28</f>
        <v>0</v>
      </c>
    </row>
    <row r="29" spans="1:14" ht="27">
      <c r="A29" s="33"/>
      <c r="B29" s="33"/>
      <c r="C29" s="34" t="s">
        <v>115</v>
      </c>
      <c r="D29" s="35" t="s">
        <v>66</v>
      </c>
      <c r="E29" s="44">
        <f>0.41/100</f>
        <v>4.0999999999999995E-3</v>
      </c>
      <c r="F29" s="44">
        <f>E29*F23</f>
        <v>2.1046119999999999</v>
      </c>
      <c r="G29" s="35"/>
      <c r="H29" s="35"/>
      <c r="I29" s="35"/>
      <c r="J29" s="35"/>
      <c r="K29" s="35"/>
      <c r="L29" s="35">
        <f>F29*K29</f>
        <v>0</v>
      </c>
      <c r="M29" s="35">
        <f>L29</f>
        <v>0</v>
      </c>
    </row>
    <row r="30" spans="1:14" ht="27">
      <c r="A30" s="33"/>
      <c r="B30" s="33"/>
      <c r="C30" s="34" t="s">
        <v>67</v>
      </c>
      <c r="D30" s="35" t="s">
        <v>64</v>
      </c>
      <c r="E30" s="35"/>
      <c r="F30" s="44">
        <f>F29</f>
        <v>2.1046119999999999</v>
      </c>
      <c r="G30" s="35"/>
      <c r="H30" s="35">
        <f>F30*G30</f>
        <v>0</v>
      </c>
      <c r="I30" s="35"/>
      <c r="J30" s="35"/>
      <c r="K30" s="35"/>
      <c r="L30" s="35"/>
      <c r="M30" s="35">
        <f>H30</f>
        <v>0</v>
      </c>
    </row>
    <row r="31" spans="1:14" ht="27">
      <c r="A31" s="33"/>
      <c r="B31" s="33"/>
      <c r="C31" s="34" t="s">
        <v>116</v>
      </c>
      <c r="D31" s="35" t="s">
        <v>66</v>
      </c>
      <c r="E31" s="44">
        <f>7.6/100</f>
        <v>7.5999999999999998E-2</v>
      </c>
      <c r="F31" s="35">
        <f>E31*F23</f>
        <v>39.012320000000003</v>
      </c>
      <c r="G31" s="35"/>
      <c r="H31" s="35"/>
      <c r="I31" s="35"/>
      <c r="J31" s="35"/>
      <c r="K31" s="35"/>
      <c r="L31" s="35">
        <f>F31*K31</f>
        <v>0</v>
      </c>
      <c r="M31" s="35">
        <f>L31</f>
        <v>0</v>
      </c>
    </row>
    <row r="32" spans="1:14" ht="27">
      <c r="A32" s="33"/>
      <c r="B32" s="33"/>
      <c r="C32" s="34" t="s">
        <v>67</v>
      </c>
      <c r="D32" s="35" t="s">
        <v>64</v>
      </c>
      <c r="E32" s="35"/>
      <c r="F32" s="35">
        <f>F31</f>
        <v>39.012320000000003</v>
      </c>
      <c r="G32" s="35"/>
      <c r="H32" s="35">
        <f>F32*G32</f>
        <v>0</v>
      </c>
      <c r="I32" s="35"/>
      <c r="J32" s="35"/>
      <c r="K32" s="35"/>
      <c r="L32" s="35"/>
      <c r="M32" s="35">
        <f>H32</f>
        <v>0</v>
      </c>
    </row>
    <row r="33" spans="1:14" ht="13.5">
      <c r="A33" s="33"/>
      <c r="B33" s="33"/>
      <c r="C33" s="34" t="s">
        <v>117</v>
      </c>
      <c r="D33" s="35" t="s">
        <v>66</v>
      </c>
      <c r="E33" s="44">
        <f>15.1/100</f>
        <v>0.151</v>
      </c>
      <c r="F33" s="35">
        <f>E33*F23</f>
        <v>77.511320000000012</v>
      </c>
      <c r="G33" s="35"/>
      <c r="H33" s="35"/>
      <c r="I33" s="35"/>
      <c r="J33" s="35"/>
      <c r="K33" s="35"/>
      <c r="L33" s="35">
        <f>F33*K33</f>
        <v>0</v>
      </c>
      <c r="M33" s="35">
        <f>L33</f>
        <v>0</v>
      </c>
    </row>
    <row r="34" spans="1:14" ht="27">
      <c r="A34" s="33"/>
      <c r="B34" s="33"/>
      <c r="C34" s="34" t="s">
        <v>67</v>
      </c>
      <c r="D34" s="35" t="s">
        <v>64</v>
      </c>
      <c r="E34" s="35"/>
      <c r="F34" s="35">
        <f>F33</f>
        <v>77.511320000000012</v>
      </c>
      <c r="G34" s="35"/>
      <c r="H34" s="35">
        <f>F34*G34</f>
        <v>0</v>
      </c>
      <c r="I34" s="35"/>
      <c r="J34" s="35"/>
      <c r="K34" s="35"/>
      <c r="L34" s="35"/>
      <c r="M34" s="35">
        <f>H34</f>
        <v>0</v>
      </c>
    </row>
    <row r="35" spans="1:14" ht="13.5">
      <c r="A35" s="33"/>
      <c r="B35" s="33"/>
      <c r="C35" s="34" t="s">
        <v>109</v>
      </c>
      <c r="D35" s="35" t="s">
        <v>66</v>
      </c>
      <c r="E35" s="44">
        <f>0.97/100</f>
        <v>9.7000000000000003E-3</v>
      </c>
      <c r="F35" s="35">
        <f>E35*F23</f>
        <v>4.9792040000000011</v>
      </c>
      <c r="G35" s="35"/>
      <c r="H35" s="35"/>
      <c r="I35" s="35"/>
      <c r="J35" s="35"/>
      <c r="K35" s="35"/>
      <c r="L35" s="35">
        <f>F35*K35</f>
        <v>0</v>
      </c>
      <c r="M35" s="35">
        <f>L35</f>
        <v>0</v>
      </c>
    </row>
    <row r="36" spans="1:14" ht="27">
      <c r="A36" s="33"/>
      <c r="B36" s="33"/>
      <c r="C36" s="34" t="s">
        <v>67</v>
      </c>
      <c r="D36" s="35" t="s">
        <v>64</v>
      </c>
      <c r="E36" s="35"/>
      <c r="F36" s="35">
        <f>F35</f>
        <v>4.9792040000000011</v>
      </c>
      <c r="G36" s="35"/>
      <c r="H36" s="35">
        <f>F36*G36</f>
        <v>0</v>
      </c>
      <c r="I36" s="35"/>
      <c r="J36" s="35"/>
      <c r="K36" s="35"/>
      <c r="L36" s="35"/>
      <c r="M36" s="35">
        <f>H36</f>
        <v>0</v>
      </c>
    </row>
    <row r="37" spans="1:14" ht="15.75">
      <c r="A37" s="33"/>
      <c r="B37" s="33"/>
      <c r="C37" s="34" t="s">
        <v>118</v>
      </c>
      <c r="D37" s="35" t="s">
        <v>62</v>
      </c>
      <c r="E37" s="35">
        <v>1.26</v>
      </c>
      <c r="F37" s="35">
        <f>E37*F23</f>
        <v>646.78320000000008</v>
      </c>
      <c r="G37" s="35"/>
      <c r="H37" s="35"/>
      <c r="I37" s="35"/>
      <c r="J37" s="35">
        <f>F37*I37</f>
        <v>0</v>
      </c>
      <c r="K37" s="35"/>
      <c r="L37" s="35"/>
      <c r="M37" s="35">
        <f>J37</f>
        <v>0</v>
      </c>
    </row>
    <row r="38" spans="1:14" ht="15.75">
      <c r="A38" s="46"/>
      <c r="B38" s="46"/>
      <c r="C38" s="83" t="s">
        <v>111</v>
      </c>
      <c r="D38" s="48" t="s">
        <v>62</v>
      </c>
      <c r="E38" s="108">
        <f>7/100</f>
        <v>7.0000000000000007E-2</v>
      </c>
      <c r="F38" s="48">
        <f>E38*F23</f>
        <v>35.932400000000008</v>
      </c>
      <c r="G38" s="48"/>
      <c r="H38" s="48"/>
      <c r="I38" s="48"/>
      <c r="J38" s="48">
        <f>F38*I38</f>
        <v>0</v>
      </c>
      <c r="K38" s="48"/>
      <c r="L38" s="48"/>
      <c r="M38" s="48">
        <f>J38</f>
        <v>0</v>
      </c>
    </row>
    <row r="39" spans="1:14" ht="29.25">
      <c r="A39" s="32"/>
      <c r="B39" s="33" t="s">
        <v>119</v>
      </c>
      <c r="C39" s="84" t="s">
        <v>120</v>
      </c>
      <c r="D39" s="35" t="s">
        <v>72</v>
      </c>
      <c r="E39" s="35"/>
      <c r="F39" s="82">
        <f>2376.5/1000</f>
        <v>2.3765000000000001</v>
      </c>
      <c r="G39" s="35"/>
      <c r="H39" s="35"/>
      <c r="I39" s="35"/>
      <c r="J39" s="35"/>
      <c r="K39" s="35"/>
      <c r="L39" s="35"/>
      <c r="M39" s="35"/>
      <c r="N39" s="37"/>
    </row>
    <row r="40" spans="1:14" ht="13.5">
      <c r="A40" s="33"/>
      <c r="B40" s="33"/>
      <c r="C40" s="34" t="s">
        <v>121</v>
      </c>
      <c r="D40" s="35" t="s">
        <v>66</v>
      </c>
      <c r="E40" s="35">
        <v>0.3</v>
      </c>
      <c r="F40" s="35">
        <f>E40*F39</f>
        <v>0.71294999999999997</v>
      </c>
      <c r="G40" s="35"/>
      <c r="H40" s="32"/>
      <c r="I40" s="32"/>
      <c r="J40" s="32"/>
      <c r="K40" s="35"/>
      <c r="L40" s="35">
        <f>F40*K40</f>
        <v>0</v>
      </c>
      <c r="M40" s="35">
        <f>L40</f>
        <v>0</v>
      </c>
    </row>
    <row r="41" spans="1:14" ht="27">
      <c r="A41" s="33"/>
      <c r="B41" s="33"/>
      <c r="C41" s="34" t="s">
        <v>67</v>
      </c>
      <c r="D41" s="35" t="s">
        <v>64</v>
      </c>
      <c r="E41" s="35"/>
      <c r="F41" s="35">
        <f>F40</f>
        <v>0.71294999999999997</v>
      </c>
      <c r="G41" s="35"/>
      <c r="H41" s="35">
        <f>F41*G41</f>
        <v>0</v>
      </c>
      <c r="I41" s="32"/>
      <c r="J41" s="32"/>
      <c r="K41" s="32"/>
      <c r="L41" s="35"/>
      <c r="M41" s="35">
        <f>H41</f>
        <v>0</v>
      </c>
    </row>
    <row r="42" spans="1:14" ht="13.5">
      <c r="A42" s="46"/>
      <c r="B42" s="46"/>
      <c r="C42" s="83" t="s">
        <v>122</v>
      </c>
      <c r="D42" s="48" t="s">
        <v>72</v>
      </c>
      <c r="E42" s="48">
        <v>1.03</v>
      </c>
      <c r="F42" s="48">
        <f>E42*F39</f>
        <v>2.4477950000000002</v>
      </c>
      <c r="G42" s="48"/>
      <c r="H42" s="50"/>
      <c r="I42" s="48"/>
      <c r="J42" s="48">
        <f>F42*I42</f>
        <v>0</v>
      </c>
      <c r="K42" s="50"/>
      <c r="L42" s="48"/>
      <c r="M42" s="48">
        <f>J42</f>
        <v>0</v>
      </c>
    </row>
    <row r="43" spans="1:14" ht="54">
      <c r="A43" s="32"/>
      <c r="B43" s="34" t="s">
        <v>123</v>
      </c>
      <c r="C43" s="84" t="s">
        <v>124</v>
      </c>
      <c r="D43" s="35" t="s">
        <v>125</v>
      </c>
      <c r="E43" s="35"/>
      <c r="F43" s="36">
        <v>3395</v>
      </c>
      <c r="G43" s="35"/>
      <c r="H43" s="35"/>
      <c r="I43" s="35"/>
      <c r="J43" s="35"/>
      <c r="K43" s="35"/>
      <c r="L43" s="35"/>
      <c r="M43" s="35"/>
      <c r="N43" s="37"/>
    </row>
    <row r="44" spans="1:14" ht="13.5">
      <c r="A44" s="33"/>
      <c r="B44" s="33"/>
      <c r="C44" s="34" t="s">
        <v>63</v>
      </c>
      <c r="D44" s="35" t="s">
        <v>64</v>
      </c>
      <c r="E44" s="44">
        <f>(3.75+0.007*2)/100</f>
        <v>3.764E-2</v>
      </c>
      <c r="F44" s="35">
        <f>E44*F43</f>
        <v>127.7878</v>
      </c>
      <c r="G44" s="35"/>
      <c r="H44" s="35">
        <f>F44*G44</f>
        <v>0</v>
      </c>
      <c r="I44" s="35"/>
      <c r="J44" s="35"/>
      <c r="K44" s="35"/>
      <c r="L44" s="35"/>
      <c r="M44" s="35">
        <f>H44</f>
        <v>0</v>
      </c>
    </row>
    <row r="45" spans="1:14" ht="13.5">
      <c r="A45" s="33"/>
      <c r="B45" s="33"/>
      <c r="C45" s="34" t="s">
        <v>126</v>
      </c>
      <c r="D45" s="35" t="s">
        <v>66</v>
      </c>
      <c r="E45" s="44">
        <f>0.302/100</f>
        <v>3.0200000000000001E-3</v>
      </c>
      <c r="F45" s="44">
        <f>E45*F43</f>
        <v>10.2529</v>
      </c>
      <c r="G45" s="35"/>
      <c r="H45" s="35"/>
      <c r="I45" s="35"/>
      <c r="J45" s="35"/>
      <c r="K45" s="35"/>
      <c r="L45" s="35">
        <f>F45*K45</f>
        <v>0</v>
      </c>
      <c r="M45" s="35">
        <f>L45</f>
        <v>0</v>
      </c>
    </row>
    <row r="46" spans="1:14" ht="27">
      <c r="A46" s="33"/>
      <c r="B46" s="33"/>
      <c r="C46" s="34" t="s">
        <v>67</v>
      </c>
      <c r="D46" s="35" t="s">
        <v>64</v>
      </c>
      <c r="E46" s="35"/>
      <c r="F46" s="35">
        <f>F45</f>
        <v>10.2529</v>
      </c>
      <c r="G46" s="35"/>
      <c r="H46" s="35">
        <f>F46*G46</f>
        <v>0</v>
      </c>
      <c r="I46" s="35"/>
      <c r="J46" s="35"/>
      <c r="K46" s="35"/>
      <c r="L46" s="35"/>
      <c r="M46" s="35">
        <f>H46</f>
        <v>0</v>
      </c>
    </row>
    <row r="47" spans="1:14" ht="27">
      <c r="A47" s="33"/>
      <c r="B47" s="33"/>
      <c r="C47" s="34" t="s">
        <v>116</v>
      </c>
      <c r="D47" s="35" t="s">
        <v>66</v>
      </c>
      <c r="E47" s="44">
        <f>0.37/100</f>
        <v>3.7000000000000002E-3</v>
      </c>
      <c r="F47" s="35">
        <f>E47*F43</f>
        <v>12.561500000000001</v>
      </c>
      <c r="G47" s="35"/>
      <c r="H47" s="35"/>
      <c r="I47" s="35"/>
      <c r="J47" s="35"/>
      <c r="K47" s="35"/>
      <c r="L47" s="35">
        <f>F47*K47</f>
        <v>0</v>
      </c>
      <c r="M47" s="35">
        <f>L47</f>
        <v>0</v>
      </c>
    </row>
    <row r="48" spans="1:14" ht="27">
      <c r="A48" s="33"/>
      <c r="B48" s="33"/>
      <c r="C48" s="34" t="s">
        <v>67</v>
      </c>
      <c r="D48" s="35" t="s">
        <v>64</v>
      </c>
      <c r="E48" s="35"/>
      <c r="F48" s="35">
        <f>F47</f>
        <v>12.561500000000001</v>
      </c>
      <c r="G48" s="35"/>
      <c r="H48" s="35">
        <f>F48*G48</f>
        <v>0</v>
      </c>
      <c r="I48" s="35"/>
      <c r="J48" s="35"/>
      <c r="K48" s="35"/>
      <c r="L48" s="35"/>
      <c r="M48" s="35">
        <f>H48</f>
        <v>0</v>
      </c>
    </row>
    <row r="49" spans="1:14" ht="13.5">
      <c r="A49" s="33"/>
      <c r="B49" s="33"/>
      <c r="C49" s="34" t="s">
        <v>117</v>
      </c>
      <c r="D49" s="35" t="s">
        <v>66</v>
      </c>
      <c r="E49" s="44">
        <f>1.11/100</f>
        <v>1.11E-2</v>
      </c>
      <c r="F49" s="35">
        <f>E49*F43</f>
        <v>37.6845</v>
      </c>
      <c r="G49" s="35"/>
      <c r="H49" s="35"/>
      <c r="I49" s="35"/>
      <c r="J49" s="35"/>
      <c r="K49" s="35"/>
      <c r="L49" s="35">
        <f>F49*K49</f>
        <v>0</v>
      </c>
      <c r="M49" s="35">
        <f>L49</f>
        <v>0</v>
      </c>
    </row>
    <row r="50" spans="1:14" ht="27">
      <c r="A50" s="33"/>
      <c r="B50" s="33"/>
      <c r="C50" s="34" t="s">
        <v>67</v>
      </c>
      <c r="D50" s="35" t="s">
        <v>64</v>
      </c>
      <c r="E50" s="35"/>
      <c r="F50" s="35">
        <f>F49</f>
        <v>37.6845</v>
      </c>
      <c r="G50" s="35"/>
      <c r="H50" s="35">
        <f>F50*G50</f>
        <v>0</v>
      </c>
      <c r="I50" s="35"/>
      <c r="J50" s="35"/>
      <c r="K50" s="35"/>
      <c r="L50" s="35"/>
      <c r="M50" s="35">
        <f>H50</f>
        <v>0</v>
      </c>
    </row>
    <row r="51" spans="1:14" ht="13.5">
      <c r="A51" s="33"/>
      <c r="B51" s="33"/>
      <c r="C51" s="34" t="s">
        <v>68</v>
      </c>
      <c r="D51" s="35" t="s">
        <v>69</v>
      </c>
      <c r="E51" s="44">
        <f>0.23/100</f>
        <v>2.3E-3</v>
      </c>
      <c r="F51" s="35">
        <f>E51*F43</f>
        <v>7.8084999999999996</v>
      </c>
      <c r="G51" s="35"/>
      <c r="H51" s="35"/>
      <c r="I51" s="35"/>
      <c r="J51" s="35"/>
      <c r="K51" s="35"/>
      <c r="L51" s="35">
        <f>F51*K51</f>
        <v>0</v>
      </c>
      <c r="M51" s="35">
        <f>L51</f>
        <v>0</v>
      </c>
    </row>
    <row r="52" spans="1:14" ht="13.5">
      <c r="A52" s="33"/>
      <c r="B52" s="33"/>
      <c r="C52" s="34" t="s">
        <v>127</v>
      </c>
      <c r="D52" s="35" t="s">
        <v>72</v>
      </c>
      <c r="E52" s="35">
        <f>(9.31+1.16*2)/100</f>
        <v>0.11630000000000001</v>
      </c>
      <c r="F52" s="35">
        <f>E52*F43</f>
        <v>394.83850000000007</v>
      </c>
      <c r="G52" s="35"/>
      <c r="H52" s="35"/>
      <c r="I52" s="35"/>
      <c r="J52" s="35">
        <f>F52*I52</f>
        <v>0</v>
      </c>
      <c r="K52" s="35"/>
      <c r="L52" s="35"/>
      <c r="M52" s="35">
        <f>J52</f>
        <v>0</v>
      </c>
    </row>
    <row r="53" spans="1:14" ht="13.5">
      <c r="A53" s="46"/>
      <c r="B53" s="46"/>
      <c r="C53" s="83" t="s">
        <v>88</v>
      </c>
      <c r="D53" s="48" t="s">
        <v>69</v>
      </c>
      <c r="E53" s="108">
        <f>1.45/100</f>
        <v>1.4499999999999999E-2</v>
      </c>
      <c r="F53" s="48">
        <f>E53*F43</f>
        <v>49.227499999999999</v>
      </c>
      <c r="G53" s="48"/>
      <c r="H53" s="48"/>
      <c r="I53" s="48"/>
      <c r="J53" s="48">
        <f>F53*I53</f>
        <v>0</v>
      </c>
      <c r="K53" s="48"/>
      <c r="L53" s="48"/>
      <c r="M53" s="48">
        <f>J53</f>
        <v>0</v>
      </c>
    </row>
    <row r="54" spans="1:14" ht="29.25">
      <c r="A54" s="32"/>
      <c r="B54" s="33" t="s">
        <v>119</v>
      </c>
      <c r="C54" s="84" t="s">
        <v>128</v>
      </c>
      <c r="D54" s="35" t="s">
        <v>72</v>
      </c>
      <c r="E54" s="35"/>
      <c r="F54" s="82">
        <f>1188.25/1000</f>
        <v>1.18825</v>
      </c>
      <c r="G54" s="35"/>
      <c r="H54" s="35"/>
      <c r="I54" s="35"/>
      <c r="J54" s="35"/>
      <c r="K54" s="35"/>
      <c r="L54" s="35"/>
      <c r="M54" s="35"/>
      <c r="N54" s="37"/>
    </row>
    <row r="55" spans="1:14" ht="13.5">
      <c r="A55" s="33"/>
      <c r="B55" s="33"/>
      <c r="C55" s="34" t="s">
        <v>121</v>
      </c>
      <c r="D55" s="35" t="s">
        <v>66</v>
      </c>
      <c r="E55" s="35">
        <v>0.3</v>
      </c>
      <c r="F55" s="35">
        <f>E55*F54</f>
        <v>0.35647499999999999</v>
      </c>
      <c r="G55" s="35"/>
      <c r="H55" s="32"/>
      <c r="I55" s="32"/>
      <c r="J55" s="32"/>
      <c r="K55" s="35"/>
      <c r="L55" s="35">
        <f>F55*K55</f>
        <v>0</v>
      </c>
      <c r="M55" s="35">
        <f>L55</f>
        <v>0</v>
      </c>
    </row>
    <row r="56" spans="1:14" ht="27">
      <c r="A56" s="33"/>
      <c r="B56" s="33"/>
      <c r="C56" s="34" t="s">
        <v>67</v>
      </c>
      <c r="D56" s="35" t="s">
        <v>64</v>
      </c>
      <c r="E56" s="35"/>
      <c r="F56" s="35">
        <f>F55</f>
        <v>0.35647499999999999</v>
      </c>
      <c r="G56" s="35"/>
      <c r="H56" s="35">
        <f>F56*G56</f>
        <v>0</v>
      </c>
      <c r="I56" s="32"/>
      <c r="J56" s="32"/>
      <c r="K56" s="32"/>
      <c r="L56" s="35"/>
      <c r="M56" s="35">
        <f>H56</f>
        <v>0</v>
      </c>
    </row>
    <row r="57" spans="1:14" ht="13.5">
      <c r="A57" s="46"/>
      <c r="B57" s="46"/>
      <c r="C57" s="83" t="s">
        <v>122</v>
      </c>
      <c r="D57" s="48" t="s">
        <v>72</v>
      </c>
      <c r="E57" s="48">
        <v>1.03</v>
      </c>
      <c r="F57" s="48">
        <f>E57*F54</f>
        <v>1.2238975000000001</v>
      </c>
      <c r="G57" s="48"/>
      <c r="H57" s="50"/>
      <c r="I57" s="48"/>
      <c r="J57" s="48">
        <f>F57*I57</f>
        <v>0</v>
      </c>
      <c r="K57" s="50"/>
      <c r="L57" s="48"/>
      <c r="M57" s="48">
        <f>J57</f>
        <v>0</v>
      </c>
    </row>
    <row r="58" spans="1:14" ht="54">
      <c r="A58" s="32"/>
      <c r="B58" s="34" t="s">
        <v>129</v>
      </c>
      <c r="C58" s="21" t="s">
        <v>130</v>
      </c>
      <c r="D58" s="35" t="s">
        <v>125</v>
      </c>
      <c r="E58" s="35"/>
      <c r="F58" s="36">
        <v>3395</v>
      </c>
      <c r="G58" s="35"/>
      <c r="H58" s="35"/>
      <c r="I58" s="35"/>
      <c r="J58" s="35"/>
      <c r="K58" s="35"/>
      <c r="L58" s="35"/>
      <c r="M58" s="35"/>
      <c r="N58" s="37"/>
    </row>
    <row r="59" spans="1:14" ht="13.5">
      <c r="A59" s="33"/>
      <c r="B59" s="33"/>
      <c r="C59" s="34" t="s">
        <v>63</v>
      </c>
      <c r="D59" s="35" t="s">
        <v>64</v>
      </c>
      <c r="E59" s="44">
        <f>3.75/100</f>
        <v>3.7499999999999999E-2</v>
      </c>
      <c r="F59" s="35">
        <f>E59*F58</f>
        <v>127.3125</v>
      </c>
      <c r="G59" s="35"/>
      <c r="H59" s="35">
        <f>F59*G59</f>
        <v>0</v>
      </c>
      <c r="I59" s="35"/>
      <c r="J59" s="35"/>
      <c r="K59" s="35"/>
      <c r="L59" s="35"/>
      <c r="M59" s="35">
        <f>H59</f>
        <v>0</v>
      </c>
    </row>
    <row r="60" spans="1:14" ht="13.5">
      <c r="A60" s="33"/>
      <c r="B60" s="33"/>
      <c r="C60" s="34" t="s">
        <v>126</v>
      </c>
      <c r="D60" s="35" t="s">
        <v>66</v>
      </c>
      <c r="E60" s="44">
        <f>0.302/100</f>
        <v>3.0200000000000001E-3</v>
      </c>
      <c r="F60" s="35">
        <f>E60*F58</f>
        <v>10.2529</v>
      </c>
      <c r="G60" s="35"/>
      <c r="H60" s="35"/>
      <c r="I60" s="35"/>
      <c r="J60" s="35"/>
      <c r="K60" s="35"/>
      <c r="L60" s="35">
        <f>F60*K60</f>
        <v>0</v>
      </c>
      <c r="M60" s="35">
        <f>L60</f>
        <v>0</v>
      </c>
    </row>
    <row r="61" spans="1:14" ht="27">
      <c r="A61" s="33"/>
      <c r="B61" s="33"/>
      <c r="C61" s="34" t="s">
        <v>67</v>
      </c>
      <c r="D61" s="35" t="s">
        <v>64</v>
      </c>
      <c r="E61" s="35"/>
      <c r="F61" s="35">
        <f>F60</f>
        <v>10.2529</v>
      </c>
      <c r="G61" s="35"/>
      <c r="H61" s="35">
        <f>F61*G61</f>
        <v>0</v>
      </c>
      <c r="I61" s="35"/>
      <c r="J61" s="35"/>
      <c r="K61" s="35"/>
      <c r="L61" s="35"/>
      <c r="M61" s="35">
        <f>H61</f>
        <v>0</v>
      </c>
    </row>
    <row r="62" spans="1:14" ht="27">
      <c r="A62" s="33"/>
      <c r="B62" s="33"/>
      <c r="C62" s="34" t="s">
        <v>116</v>
      </c>
      <c r="D62" s="35" t="s">
        <v>66</v>
      </c>
      <c r="E62" s="45">
        <f>0.37/100</f>
        <v>3.7000000000000002E-3</v>
      </c>
      <c r="F62" s="35">
        <f>E62*F58</f>
        <v>12.561500000000001</v>
      </c>
      <c r="G62" s="35"/>
      <c r="H62" s="35"/>
      <c r="I62" s="35"/>
      <c r="J62" s="35"/>
      <c r="K62" s="35"/>
      <c r="L62" s="35">
        <f>F62*K62</f>
        <v>0</v>
      </c>
      <c r="M62" s="35">
        <f>L62</f>
        <v>0</v>
      </c>
    </row>
    <row r="63" spans="1:14" ht="27">
      <c r="A63" s="33"/>
      <c r="B63" s="33"/>
      <c r="C63" s="34" t="s">
        <v>67</v>
      </c>
      <c r="D63" s="35" t="s">
        <v>64</v>
      </c>
      <c r="E63" s="35"/>
      <c r="F63" s="35">
        <f>F62</f>
        <v>12.561500000000001</v>
      </c>
      <c r="G63" s="35"/>
      <c r="H63" s="35">
        <f>F63*G63</f>
        <v>0</v>
      </c>
      <c r="I63" s="35"/>
      <c r="J63" s="35"/>
      <c r="K63" s="35"/>
      <c r="L63" s="35"/>
      <c r="M63" s="35">
        <f>H63</f>
        <v>0</v>
      </c>
    </row>
    <row r="64" spans="1:14" ht="13.5">
      <c r="A64" s="33"/>
      <c r="B64" s="33"/>
      <c r="C64" s="34" t="s">
        <v>117</v>
      </c>
      <c r="D64" s="35" t="s">
        <v>66</v>
      </c>
      <c r="E64" s="45">
        <f>1.11/100</f>
        <v>1.11E-2</v>
      </c>
      <c r="F64" s="35">
        <f>E64*F58</f>
        <v>37.6845</v>
      </c>
      <c r="G64" s="35"/>
      <c r="H64" s="35"/>
      <c r="I64" s="35"/>
      <c r="J64" s="35"/>
      <c r="K64" s="35"/>
      <c r="L64" s="35">
        <f>F64*K64</f>
        <v>0</v>
      </c>
      <c r="M64" s="35">
        <f>L64</f>
        <v>0</v>
      </c>
    </row>
    <row r="65" spans="1:14" ht="27">
      <c r="A65" s="33"/>
      <c r="B65" s="33"/>
      <c r="C65" s="34" t="s">
        <v>67</v>
      </c>
      <c r="D65" s="35" t="s">
        <v>64</v>
      </c>
      <c r="E65" s="35"/>
      <c r="F65" s="35">
        <f>F64</f>
        <v>37.6845</v>
      </c>
      <c r="G65" s="35"/>
      <c r="H65" s="35">
        <f>F65*G65</f>
        <v>0</v>
      </c>
      <c r="I65" s="35"/>
      <c r="J65" s="35"/>
      <c r="K65" s="35"/>
      <c r="L65" s="35"/>
      <c r="M65" s="35">
        <f>H65</f>
        <v>0</v>
      </c>
    </row>
    <row r="66" spans="1:14" ht="13.5">
      <c r="A66" s="33"/>
      <c r="B66" s="33"/>
      <c r="C66" s="34" t="s">
        <v>68</v>
      </c>
      <c r="D66" s="35" t="s">
        <v>69</v>
      </c>
      <c r="E66" s="45">
        <f>0.23/100</f>
        <v>2.3E-3</v>
      </c>
      <c r="F66" s="35">
        <f>E66*F58</f>
        <v>7.8084999999999996</v>
      </c>
      <c r="G66" s="35"/>
      <c r="H66" s="35"/>
      <c r="I66" s="35"/>
      <c r="J66" s="35"/>
      <c r="K66" s="35"/>
      <c r="L66" s="35">
        <f>F66*K66</f>
        <v>0</v>
      </c>
      <c r="M66" s="35">
        <f>L66</f>
        <v>0</v>
      </c>
    </row>
    <row r="67" spans="1:14" ht="13.5">
      <c r="A67" s="33"/>
      <c r="B67" s="33"/>
      <c r="C67" s="34" t="s">
        <v>131</v>
      </c>
      <c r="D67" s="35" t="s">
        <v>72</v>
      </c>
      <c r="E67" s="45">
        <f>9.74/100</f>
        <v>9.74E-2</v>
      </c>
      <c r="F67" s="35">
        <f>E67*F58</f>
        <v>330.673</v>
      </c>
      <c r="G67" s="35"/>
      <c r="H67" s="35"/>
      <c r="I67" s="35"/>
      <c r="J67" s="35">
        <f>F67*I67</f>
        <v>0</v>
      </c>
      <c r="K67" s="35"/>
      <c r="L67" s="35"/>
      <c r="M67" s="35">
        <f>J67</f>
        <v>0</v>
      </c>
    </row>
    <row r="68" spans="1:14" ht="13.5">
      <c r="A68" s="46"/>
      <c r="B68" s="46"/>
      <c r="C68" s="83" t="s">
        <v>88</v>
      </c>
      <c r="D68" s="48" t="s">
        <v>69</v>
      </c>
      <c r="E68" s="108">
        <f>1.45/100</f>
        <v>1.4499999999999999E-2</v>
      </c>
      <c r="F68" s="48">
        <f>E68*F58</f>
        <v>49.227499999999999</v>
      </c>
      <c r="G68" s="48"/>
      <c r="H68" s="48"/>
      <c r="I68" s="48"/>
      <c r="J68" s="48">
        <f>F68*I68</f>
        <v>0</v>
      </c>
      <c r="K68" s="48"/>
      <c r="L68" s="48"/>
      <c r="M68" s="48">
        <f>J68</f>
        <v>0</v>
      </c>
    </row>
    <row r="69" spans="1:14" ht="27">
      <c r="A69" s="32"/>
      <c r="B69" s="33" t="s">
        <v>105</v>
      </c>
      <c r="C69" s="21" t="s">
        <v>132</v>
      </c>
      <c r="D69" s="35" t="s">
        <v>62</v>
      </c>
      <c r="E69" s="35"/>
      <c r="F69" s="36">
        <v>53.99</v>
      </c>
      <c r="G69" s="35"/>
      <c r="H69" s="35"/>
      <c r="I69" s="35"/>
      <c r="J69" s="35"/>
      <c r="K69" s="35"/>
      <c r="L69" s="35"/>
      <c r="M69" s="35"/>
      <c r="N69" s="37"/>
    </row>
    <row r="70" spans="1:14" ht="13.5">
      <c r="A70" s="33"/>
      <c r="B70" s="33"/>
      <c r="C70" s="34" t="s">
        <v>63</v>
      </c>
      <c r="D70" s="35" t="s">
        <v>64</v>
      </c>
      <c r="E70" s="35">
        <v>0.15</v>
      </c>
      <c r="F70" s="35">
        <f>E70*F69</f>
        <v>8.0984999999999996</v>
      </c>
      <c r="G70" s="35"/>
      <c r="H70" s="35">
        <f>F70*G70</f>
        <v>0</v>
      </c>
      <c r="I70" s="32"/>
      <c r="J70" s="32"/>
      <c r="K70" s="32"/>
      <c r="L70" s="32"/>
      <c r="M70" s="35">
        <f>H70</f>
        <v>0</v>
      </c>
    </row>
    <row r="71" spans="1:14" ht="13.5">
      <c r="A71" s="33"/>
      <c r="B71" s="33"/>
      <c r="C71" s="34" t="s">
        <v>107</v>
      </c>
      <c r="D71" s="35" t="s">
        <v>66</v>
      </c>
      <c r="E71" s="35">
        <f>2.16/100</f>
        <v>2.1600000000000001E-2</v>
      </c>
      <c r="F71" s="35">
        <f>E71*F69</f>
        <v>1.1661840000000001</v>
      </c>
      <c r="G71" s="35"/>
      <c r="H71" s="32"/>
      <c r="I71" s="32"/>
      <c r="J71" s="32"/>
      <c r="K71" s="35"/>
      <c r="L71" s="35">
        <f>F71*K71</f>
        <v>0</v>
      </c>
      <c r="M71" s="35">
        <f>L71</f>
        <v>0</v>
      </c>
    </row>
    <row r="72" spans="1:14" ht="27">
      <c r="A72" s="33"/>
      <c r="B72" s="33"/>
      <c r="C72" s="34" t="s">
        <v>67</v>
      </c>
      <c r="D72" s="35" t="s">
        <v>64</v>
      </c>
      <c r="E72" s="35"/>
      <c r="F72" s="35">
        <f>F71</f>
        <v>1.1661840000000001</v>
      </c>
      <c r="G72" s="35"/>
      <c r="H72" s="35">
        <f>F72*G72</f>
        <v>0</v>
      </c>
      <c r="I72" s="32"/>
      <c r="J72" s="32"/>
      <c r="K72" s="32"/>
      <c r="L72" s="35"/>
      <c r="M72" s="35">
        <f>H72</f>
        <v>0</v>
      </c>
    </row>
    <row r="73" spans="1:14" ht="27">
      <c r="A73" s="33"/>
      <c r="B73" s="33"/>
      <c r="C73" s="34" t="s">
        <v>108</v>
      </c>
      <c r="D73" s="35" t="s">
        <v>66</v>
      </c>
      <c r="E73" s="35">
        <f>2.73/100</f>
        <v>2.7300000000000001E-2</v>
      </c>
      <c r="F73" s="35">
        <f>E73*F69</f>
        <v>1.4739270000000002</v>
      </c>
      <c r="G73" s="35"/>
      <c r="H73" s="35"/>
      <c r="I73" s="32"/>
      <c r="J73" s="32"/>
      <c r="K73" s="35"/>
      <c r="L73" s="35">
        <f>F73*K73</f>
        <v>0</v>
      </c>
      <c r="M73" s="35">
        <f>L73</f>
        <v>0</v>
      </c>
    </row>
    <row r="74" spans="1:14" ht="27">
      <c r="A74" s="33"/>
      <c r="B74" s="33"/>
      <c r="C74" s="34" t="s">
        <v>67</v>
      </c>
      <c r="D74" s="35" t="s">
        <v>64</v>
      </c>
      <c r="E74" s="35"/>
      <c r="F74" s="35">
        <f>F73</f>
        <v>1.4739270000000002</v>
      </c>
      <c r="G74" s="35"/>
      <c r="H74" s="35">
        <f>F74*G74</f>
        <v>0</v>
      </c>
      <c r="I74" s="32"/>
      <c r="J74" s="32"/>
      <c r="K74" s="32"/>
      <c r="L74" s="35"/>
      <c r="M74" s="35">
        <f>H74</f>
        <v>0</v>
      </c>
    </row>
    <row r="75" spans="1:14" ht="13.5">
      <c r="A75" s="33"/>
      <c r="B75" s="33"/>
      <c r="C75" s="34" t="s">
        <v>109</v>
      </c>
      <c r="D75" s="35" t="s">
        <v>66</v>
      </c>
      <c r="E75" s="35">
        <f>0.97/100</f>
        <v>9.7000000000000003E-3</v>
      </c>
      <c r="F75" s="35">
        <f>E75*F69</f>
        <v>0.52370300000000003</v>
      </c>
      <c r="G75" s="35"/>
      <c r="H75" s="35"/>
      <c r="I75" s="32"/>
      <c r="J75" s="32"/>
      <c r="K75" s="35"/>
      <c r="L75" s="35">
        <f>F75*K75</f>
        <v>0</v>
      </c>
      <c r="M75" s="35">
        <f>L75</f>
        <v>0</v>
      </c>
    </row>
    <row r="76" spans="1:14" ht="27">
      <c r="A76" s="33"/>
      <c r="B76" s="33"/>
      <c r="C76" s="34" t="s">
        <v>67</v>
      </c>
      <c r="D76" s="35" t="s">
        <v>64</v>
      </c>
      <c r="E76" s="35"/>
      <c r="F76" s="35">
        <f>F75</f>
        <v>0.52370300000000003</v>
      </c>
      <c r="G76" s="35"/>
      <c r="H76" s="35">
        <f>F76*G76</f>
        <v>0</v>
      </c>
      <c r="I76" s="32"/>
      <c r="J76" s="32"/>
      <c r="K76" s="32"/>
      <c r="L76" s="35"/>
      <c r="M76" s="35">
        <f>H76</f>
        <v>0</v>
      </c>
    </row>
    <row r="77" spans="1:14" ht="15.75">
      <c r="A77" s="33"/>
      <c r="B77" s="33"/>
      <c r="C77" s="34" t="s">
        <v>110</v>
      </c>
      <c r="D77" s="35" t="s">
        <v>62</v>
      </c>
      <c r="E77" s="35">
        <v>1.22</v>
      </c>
      <c r="F77" s="35">
        <f>E77*F69</f>
        <v>65.867800000000003</v>
      </c>
      <c r="G77" s="35"/>
      <c r="H77" s="35"/>
      <c r="I77" s="35"/>
      <c r="J77" s="32">
        <f>F77*I77</f>
        <v>0</v>
      </c>
      <c r="K77" s="32"/>
      <c r="L77" s="35"/>
      <c r="M77" s="35">
        <f>J77</f>
        <v>0</v>
      </c>
    </row>
    <row r="78" spans="1:14" ht="15.75">
      <c r="A78" s="46"/>
      <c r="B78" s="46"/>
      <c r="C78" s="83" t="s">
        <v>111</v>
      </c>
      <c r="D78" s="48" t="s">
        <v>62</v>
      </c>
      <c r="E78" s="48">
        <f>7/100</f>
        <v>7.0000000000000007E-2</v>
      </c>
      <c r="F78" s="48">
        <f>E78*F69</f>
        <v>3.7793000000000005</v>
      </c>
      <c r="G78" s="48"/>
      <c r="H78" s="48"/>
      <c r="I78" s="48"/>
      <c r="J78" s="48">
        <f>F78*I78</f>
        <v>0</v>
      </c>
      <c r="K78" s="50"/>
      <c r="L78" s="48"/>
      <c r="M78" s="48">
        <f>J78</f>
        <v>0</v>
      </c>
    </row>
    <row r="79" spans="1:14" ht="13.5">
      <c r="A79" s="33"/>
      <c r="B79" s="33"/>
      <c r="C79" s="89" t="s">
        <v>30</v>
      </c>
      <c r="D79" s="90" t="s">
        <v>69</v>
      </c>
      <c r="E79" s="35"/>
      <c r="F79" s="35"/>
      <c r="G79" s="35"/>
      <c r="H79" s="35">
        <f>SUM(H13:H78)</f>
        <v>0</v>
      </c>
      <c r="I79" s="35"/>
      <c r="J79" s="35">
        <f>SUM(J13:J78)</f>
        <v>0</v>
      </c>
      <c r="K79" s="32"/>
      <c r="L79" s="35">
        <f>SUM(L14:L78)</f>
        <v>0</v>
      </c>
      <c r="M79" s="35">
        <f>SUM(H79:L79)</f>
        <v>0</v>
      </c>
    </row>
    <row r="80" spans="1:14" ht="13.5">
      <c r="A80" s="91"/>
      <c r="B80" s="91"/>
      <c r="C80" s="92" t="s">
        <v>147</v>
      </c>
      <c r="D80" s="90" t="s">
        <v>69</v>
      </c>
      <c r="E80" s="93"/>
      <c r="F80" s="94"/>
      <c r="G80" s="95"/>
      <c r="H80" s="93">
        <f>E80*H79</f>
        <v>0</v>
      </c>
      <c r="I80" s="93"/>
      <c r="J80" s="93">
        <f>E80*J79</f>
        <v>0</v>
      </c>
      <c r="K80" s="93"/>
      <c r="L80" s="93">
        <f>E80*L79</f>
        <v>0</v>
      </c>
      <c r="M80" s="93">
        <f>SUM(H80:L80)</f>
        <v>0</v>
      </c>
    </row>
    <row r="81" spans="1:13" ht="13.5">
      <c r="A81" s="96"/>
      <c r="B81" s="91"/>
      <c r="C81" s="89" t="s">
        <v>30</v>
      </c>
      <c r="D81" s="90" t="s">
        <v>69</v>
      </c>
      <c r="E81" s="97"/>
      <c r="F81" s="89"/>
      <c r="G81" s="89"/>
      <c r="H81" s="97">
        <f>SUM(H79:H80)</f>
        <v>0</v>
      </c>
      <c r="I81" s="97"/>
      <c r="J81" s="97">
        <f>SUM(J79:J80)</f>
        <v>0</v>
      </c>
      <c r="K81" s="97"/>
      <c r="L81" s="97">
        <f>SUM(L79:L80)</f>
        <v>0</v>
      </c>
      <c r="M81" s="97">
        <f>SUM(H81:L81)</f>
        <v>0</v>
      </c>
    </row>
    <row r="82" spans="1:13" ht="13.5">
      <c r="A82" s="91"/>
      <c r="B82" s="91"/>
      <c r="C82" s="91" t="s">
        <v>148</v>
      </c>
      <c r="D82" s="90" t="s">
        <v>69</v>
      </c>
      <c r="E82" s="93"/>
      <c r="F82" s="98"/>
      <c r="G82" s="93"/>
      <c r="H82" s="93">
        <f>E82*H81</f>
        <v>0</v>
      </c>
      <c r="I82" s="93"/>
      <c r="J82" s="93">
        <f>E82*J81</f>
        <v>0</v>
      </c>
      <c r="K82" s="93"/>
      <c r="L82" s="93">
        <f>E82*L81</f>
        <v>0</v>
      </c>
      <c r="M82" s="93">
        <f>SUM(H82:L82)</f>
        <v>0</v>
      </c>
    </row>
    <row r="83" spans="1:13" ht="13.5">
      <c r="A83" s="99"/>
      <c r="B83" s="100"/>
      <c r="C83" s="101" t="s">
        <v>30</v>
      </c>
      <c r="D83" s="102" t="s">
        <v>69</v>
      </c>
      <c r="E83" s="101"/>
      <c r="F83" s="101"/>
      <c r="G83" s="101"/>
      <c r="H83" s="103">
        <f>SUM(H81:H82)</f>
        <v>0</v>
      </c>
      <c r="I83" s="103"/>
      <c r="J83" s="103">
        <f>SUM(J81:J82)</f>
        <v>0</v>
      </c>
      <c r="K83" s="103"/>
      <c r="L83" s="103">
        <f>SUM(L81:L82)</f>
        <v>0</v>
      </c>
      <c r="M83" s="103">
        <f>SUM(H83:L83)</f>
        <v>0</v>
      </c>
    </row>
  </sheetData>
  <mergeCells count="23">
    <mergeCell ref="A1:M1"/>
    <mergeCell ref="A2:M2"/>
    <mergeCell ref="A3:M3"/>
    <mergeCell ref="A4:M4"/>
    <mergeCell ref="B5:D5"/>
    <mergeCell ref="F5:I5"/>
    <mergeCell ref="B6:C6"/>
    <mergeCell ref="F6:I6"/>
    <mergeCell ref="A8:A11"/>
    <mergeCell ref="B8:B11"/>
    <mergeCell ref="C8:C11"/>
    <mergeCell ref="D8:F9"/>
    <mergeCell ref="G8:H9"/>
    <mergeCell ref="I8:J9"/>
    <mergeCell ref="K8:L8"/>
    <mergeCell ref="M8:M11"/>
    <mergeCell ref="K9:L9"/>
    <mergeCell ref="D10:D11"/>
    <mergeCell ref="E10:E11"/>
    <mergeCell ref="F10:F11"/>
    <mergeCell ref="H10:H11"/>
    <mergeCell ref="J10:J11"/>
    <mergeCell ref="L10:L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topLeftCell="A19" zoomScale="60" zoomScaleNormal="100" workbookViewId="0">
      <selection activeCell="Q23" sqref="Q23"/>
    </sheetView>
  </sheetViews>
  <sheetFormatPr defaultRowHeight="12.75"/>
  <cols>
    <col min="1" max="1" width="3.85546875" style="104" customWidth="1"/>
    <col min="2" max="2" width="6.28515625" style="105" customWidth="1"/>
    <col min="3" max="3" width="35.85546875" style="105" customWidth="1"/>
    <col min="4" max="4" width="9" style="106" customWidth="1"/>
    <col min="5" max="5" width="8.5703125" style="106" customWidth="1"/>
    <col min="6" max="6" width="8.85546875" style="106" customWidth="1"/>
    <col min="7" max="7" width="7.28515625" style="106" customWidth="1"/>
    <col min="8" max="8" width="7.7109375" style="106" customWidth="1"/>
    <col min="9" max="9" width="7.28515625" style="106" customWidth="1"/>
    <col min="10" max="10" width="7.42578125" style="106" customWidth="1"/>
    <col min="11" max="11" width="7.140625" style="106" customWidth="1"/>
    <col min="12" max="12" width="7.42578125" style="106" customWidth="1"/>
    <col min="13" max="13" width="8" style="106" customWidth="1"/>
    <col min="14" max="14" width="0.5703125" style="20" customWidth="1"/>
    <col min="15" max="16384" width="9.140625" style="20"/>
  </cols>
  <sheetData>
    <row r="1" spans="1:14" ht="13.5">
      <c r="A1" s="316" t="s">
        <v>34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4" ht="13.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4" ht="13.5">
      <c r="A3" s="317" t="s">
        <v>24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4" ht="13.5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4" ht="13.5" customHeight="1">
      <c r="A5" s="21"/>
      <c r="B5" s="299"/>
      <c r="C5" s="299"/>
      <c r="D5" s="319"/>
      <c r="E5" s="22"/>
      <c r="F5" s="300"/>
      <c r="G5" s="300"/>
      <c r="H5" s="300"/>
      <c r="I5" s="300"/>
      <c r="J5" s="22"/>
      <c r="K5" s="22"/>
      <c r="L5" s="22"/>
      <c r="M5" s="22"/>
    </row>
    <row r="6" spans="1:14" ht="13.5" customHeight="1">
      <c r="A6" s="21"/>
      <c r="B6" s="299"/>
      <c r="C6" s="299"/>
      <c r="D6" s="22"/>
      <c r="E6" s="22"/>
      <c r="F6" s="300"/>
      <c r="G6" s="300"/>
      <c r="H6" s="300"/>
      <c r="I6" s="300"/>
      <c r="J6" s="22"/>
      <c r="K6" s="22"/>
      <c r="L6" s="22"/>
      <c r="M6" s="22"/>
    </row>
    <row r="7" spans="1:14" ht="13.5">
      <c r="A7" s="21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4" ht="13.5" customHeight="1">
      <c r="A8" s="301" t="s">
        <v>35</v>
      </c>
      <c r="B8" s="304" t="s">
        <v>36</v>
      </c>
      <c r="C8" s="307" t="s">
        <v>37</v>
      </c>
      <c r="D8" s="289" t="s">
        <v>38</v>
      </c>
      <c r="E8" s="310"/>
      <c r="F8" s="291"/>
      <c r="G8" s="289" t="s">
        <v>39</v>
      </c>
      <c r="H8" s="290"/>
      <c r="I8" s="289" t="s">
        <v>40</v>
      </c>
      <c r="J8" s="314"/>
      <c r="K8" s="289" t="s">
        <v>41</v>
      </c>
      <c r="L8" s="290"/>
      <c r="M8" s="291" t="s">
        <v>42</v>
      </c>
    </row>
    <row r="9" spans="1:14" ht="13.5">
      <c r="A9" s="302"/>
      <c r="B9" s="305"/>
      <c r="C9" s="308"/>
      <c r="D9" s="295"/>
      <c r="E9" s="311"/>
      <c r="F9" s="312"/>
      <c r="G9" s="313"/>
      <c r="H9" s="296"/>
      <c r="I9" s="313"/>
      <c r="J9" s="315"/>
      <c r="K9" s="295" t="s">
        <v>43</v>
      </c>
      <c r="L9" s="296"/>
      <c r="M9" s="292"/>
    </row>
    <row r="10" spans="1:14" ht="13.5">
      <c r="A10" s="302"/>
      <c r="B10" s="305"/>
      <c r="C10" s="308"/>
      <c r="D10" s="297" t="s">
        <v>44</v>
      </c>
      <c r="E10" s="297" t="s">
        <v>45</v>
      </c>
      <c r="F10" s="297" t="s">
        <v>30</v>
      </c>
      <c r="G10" s="23" t="s">
        <v>45</v>
      </c>
      <c r="H10" s="297" t="s">
        <v>30</v>
      </c>
      <c r="I10" s="23" t="s">
        <v>45</v>
      </c>
      <c r="J10" s="297" t="s">
        <v>30</v>
      </c>
      <c r="K10" s="23" t="s">
        <v>45</v>
      </c>
      <c r="L10" s="297" t="s">
        <v>30</v>
      </c>
      <c r="M10" s="293"/>
    </row>
    <row r="11" spans="1:14" ht="13.5">
      <c r="A11" s="303"/>
      <c r="B11" s="306"/>
      <c r="C11" s="309"/>
      <c r="D11" s="298"/>
      <c r="E11" s="298"/>
      <c r="F11" s="298"/>
      <c r="G11" s="24" t="s">
        <v>46</v>
      </c>
      <c r="H11" s="298"/>
      <c r="I11" s="24" t="s">
        <v>46</v>
      </c>
      <c r="J11" s="298"/>
      <c r="K11" s="24" t="s">
        <v>46</v>
      </c>
      <c r="L11" s="298"/>
      <c r="M11" s="294"/>
    </row>
    <row r="12" spans="1:14" ht="13.5">
      <c r="A12" s="25" t="s">
        <v>47</v>
      </c>
      <c r="B12" s="26" t="s">
        <v>48</v>
      </c>
      <c r="C12" s="27" t="s">
        <v>49</v>
      </c>
      <c r="D12" s="28" t="s">
        <v>50</v>
      </c>
      <c r="E12" s="29" t="s">
        <v>51</v>
      </c>
      <c r="F12" s="30" t="s">
        <v>52</v>
      </c>
      <c r="G12" s="31" t="s">
        <v>53</v>
      </c>
      <c r="H12" s="28" t="s">
        <v>54</v>
      </c>
      <c r="I12" s="29" t="s">
        <v>55</v>
      </c>
      <c r="J12" s="31" t="s">
        <v>56</v>
      </c>
      <c r="K12" s="29" t="s">
        <v>57</v>
      </c>
      <c r="L12" s="28" t="s">
        <v>58</v>
      </c>
      <c r="M12" s="29" t="s">
        <v>59</v>
      </c>
    </row>
    <row r="13" spans="1:14" ht="40.5">
      <c r="A13" s="32">
        <v>1</v>
      </c>
      <c r="B13" s="33" t="s">
        <v>60</v>
      </c>
      <c r="C13" s="21" t="s">
        <v>61</v>
      </c>
      <c r="D13" s="34" t="s">
        <v>62</v>
      </c>
      <c r="E13" s="35"/>
      <c r="F13" s="36">
        <v>88.56</v>
      </c>
      <c r="G13" s="35"/>
      <c r="H13" s="35"/>
      <c r="I13" s="35"/>
      <c r="J13" s="35"/>
      <c r="K13" s="35"/>
      <c r="L13" s="35"/>
      <c r="M13" s="35"/>
      <c r="N13" s="37"/>
    </row>
    <row r="14" spans="1:14" ht="13.5">
      <c r="A14" s="33"/>
      <c r="B14" s="33"/>
      <c r="C14" s="38" t="s">
        <v>63</v>
      </c>
      <c r="D14" s="35" t="s">
        <v>64</v>
      </c>
      <c r="E14" s="35">
        <f>20/1000</f>
        <v>0.02</v>
      </c>
      <c r="F14" s="35">
        <f>E14*F13</f>
        <v>1.7712000000000001</v>
      </c>
      <c r="G14" s="39"/>
      <c r="H14" s="39">
        <f>F14*G14</f>
        <v>0</v>
      </c>
      <c r="I14" s="40"/>
      <c r="J14" s="40"/>
      <c r="K14" s="40"/>
      <c r="L14" s="40"/>
      <c r="M14" s="40">
        <f>H14</f>
        <v>0</v>
      </c>
    </row>
    <row r="15" spans="1:14" ht="13.5">
      <c r="A15" s="33"/>
      <c r="B15" s="33"/>
      <c r="C15" s="38" t="s">
        <v>65</v>
      </c>
      <c r="D15" s="35" t="s">
        <v>66</v>
      </c>
      <c r="E15" s="35">
        <f>44.8/1000</f>
        <v>4.48E-2</v>
      </c>
      <c r="F15" s="35">
        <f>E15*F13</f>
        <v>3.9674879999999999</v>
      </c>
      <c r="G15" s="39"/>
      <c r="H15" s="39"/>
      <c r="I15" s="40"/>
      <c r="J15" s="41"/>
      <c r="K15" s="35"/>
      <c r="L15" s="42">
        <f>F15*K15</f>
        <v>0</v>
      </c>
      <c r="M15" s="40">
        <f>L15</f>
        <v>0</v>
      </c>
    </row>
    <row r="16" spans="1:14" ht="27">
      <c r="A16" s="33"/>
      <c r="B16" s="33"/>
      <c r="C16" s="38" t="s">
        <v>67</v>
      </c>
      <c r="D16" s="35" t="s">
        <v>64</v>
      </c>
      <c r="E16" s="35"/>
      <c r="F16" s="43">
        <f>F15</f>
        <v>3.9674879999999999</v>
      </c>
      <c r="G16" s="39"/>
      <c r="H16" s="39">
        <f>F16*G16</f>
        <v>0</v>
      </c>
      <c r="I16" s="40"/>
      <c r="J16" s="41"/>
      <c r="K16" s="40"/>
      <c r="L16" s="42"/>
      <c r="M16" s="40">
        <f>H16</f>
        <v>0</v>
      </c>
    </row>
    <row r="17" spans="1:14" ht="13.5">
      <c r="A17" s="33"/>
      <c r="B17" s="33"/>
      <c r="C17" s="38" t="s">
        <v>68</v>
      </c>
      <c r="D17" s="35" t="s">
        <v>69</v>
      </c>
      <c r="E17" s="44">
        <f>2.1/1000</f>
        <v>2.1000000000000003E-3</v>
      </c>
      <c r="F17" s="43">
        <f>E17*F13</f>
        <v>0.18597600000000003</v>
      </c>
      <c r="G17" s="35"/>
      <c r="H17" s="35"/>
      <c r="I17" s="35"/>
      <c r="J17" s="35"/>
      <c r="K17" s="35"/>
      <c r="L17" s="35">
        <f>F17*K17</f>
        <v>0</v>
      </c>
      <c r="M17" s="35">
        <f>L17</f>
        <v>0</v>
      </c>
    </row>
    <row r="18" spans="1:14" ht="15.75">
      <c r="A18" s="33"/>
      <c r="B18" s="33"/>
      <c r="C18" s="38" t="s">
        <v>70</v>
      </c>
      <c r="D18" s="35" t="s">
        <v>62</v>
      </c>
      <c r="E18" s="45">
        <f>0.09/1000</f>
        <v>8.9999999999999992E-5</v>
      </c>
      <c r="F18" s="35">
        <f>E18*F13</f>
        <v>7.970399999999999E-3</v>
      </c>
      <c r="G18" s="35"/>
      <c r="H18" s="35"/>
      <c r="I18" s="35"/>
      <c r="J18" s="35">
        <f>F18*I18</f>
        <v>0</v>
      </c>
      <c r="K18" s="32"/>
      <c r="L18" s="35"/>
      <c r="M18" s="35">
        <f>J18</f>
        <v>0</v>
      </c>
    </row>
    <row r="19" spans="1:14" ht="13.5">
      <c r="A19" s="46"/>
      <c r="B19" s="46"/>
      <c r="C19" s="47" t="s">
        <v>71</v>
      </c>
      <c r="D19" s="48" t="s">
        <v>72</v>
      </c>
      <c r="E19" s="49"/>
      <c r="F19" s="48">
        <f>F13*1.8</f>
        <v>159.40800000000002</v>
      </c>
      <c r="G19" s="48"/>
      <c r="H19" s="48"/>
      <c r="I19" s="48"/>
      <c r="J19" s="48"/>
      <c r="K19" s="50"/>
      <c r="L19" s="48">
        <f>F19*K19</f>
        <v>0</v>
      </c>
      <c r="M19" s="48">
        <f>L19</f>
        <v>0</v>
      </c>
    </row>
    <row r="20" spans="1:14" ht="40.5">
      <c r="A20" s="32">
        <v>2</v>
      </c>
      <c r="B20" s="51" t="s">
        <v>73</v>
      </c>
      <c r="C20" s="21" t="s">
        <v>74</v>
      </c>
      <c r="D20" s="34" t="s">
        <v>62</v>
      </c>
      <c r="E20" s="35"/>
      <c r="F20" s="36">
        <v>7.38</v>
      </c>
      <c r="G20" s="35"/>
      <c r="H20" s="35"/>
      <c r="I20" s="35"/>
      <c r="J20" s="35"/>
      <c r="K20" s="35"/>
      <c r="L20" s="35"/>
      <c r="M20" s="35"/>
      <c r="N20" s="37"/>
    </row>
    <row r="21" spans="1:14" ht="13.5">
      <c r="A21" s="52"/>
      <c r="B21" s="53"/>
      <c r="C21" s="54" t="s">
        <v>63</v>
      </c>
      <c r="D21" s="39" t="s">
        <v>64</v>
      </c>
      <c r="E21" s="55">
        <f>2.06+0.87</f>
        <v>2.93</v>
      </c>
      <c r="F21" s="39">
        <f>E21*F20</f>
        <v>21.6234</v>
      </c>
      <c r="G21" s="39"/>
      <c r="H21" s="39">
        <f>F21*G21</f>
        <v>0</v>
      </c>
      <c r="I21" s="40"/>
      <c r="J21" s="40"/>
      <c r="K21" s="40"/>
      <c r="L21" s="40"/>
      <c r="M21" s="40">
        <f>H21</f>
        <v>0</v>
      </c>
    </row>
    <row r="22" spans="1:14" ht="13.5">
      <c r="A22" s="46"/>
      <c r="B22" s="46"/>
      <c r="C22" s="47" t="s">
        <v>71</v>
      </c>
      <c r="D22" s="48" t="s">
        <v>72</v>
      </c>
      <c r="E22" s="49"/>
      <c r="F22" s="48">
        <f>F20*1.8</f>
        <v>13.284000000000001</v>
      </c>
      <c r="G22" s="48"/>
      <c r="H22" s="48"/>
      <c r="I22" s="48"/>
      <c r="J22" s="48"/>
      <c r="K22" s="50"/>
      <c r="L22" s="48">
        <f>F22*K22</f>
        <v>0</v>
      </c>
      <c r="M22" s="48">
        <f>L22</f>
        <v>0</v>
      </c>
    </row>
    <row r="23" spans="1:14" ht="27">
      <c r="A23" s="56">
        <v>3</v>
      </c>
      <c r="B23" s="57" t="s">
        <v>75</v>
      </c>
      <c r="C23" s="58" t="s">
        <v>76</v>
      </c>
      <c r="D23" s="51" t="s">
        <v>62</v>
      </c>
      <c r="E23" s="59"/>
      <c r="F23" s="60">
        <v>14.76</v>
      </c>
      <c r="G23" s="59"/>
      <c r="H23" s="59"/>
      <c r="I23" s="59"/>
      <c r="J23" s="59"/>
      <c r="K23" s="59"/>
      <c r="L23" s="59"/>
      <c r="M23" s="61"/>
    </row>
    <row r="24" spans="1:14" ht="13.5">
      <c r="A24" s="35"/>
      <c r="B24" s="33"/>
      <c r="C24" s="38" t="s">
        <v>63</v>
      </c>
      <c r="D24" s="35" t="s">
        <v>64</v>
      </c>
      <c r="E24" s="23">
        <v>2.12</v>
      </c>
      <c r="F24" s="23">
        <f>E24*F23</f>
        <v>31.2912</v>
      </c>
      <c r="G24" s="23"/>
      <c r="H24" s="62">
        <f>F24*G24</f>
        <v>0</v>
      </c>
      <c r="I24" s="23"/>
      <c r="J24" s="63"/>
      <c r="K24" s="23"/>
      <c r="L24" s="62"/>
      <c r="M24" s="23">
        <f>H24</f>
        <v>0</v>
      </c>
    </row>
    <row r="25" spans="1:14" ht="13.5">
      <c r="A25" s="35"/>
      <c r="B25" s="33"/>
      <c r="C25" s="22" t="s">
        <v>68</v>
      </c>
      <c r="D25" s="43" t="s">
        <v>69</v>
      </c>
      <c r="E25" s="44">
        <v>0.10100000000000001</v>
      </c>
      <c r="F25" s="35">
        <f>E25*F23</f>
        <v>1.4907600000000001</v>
      </c>
      <c r="G25" s="35"/>
      <c r="H25" s="43"/>
      <c r="I25" s="35"/>
      <c r="J25" s="64"/>
      <c r="K25" s="35"/>
      <c r="L25" s="43">
        <f>F25*K25</f>
        <v>0</v>
      </c>
      <c r="M25" s="35">
        <f>L25</f>
        <v>0</v>
      </c>
    </row>
    <row r="26" spans="1:14" ht="15.75">
      <c r="A26" s="48"/>
      <c r="B26" s="46"/>
      <c r="C26" s="65" t="s">
        <v>77</v>
      </c>
      <c r="D26" s="66" t="s">
        <v>62</v>
      </c>
      <c r="E26" s="48">
        <v>1.1000000000000001</v>
      </c>
      <c r="F26" s="48">
        <f>E26*F23</f>
        <v>16.236000000000001</v>
      </c>
      <c r="G26" s="48"/>
      <c r="H26" s="67"/>
      <c r="I26" s="48"/>
      <c r="J26" s="68">
        <f>F26*I26</f>
        <v>0</v>
      </c>
      <c r="K26" s="48"/>
      <c r="L26" s="67"/>
      <c r="M26" s="48">
        <f>J26</f>
        <v>0</v>
      </c>
    </row>
    <row r="27" spans="1:14" ht="15.75">
      <c r="A27" s="32">
        <v>4</v>
      </c>
      <c r="B27" s="69" t="s">
        <v>78</v>
      </c>
      <c r="C27" s="21" t="s">
        <v>79</v>
      </c>
      <c r="D27" s="34" t="s">
        <v>62</v>
      </c>
      <c r="E27" s="35"/>
      <c r="F27" s="36">
        <v>31.98</v>
      </c>
      <c r="G27" s="35"/>
      <c r="H27" s="35"/>
      <c r="I27" s="35"/>
      <c r="J27" s="35"/>
      <c r="K27" s="35"/>
      <c r="L27" s="35"/>
      <c r="M27" s="35"/>
      <c r="N27" s="37"/>
    </row>
    <row r="28" spans="1:14" ht="13.5">
      <c r="A28" s="70"/>
      <c r="B28" s="69"/>
      <c r="C28" s="38" t="s">
        <v>63</v>
      </c>
      <c r="D28" s="35" t="s">
        <v>64</v>
      </c>
      <c r="E28" s="23">
        <v>3.19</v>
      </c>
      <c r="F28" s="23">
        <f>E28*F27</f>
        <v>102.0162</v>
      </c>
      <c r="G28" s="23"/>
      <c r="H28" s="62">
        <f>F28*G28</f>
        <v>0</v>
      </c>
      <c r="I28" s="23"/>
      <c r="J28" s="63"/>
      <c r="K28" s="23"/>
      <c r="L28" s="62"/>
      <c r="M28" s="23">
        <f>H28</f>
        <v>0</v>
      </c>
    </row>
    <row r="29" spans="1:14" ht="13.5">
      <c r="A29" s="70"/>
      <c r="B29" s="69"/>
      <c r="C29" s="22" t="s">
        <v>80</v>
      </c>
      <c r="D29" s="35" t="s">
        <v>66</v>
      </c>
      <c r="E29" s="71">
        <v>0.42799999999999999</v>
      </c>
      <c r="F29" s="72">
        <f>E29*F27</f>
        <v>13.68744</v>
      </c>
      <c r="G29" s="63"/>
      <c r="H29" s="62"/>
      <c r="I29" s="23"/>
      <c r="J29" s="63"/>
      <c r="K29" s="23"/>
      <c r="L29" s="62">
        <f>F29*K29</f>
        <v>0</v>
      </c>
      <c r="M29" s="23">
        <f>L29</f>
        <v>0</v>
      </c>
    </row>
    <row r="30" spans="1:14" ht="27">
      <c r="A30" s="70"/>
      <c r="B30" s="69"/>
      <c r="C30" s="38" t="s">
        <v>67</v>
      </c>
      <c r="D30" s="35" t="s">
        <v>64</v>
      </c>
      <c r="E30" s="23"/>
      <c r="F30" s="72">
        <f>F29</f>
        <v>13.68744</v>
      </c>
      <c r="G30" s="63"/>
      <c r="H30" s="62">
        <f>F30*G30</f>
        <v>0</v>
      </c>
      <c r="I30" s="23"/>
      <c r="J30" s="63"/>
      <c r="K30" s="23"/>
      <c r="L30" s="62"/>
      <c r="M30" s="23">
        <f>H30</f>
        <v>0</v>
      </c>
    </row>
    <row r="31" spans="1:14" ht="13.5">
      <c r="A31" s="70"/>
      <c r="B31" s="69"/>
      <c r="C31" s="22" t="s">
        <v>68</v>
      </c>
      <c r="D31" s="43" t="s">
        <v>69</v>
      </c>
      <c r="E31" s="71">
        <v>0.83799999999999997</v>
      </c>
      <c r="F31" s="72">
        <f>E31*F27</f>
        <v>26.799240000000001</v>
      </c>
      <c r="G31" s="63"/>
      <c r="H31" s="62"/>
      <c r="I31" s="23"/>
      <c r="J31" s="63"/>
      <c r="K31" s="23"/>
      <c r="L31" s="62">
        <f>F31*K31</f>
        <v>0</v>
      </c>
      <c r="M31" s="23">
        <f>L31</f>
        <v>0</v>
      </c>
    </row>
    <row r="32" spans="1:14" ht="15.75">
      <c r="A32" s="70"/>
      <c r="B32" s="69"/>
      <c r="C32" s="22" t="s">
        <v>81</v>
      </c>
      <c r="D32" s="43" t="s">
        <v>62</v>
      </c>
      <c r="E32" s="23">
        <v>1.02</v>
      </c>
      <c r="F32" s="72">
        <f>E32*F27</f>
        <v>32.619599999999998</v>
      </c>
      <c r="G32" s="63"/>
      <c r="H32" s="62"/>
      <c r="I32" s="23"/>
      <c r="J32" s="63">
        <f>F32*I32</f>
        <v>0</v>
      </c>
      <c r="K32" s="23"/>
      <c r="L32" s="62"/>
      <c r="M32" s="23">
        <f>J32</f>
        <v>0</v>
      </c>
    </row>
    <row r="33" spans="1:14" ht="15.75">
      <c r="A33" s="70"/>
      <c r="B33" s="69"/>
      <c r="C33" s="22" t="s">
        <v>82</v>
      </c>
      <c r="D33" s="43" t="s">
        <v>62</v>
      </c>
      <c r="E33" s="23">
        <f>0.97/100</f>
        <v>9.7000000000000003E-3</v>
      </c>
      <c r="F33" s="73">
        <f>E33*F27</f>
        <v>0.31020600000000004</v>
      </c>
      <c r="G33" s="63"/>
      <c r="H33" s="62"/>
      <c r="I33" s="23"/>
      <c r="J33" s="63">
        <f t="shared" ref="J33:J38" si="0">F33*I33</f>
        <v>0</v>
      </c>
      <c r="K33" s="23"/>
      <c r="L33" s="62"/>
      <c r="M33" s="23">
        <f t="shared" ref="M33:M38" si="1">J33</f>
        <v>0</v>
      </c>
    </row>
    <row r="34" spans="1:14" ht="15.75">
      <c r="A34" s="70"/>
      <c r="B34" s="69"/>
      <c r="C34" s="22" t="s">
        <v>83</v>
      </c>
      <c r="D34" s="43" t="s">
        <v>62</v>
      </c>
      <c r="E34" s="23">
        <f>1.14/100</f>
        <v>1.1399999999999999E-2</v>
      </c>
      <c r="F34" s="73">
        <f>E34*F27</f>
        <v>0.36457199999999995</v>
      </c>
      <c r="G34" s="63"/>
      <c r="H34" s="62"/>
      <c r="I34" s="23"/>
      <c r="J34" s="63">
        <f t="shared" si="0"/>
        <v>0</v>
      </c>
      <c r="K34" s="23"/>
      <c r="L34" s="62"/>
      <c r="M34" s="23">
        <f t="shared" si="1"/>
        <v>0</v>
      </c>
    </row>
    <row r="35" spans="1:14" ht="27">
      <c r="A35" s="70"/>
      <c r="B35" s="69"/>
      <c r="C35" s="74" t="s">
        <v>84</v>
      </c>
      <c r="D35" s="43" t="s">
        <v>62</v>
      </c>
      <c r="E35" s="23">
        <f>1.37/100</f>
        <v>1.37E-2</v>
      </c>
      <c r="F35" s="73">
        <f>E35*F27</f>
        <v>0.43812600000000002</v>
      </c>
      <c r="G35" s="63"/>
      <c r="H35" s="62"/>
      <c r="I35" s="23"/>
      <c r="J35" s="63">
        <f t="shared" si="0"/>
        <v>0</v>
      </c>
      <c r="K35" s="23"/>
      <c r="L35" s="62"/>
      <c r="M35" s="23">
        <f t="shared" si="1"/>
        <v>0</v>
      </c>
    </row>
    <row r="36" spans="1:14" ht="15.75">
      <c r="A36" s="70"/>
      <c r="B36" s="69"/>
      <c r="C36" s="74" t="s">
        <v>85</v>
      </c>
      <c r="D36" s="43" t="s">
        <v>62</v>
      </c>
      <c r="E36" s="71">
        <f>0.22/100</f>
        <v>2.2000000000000001E-3</v>
      </c>
      <c r="F36" s="73">
        <f>E36*F27</f>
        <v>7.0356000000000002E-2</v>
      </c>
      <c r="G36" s="63"/>
      <c r="H36" s="62"/>
      <c r="I36" s="23"/>
      <c r="J36" s="63">
        <f t="shared" si="0"/>
        <v>0</v>
      </c>
      <c r="K36" s="23"/>
      <c r="L36" s="62"/>
      <c r="M36" s="23">
        <f t="shared" si="1"/>
        <v>0</v>
      </c>
    </row>
    <row r="37" spans="1:14" ht="13.5">
      <c r="A37" s="70"/>
      <c r="B37" s="69"/>
      <c r="C37" s="74" t="s">
        <v>86</v>
      </c>
      <c r="D37" s="43" t="s">
        <v>87</v>
      </c>
      <c r="E37" s="71">
        <v>0.51500000000000001</v>
      </c>
      <c r="F37" s="72">
        <f>E37*F27</f>
        <v>16.4697</v>
      </c>
      <c r="G37" s="63"/>
      <c r="H37" s="62"/>
      <c r="I37" s="23"/>
      <c r="J37" s="63">
        <f t="shared" si="0"/>
        <v>0</v>
      </c>
      <c r="K37" s="23"/>
      <c r="L37" s="62"/>
      <c r="M37" s="23">
        <f t="shared" si="1"/>
        <v>0</v>
      </c>
    </row>
    <row r="38" spans="1:14" ht="13.5">
      <c r="A38" s="75"/>
      <c r="B38" s="76"/>
      <c r="C38" s="77" t="s">
        <v>88</v>
      </c>
      <c r="D38" s="67" t="s">
        <v>69</v>
      </c>
      <c r="E38" s="78">
        <v>0.439</v>
      </c>
      <c r="F38" s="79">
        <f>E38*F27</f>
        <v>14.03922</v>
      </c>
      <c r="G38" s="80"/>
      <c r="H38" s="81"/>
      <c r="I38" s="24"/>
      <c r="J38" s="80">
        <f t="shared" si="0"/>
        <v>0</v>
      </c>
      <c r="K38" s="24"/>
      <c r="L38" s="81"/>
      <c r="M38" s="24">
        <f t="shared" si="1"/>
        <v>0</v>
      </c>
    </row>
    <row r="39" spans="1:14" ht="13.5">
      <c r="A39" s="70">
        <v>5</v>
      </c>
      <c r="B39" s="69" t="s">
        <v>89</v>
      </c>
      <c r="C39" s="74" t="s">
        <v>90</v>
      </c>
      <c r="D39" s="43" t="s">
        <v>72</v>
      </c>
      <c r="E39" s="71"/>
      <c r="F39" s="82">
        <f>F41+F42</f>
        <v>1.7047800000000002</v>
      </c>
      <c r="G39" s="63"/>
      <c r="H39" s="62"/>
      <c r="I39" s="23"/>
      <c r="J39" s="63"/>
      <c r="K39" s="23"/>
      <c r="L39" s="62"/>
      <c r="M39" s="23"/>
    </row>
    <row r="40" spans="1:14" ht="13.5">
      <c r="A40" s="70"/>
      <c r="B40" s="69"/>
      <c r="C40" s="38" t="s">
        <v>63</v>
      </c>
      <c r="D40" s="35" t="s">
        <v>64</v>
      </c>
      <c r="E40" s="23">
        <v>24.4</v>
      </c>
      <c r="F40" s="72">
        <f>E40*F39</f>
        <v>41.596632</v>
      </c>
      <c r="G40" s="63"/>
      <c r="H40" s="62">
        <f>F40*G40</f>
        <v>0</v>
      </c>
      <c r="I40" s="23"/>
      <c r="J40" s="63"/>
      <c r="K40" s="23"/>
      <c r="L40" s="62"/>
      <c r="M40" s="23">
        <f>H40</f>
        <v>0</v>
      </c>
    </row>
    <row r="41" spans="1:14" ht="13.5">
      <c r="A41" s="70"/>
      <c r="B41" s="69"/>
      <c r="C41" s="34" t="s">
        <v>91</v>
      </c>
      <c r="D41" s="35" t="s">
        <v>72</v>
      </c>
      <c r="E41" s="71" t="s">
        <v>92</v>
      </c>
      <c r="F41" s="73">
        <f>1525.2/1000</f>
        <v>1.5252000000000001</v>
      </c>
      <c r="G41" s="63"/>
      <c r="H41" s="62"/>
      <c r="I41" s="23"/>
      <c r="J41" s="63">
        <f>F41*I41</f>
        <v>0</v>
      </c>
      <c r="K41" s="23"/>
      <c r="L41" s="62"/>
      <c r="M41" s="23">
        <f>J41</f>
        <v>0</v>
      </c>
    </row>
    <row r="42" spans="1:14" ht="13.5">
      <c r="A42" s="75"/>
      <c r="B42" s="76"/>
      <c r="C42" s="83" t="s">
        <v>93</v>
      </c>
      <c r="D42" s="48" t="s">
        <v>72</v>
      </c>
      <c r="E42" s="78" t="s">
        <v>92</v>
      </c>
      <c r="F42" s="24">
        <f>179.58/1000</f>
        <v>0.17958000000000002</v>
      </c>
      <c r="G42" s="24"/>
      <c r="H42" s="24"/>
      <c r="I42" s="24"/>
      <c r="J42" s="81">
        <f>F42*I42</f>
        <v>0</v>
      </c>
      <c r="K42" s="24"/>
      <c r="L42" s="24"/>
      <c r="M42" s="24">
        <f>J42</f>
        <v>0</v>
      </c>
    </row>
    <row r="43" spans="1:14" ht="27">
      <c r="A43" s="32">
        <v>6</v>
      </c>
      <c r="B43" s="33" t="s">
        <v>94</v>
      </c>
      <c r="C43" s="84" t="s">
        <v>95</v>
      </c>
      <c r="D43" s="35" t="s">
        <v>72</v>
      </c>
      <c r="E43" s="35"/>
      <c r="F43" s="82">
        <f>(F46+F48+F47+F49)/1000</f>
        <v>0.31542000000000003</v>
      </c>
      <c r="G43" s="35"/>
      <c r="H43" s="35"/>
      <c r="I43" s="35"/>
      <c r="J43" s="35"/>
      <c r="K43" s="35"/>
      <c r="L43" s="35"/>
      <c r="M43" s="35"/>
      <c r="N43" s="37"/>
    </row>
    <row r="44" spans="1:14" ht="13.5">
      <c r="A44" s="33"/>
      <c r="B44" s="33"/>
      <c r="C44" s="38" t="s">
        <v>63</v>
      </c>
      <c r="D44" s="35" t="s">
        <v>64</v>
      </c>
      <c r="E44" s="35">
        <v>34.9</v>
      </c>
      <c r="F44" s="85">
        <f>E44*F43</f>
        <v>11.008158</v>
      </c>
      <c r="G44" s="64"/>
      <c r="H44" s="43">
        <f>F44*G44</f>
        <v>0</v>
      </c>
      <c r="I44" s="35"/>
      <c r="J44" s="64"/>
      <c r="K44" s="32"/>
      <c r="L44" s="43"/>
      <c r="M44" s="35">
        <f>H44</f>
        <v>0</v>
      </c>
    </row>
    <row r="45" spans="1:14" ht="13.5">
      <c r="A45" s="33"/>
      <c r="B45" s="33"/>
      <c r="C45" s="86" t="s">
        <v>96</v>
      </c>
      <c r="D45" s="43" t="s">
        <v>69</v>
      </c>
      <c r="E45" s="35">
        <v>4.07</v>
      </c>
      <c r="F45" s="85">
        <f>E45*F43</f>
        <v>1.2837594000000003</v>
      </c>
      <c r="G45" s="64"/>
      <c r="H45" s="43"/>
      <c r="I45" s="35"/>
      <c r="J45" s="64"/>
      <c r="K45" s="35"/>
      <c r="L45" s="43">
        <f>F45*K45</f>
        <v>0</v>
      </c>
      <c r="M45" s="35">
        <f>L45</f>
        <v>0</v>
      </c>
    </row>
    <row r="46" spans="1:14" ht="13.5">
      <c r="A46" s="33"/>
      <c r="B46" s="33"/>
      <c r="C46" s="86" t="s">
        <v>97</v>
      </c>
      <c r="D46" s="43" t="s">
        <v>87</v>
      </c>
      <c r="E46" s="23" t="s">
        <v>92</v>
      </c>
      <c r="F46" s="85">
        <v>2.87</v>
      </c>
      <c r="G46" s="64"/>
      <c r="H46" s="43"/>
      <c r="I46" s="44"/>
      <c r="J46" s="64">
        <f>F46*I46</f>
        <v>0</v>
      </c>
      <c r="K46" s="35"/>
      <c r="L46" s="43"/>
      <c r="M46" s="35">
        <f>J46</f>
        <v>0</v>
      </c>
    </row>
    <row r="47" spans="1:14" ht="13.5">
      <c r="A47" s="33"/>
      <c r="B47" s="33"/>
      <c r="C47" s="86" t="s">
        <v>98</v>
      </c>
      <c r="D47" s="43" t="s">
        <v>87</v>
      </c>
      <c r="E47" s="23" t="s">
        <v>92</v>
      </c>
      <c r="F47" s="85">
        <v>229.46</v>
      </c>
      <c r="G47" s="64"/>
      <c r="H47" s="43"/>
      <c r="I47" s="44"/>
      <c r="J47" s="35">
        <f t="shared" ref="J47:J52" si="2">F47*I47</f>
        <v>0</v>
      </c>
      <c r="K47" s="32"/>
      <c r="L47" s="43"/>
      <c r="M47" s="35">
        <f t="shared" ref="M47:M52" si="3">J47</f>
        <v>0</v>
      </c>
    </row>
    <row r="48" spans="1:14" ht="13.5">
      <c r="A48" s="33"/>
      <c r="B48" s="33"/>
      <c r="C48" s="86" t="s">
        <v>99</v>
      </c>
      <c r="D48" s="43" t="s">
        <v>87</v>
      </c>
      <c r="E48" s="23" t="s">
        <v>92</v>
      </c>
      <c r="F48" s="85">
        <v>10.57</v>
      </c>
      <c r="G48" s="64"/>
      <c r="H48" s="43"/>
      <c r="I48" s="44"/>
      <c r="J48" s="35">
        <f t="shared" si="2"/>
        <v>0</v>
      </c>
      <c r="K48" s="32"/>
      <c r="L48" s="43"/>
      <c r="M48" s="35">
        <f t="shared" si="3"/>
        <v>0</v>
      </c>
    </row>
    <row r="49" spans="1:13" ht="13.5">
      <c r="A49" s="33"/>
      <c r="B49" s="33"/>
      <c r="C49" s="86" t="s">
        <v>100</v>
      </c>
      <c r="D49" s="43" t="s">
        <v>87</v>
      </c>
      <c r="E49" s="23" t="s">
        <v>92</v>
      </c>
      <c r="F49" s="85">
        <v>72.52</v>
      </c>
      <c r="G49" s="64"/>
      <c r="H49" s="43"/>
      <c r="I49" s="44"/>
      <c r="J49" s="35">
        <f t="shared" si="2"/>
        <v>0</v>
      </c>
      <c r="K49" s="32"/>
      <c r="L49" s="43"/>
      <c r="M49" s="35">
        <f t="shared" si="3"/>
        <v>0</v>
      </c>
    </row>
    <row r="50" spans="1:13" ht="13.5">
      <c r="A50" s="33"/>
      <c r="B50" s="33"/>
      <c r="C50" s="86" t="s">
        <v>101</v>
      </c>
      <c r="D50" s="43" t="s">
        <v>87</v>
      </c>
      <c r="E50" s="35">
        <v>3.3</v>
      </c>
      <c r="F50" s="85">
        <f>E50*F43</f>
        <v>1.040886</v>
      </c>
      <c r="G50" s="64"/>
      <c r="H50" s="43"/>
      <c r="I50" s="35"/>
      <c r="J50" s="35">
        <f t="shared" si="2"/>
        <v>0</v>
      </c>
      <c r="K50" s="32"/>
      <c r="L50" s="43"/>
      <c r="M50" s="35">
        <f t="shared" si="3"/>
        <v>0</v>
      </c>
    </row>
    <row r="51" spans="1:13" ht="13.5">
      <c r="A51" s="33"/>
      <c r="B51" s="33"/>
      <c r="C51" s="86" t="s">
        <v>102</v>
      </c>
      <c r="D51" s="43" t="s">
        <v>87</v>
      </c>
      <c r="E51" s="35">
        <v>15.2</v>
      </c>
      <c r="F51" s="85">
        <f>E51*F43</f>
        <v>4.794384</v>
      </c>
      <c r="G51" s="64"/>
      <c r="H51" s="43"/>
      <c r="I51" s="35"/>
      <c r="J51" s="35">
        <f t="shared" si="2"/>
        <v>0</v>
      </c>
      <c r="K51" s="32"/>
      <c r="L51" s="43"/>
      <c r="M51" s="35">
        <f t="shared" si="3"/>
        <v>0</v>
      </c>
    </row>
    <row r="52" spans="1:13" ht="13.5">
      <c r="A52" s="46"/>
      <c r="B52" s="46"/>
      <c r="C52" s="87" t="s">
        <v>103</v>
      </c>
      <c r="D52" s="48" t="s">
        <v>69</v>
      </c>
      <c r="E52" s="48">
        <v>2.78</v>
      </c>
      <c r="F52" s="88">
        <f>E52*F43</f>
        <v>0.87686760000000008</v>
      </c>
      <c r="G52" s="68"/>
      <c r="H52" s="67"/>
      <c r="I52" s="48"/>
      <c r="J52" s="48">
        <f t="shared" si="2"/>
        <v>0</v>
      </c>
      <c r="K52" s="50"/>
      <c r="L52" s="67"/>
      <c r="M52" s="48">
        <f t="shared" si="3"/>
        <v>0</v>
      </c>
    </row>
    <row r="53" spans="1:13" ht="13.5">
      <c r="A53" s="33"/>
      <c r="B53" s="33"/>
      <c r="C53" s="89" t="s">
        <v>30</v>
      </c>
      <c r="D53" s="90" t="s">
        <v>69</v>
      </c>
      <c r="E53" s="35"/>
      <c r="F53" s="35"/>
      <c r="G53" s="35"/>
      <c r="H53" s="35">
        <f>SUM(H13:H52)</f>
        <v>0</v>
      </c>
      <c r="I53" s="35"/>
      <c r="J53" s="35">
        <f>SUM(J13:J52)</f>
        <v>0</v>
      </c>
      <c r="K53" s="32"/>
      <c r="L53" s="35">
        <f>SUM(L14:L52)</f>
        <v>0</v>
      </c>
      <c r="M53" s="35">
        <f>SUM(H53:L53)</f>
        <v>0</v>
      </c>
    </row>
    <row r="54" spans="1:13" ht="13.5">
      <c r="A54" s="91"/>
      <c r="B54" s="91"/>
      <c r="C54" s="92" t="s">
        <v>147</v>
      </c>
      <c r="D54" s="90" t="s">
        <v>69</v>
      </c>
      <c r="E54" s="93"/>
      <c r="F54" s="94"/>
      <c r="G54" s="95"/>
      <c r="H54" s="93">
        <f>E54*H53</f>
        <v>0</v>
      </c>
      <c r="I54" s="93"/>
      <c r="J54" s="93">
        <f>E54*J53</f>
        <v>0</v>
      </c>
      <c r="K54" s="93"/>
      <c r="L54" s="93">
        <f>E54*L53</f>
        <v>0</v>
      </c>
      <c r="M54" s="93">
        <f>SUM(H54:L54)</f>
        <v>0</v>
      </c>
    </row>
    <row r="55" spans="1:13" ht="13.5">
      <c r="A55" s="96"/>
      <c r="B55" s="91"/>
      <c r="C55" s="89" t="s">
        <v>30</v>
      </c>
      <c r="D55" s="90" t="s">
        <v>69</v>
      </c>
      <c r="E55" s="97"/>
      <c r="F55" s="89"/>
      <c r="G55" s="89"/>
      <c r="H55" s="97">
        <f>SUM(H53:H54)</f>
        <v>0</v>
      </c>
      <c r="I55" s="97"/>
      <c r="J55" s="97">
        <f>SUM(J53:J54)</f>
        <v>0</v>
      </c>
      <c r="K55" s="97"/>
      <c r="L55" s="97">
        <f>SUM(L53:L54)</f>
        <v>0</v>
      </c>
      <c r="M55" s="97">
        <f>SUM(H55:L55)</f>
        <v>0</v>
      </c>
    </row>
    <row r="56" spans="1:13" ht="13.5">
      <c r="A56" s="91"/>
      <c r="B56" s="91"/>
      <c r="C56" s="91" t="s">
        <v>148</v>
      </c>
      <c r="D56" s="90" t="s">
        <v>69</v>
      </c>
      <c r="E56" s="93"/>
      <c r="F56" s="98"/>
      <c r="G56" s="93"/>
      <c r="H56" s="93">
        <f>E56*H55</f>
        <v>0</v>
      </c>
      <c r="I56" s="93"/>
      <c r="J56" s="93">
        <f>E56*J55</f>
        <v>0</v>
      </c>
      <c r="K56" s="93"/>
      <c r="L56" s="93">
        <f>E56*L55</f>
        <v>0</v>
      </c>
      <c r="M56" s="93">
        <f>SUM(H56:L56)</f>
        <v>0</v>
      </c>
    </row>
    <row r="57" spans="1:13" ht="13.5">
      <c r="A57" s="99"/>
      <c r="B57" s="100"/>
      <c r="C57" s="101" t="s">
        <v>30</v>
      </c>
      <c r="D57" s="102" t="s">
        <v>69</v>
      </c>
      <c r="E57" s="101"/>
      <c r="F57" s="101"/>
      <c r="G57" s="101"/>
      <c r="H57" s="103">
        <f>SUM(H55:H56)</f>
        <v>0</v>
      </c>
      <c r="I57" s="103"/>
      <c r="J57" s="103">
        <f>SUM(J55:J56)</f>
        <v>0</v>
      </c>
      <c r="K57" s="103"/>
      <c r="L57" s="103">
        <f>SUM(L55:L56)</f>
        <v>0</v>
      </c>
      <c r="M57" s="103">
        <f>SUM(H57:L57)</f>
        <v>0</v>
      </c>
    </row>
  </sheetData>
  <mergeCells count="23">
    <mergeCell ref="A1:M1"/>
    <mergeCell ref="A2:M2"/>
    <mergeCell ref="A3:M3"/>
    <mergeCell ref="A4:M4"/>
    <mergeCell ref="B5:D5"/>
    <mergeCell ref="F5:I5"/>
    <mergeCell ref="B6:C6"/>
    <mergeCell ref="F6:I6"/>
    <mergeCell ref="A8:A11"/>
    <mergeCell ref="B8:B11"/>
    <mergeCell ref="C8:C11"/>
    <mergeCell ref="D8:F9"/>
    <mergeCell ref="G8:H9"/>
    <mergeCell ref="I8:J9"/>
    <mergeCell ref="K8:L8"/>
    <mergeCell ref="M8:M11"/>
    <mergeCell ref="K9:L9"/>
    <mergeCell ref="D10:D11"/>
    <mergeCell ref="E10:E11"/>
    <mergeCell ref="F10:F11"/>
    <mergeCell ref="H10:H11"/>
    <mergeCell ref="J10:J11"/>
    <mergeCell ref="L10:L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60" zoomScaleNormal="100" workbookViewId="0">
      <selection activeCell="C12" sqref="C12"/>
    </sheetView>
  </sheetViews>
  <sheetFormatPr defaultRowHeight="18"/>
  <cols>
    <col min="1" max="1" width="9.140625" style="2"/>
    <col min="2" max="2" width="61" style="18" customWidth="1"/>
    <col min="3" max="3" width="27.28515625" style="2" customWidth="1"/>
    <col min="4" max="16384" width="9.140625" style="2"/>
  </cols>
  <sheetData>
    <row r="1" spans="1:4" ht="18.75">
      <c r="A1" s="120"/>
      <c r="B1" s="120"/>
      <c r="C1" s="120"/>
    </row>
    <row r="2" spans="1:4" ht="57.75" customHeight="1">
      <c r="A2" s="231" t="s">
        <v>152</v>
      </c>
      <c r="B2" s="231"/>
      <c r="C2" s="231"/>
      <c r="D2" s="3"/>
    </row>
    <row r="3" spans="1:4" ht="21">
      <c r="A3" s="4"/>
      <c r="B3" s="5"/>
      <c r="C3" s="4"/>
      <c r="D3" s="7"/>
    </row>
    <row r="4" spans="1:4" ht="15" customHeight="1">
      <c r="A4" s="221" t="s">
        <v>0</v>
      </c>
      <c r="B4" s="224" t="s">
        <v>153</v>
      </c>
      <c r="C4" s="227" t="s">
        <v>154</v>
      </c>
      <c r="D4" s="7"/>
    </row>
    <row r="5" spans="1:4" ht="15" customHeight="1">
      <c r="A5" s="222"/>
      <c r="B5" s="225"/>
      <c r="C5" s="228"/>
      <c r="D5" s="7"/>
    </row>
    <row r="6" spans="1:4" ht="15" customHeight="1">
      <c r="A6" s="222"/>
      <c r="B6" s="225"/>
      <c r="C6" s="228"/>
      <c r="D6" s="7"/>
    </row>
    <row r="7" spans="1:4" ht="15" customHeight="1">
      <c r="A7" s="222"/>
      <c r="B7" s="225"/>
      <c r="C7" s="228"/>
      <c r="D7" s="7"/>
    </row>
    <row r="8" spans="1:4" ht="15" customHeight="1">
      <c r="A8" s="222"/>
      <c r="B8" s="225"/>
      <c r="C8" s="228"/>
      <c r="D8" s="7"/>
    </row>
    <row r="9" spans="1:4" ht="15" customHeight="1">
      <c r="A9" s="222"/>
      <c r="B9" s="225"/>
      <c r="C9" s="228"/>
      <c r="D9" s="7"/>
    </row>
    <row r="10" spans="1:4" ht="15" customHeight="1">
      <c r="A10" s="223"/>
      <c r="B10" s="226"/>
      <c r="C10" s="229"/>
      <c r="D10" s="7"/>
    </row>
    <row r="11" spans="1:4" ht="21">
      <c r="A11" s="166">
        <v>1</v>
      </c>
      <c r="B11" s="166">
        <v>2</v>
      </c>
      <c r="C11" s="9">
        <v>3</v>
      </c>
      <c r="D11" s="7"/>
    </row>
    <row r="12" spans="1:4" ht="45" customHeight="1">
      <c r="A12" s="167">
        <v>1</v>
      </c>
      <c r="B12" s="168" t="s">
        <v>155</v>
      </c>
      <c r="C12" s="14"/>
      <c r="D12" s="7"/>
    </row>
    <row r="13" spans="1:4" ht="45" customHeight="1">
      <c r="A13" s="167">
        <v>2</v>
      </c>
      <c r="B13" s="168" t="s">
        <v>156</v>
      </c>
      <c r="C13" s="14"/>
      <c r="D13" s="7"/>
    </row>
    <row r="14" spans="1:4" ht="38.25" customHeight="1">
      <c r="A14" s="169"/>
      <c r="B14" s="169" t="s">
        <v>32</v>
      </c>
      <c r="C14" s="170">
        <f>SUM(C12:C13)</f>
        <v>0</v>
      </c>
      <c r="D14" s="7"/>
    </row>
    <row r="15" spans="1:4">
      <c r="A15" s="121"/>
      <c r="B15" s="123"/>
      <c r="C15" s="125"/>
    </row>
    <row r="16" spans="1:4">
      <c r="A16" s="230"/>
      <c r="B16" s="230"/>
      <c r="C16" s="230"/>
    </row>
    <row r="17" spans="1:4">
      <c r="A17" s="219"/>
      <c r="B17" s="219"/>
      <c r="C17" s="219"/>
    </row>
    <row r="18" spans="1:4">
      <c r="A18" s="218"/>
      <c r="B18" s="218"/>
      <c r="C18" s="218"/>
    </row>
    <row r="19" spans="1:4">
      <c r="A19" s="219"/>
      <c r="B19" s="219"/>
      <c r="C19" s="219"/>
    </row>
    <row r="20" spans="1:4">
      <c r="A20" s="218"/>
      <c r="B20" s="218"/>
      <c r="C20" s="218"/>
      <c r="D20" s="19"/>
    </row>
    <row r="21" spans="1:4">
      <c r="A21" s="126"/>
      <c r="B21" s="127"/>
      <c r="C21" s="129"/>
    </row>
    <row r="22" spans="1:4">
      <c r="A22" s="219"/>
      <c r="B22" s="219"/>
      <c r="C22" s="219"/>
    </row>
    <row r="23" spans="1:4">
      <c r="A23" s="130"/>
      <c r="B23" s="131"/>
      <c r="C23" s="132"/>
    </row>
    <row r="24" spans="1:4">
      <c r="A24" s="130"/>
      <c r="B24" s="131"/>
      <c r="C24" s="132"/>
    </row>
    <row r="25" spans="1:4">
      <c r="A25" s="130"/>
      <c r="B25" s="131"/>
      <c r="C25" s="130"/>
    </row>
    <row r="26" spans="1:4">
      <c r="A26" s="130"/>
      <c r="B26" s="131"/>
      <c r="C26" s="130"/>
    </row>
    <row r="27" spans="1:4">
      <c r="A27" s="130"/>
      <c r="B27" s="131"/>
      <c r="C27" s="130"/>
    </row>
  </sheetData>
  <mergeCells count="10">
    <mergeCell ref="A18:C18"/>
    <mergeCell ref="A19:C19"/>
    <mergeCell ref="A20:C20"/>
    <mergeCell ref="A22:C22"/>
    <mergeCell ref="A2:C2"/>
    <mergeCell ref="A4:A10"/>
    <mergeCell ref="B4:B10"/>
    <mergeCell ref="C4:C10"/>
    <mergeCell ref="A16:C16"/>
    <mergeCell ref="A17:C1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="60" zoomScaleNormal="100" workbookViewId="0">
      <selection activeCell="I8" sqref="I8"/>
    </sheetView>
  </sheetViews>
  <sheetFormatPr defaultRowHeight="13.5"/>
  <cols>
    <col min="1" max="1" width="6.140625" style="213" customWidth="1"/>
    <col min="2" max="2" width="45.5703125" style="178" customWidth="1"/>
    <col min="3" max="3" width="7.140625" style="178" customWidth="1"/>
    <col min="4" max="4" width="8.85546875" style="214" customWidth="1"/>
    <col min="5" max="5" width="8.140625" style="214" customWidth="1"/>
    <col min="6" max="6" width="7" style="214" customWidth="1"/>
    <col min="7" max="7" width="7.42578125" style="214" customWidth="1"/>
    <col min="8" max="8" width="7.5703125" style="214" customWidth="1"/>
    <col min="9" max="9" width="8" style="214" customWidth="1"/>
    <col min="10" max="10" width="7.5703125" style="214" customWidth="1"/>
    <col min="11" max="11" width="8" style="214" customWidth="1"/>
    <col min="12" max="12" width="9" style="178" customWidth="1"/>
    <col min="13" max="13" width="9.140625" style="178" hidden="1" customWidth="1"/>
    <col min="14" max="16384" width="9.140625" style="178"/>
  </cols>
  <sheetData>
    <row r="1" spans="1:13" s="171" customFormat="1" ht="37.5" customHeight="1">
      <c r="A1" s="238" t="s">
        <v>157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3">
      <c r="A2" s="172"/>
      <c r="B2" s="173" t="s">
        <v>158</v>
      </c>
      <c r="C2" s="174"/>
      <c r="D2" s="175"/>
      <c r="E2" s="176"/>
      <c r="F2" s="177"/>
      <c r="G2" s="239"/>
      <c r="H2" s="239"/>
      <c r="I2" s="239"/>
      <c r="J2" s="177"/>
      <c r="K2" s="177"/>
    </row>
    <row r="3" spans="1:13">
      <c r="A3" s="240" t="s">
        <v>35</v>
      </c>
      <c r="B3" s="179"/>
      <c r="C3" s="243" t="s">
        <v>44</v>
      </c>
      <c r="D3" s="180"/>
      <c r="E3" s="246" t="s">
        <v>159</v>
      </c>
      <c r="F3" s="247"/>
      <c r="G3" s="246" t="s">
        <v>160</v>
      </c>
      <c r="H3" s="247"/>
      <c r="I3" s="250" t="s">
        <v>161</v>
      </c>
      <c r="J3" s="251"/>
      <c r="K3" s="236" t="s">
        <v>42</v>
      </c>
      <c r="L3" s="233"/>
      <c r="M3" s="233"/>
    </row>
    <row r="4" spans="1:13">
      <c r="A4" s="241"/>
      <c r="B4" s="181" t="s">
        <v>162</v>
      </c>
      <c r="C4" s="244"/>
      <c r="D4" s="182"/>
      <c r="E4" s="248"/>
      <c r="F4" s="249"/>
      <c r="G4" s="248"/>
      <c r="H4" s="249"/>
      <c r="I4" s="234" t="s">
        <v>163</v>
      </c>
      <c r="J4" s="235"/>
      <c r="K4" s="252"/>
    </row>
    <row r="5" spans="1:13">
      <c r="A5" s="241"/>
      <c r="B5" s="183" t="s">
        <v>164</v>
      </c>
      <c r="C5" s="244"/>
      <c r="D5" s="236" t="s">
        <v>30</v>
      </c>
      <c r="E5" s="184" t="s">
        <v>45</v>
      </c>
      <c r="F5" s="236" t="s">
        <v>30</v>
      </c>
      <c r="G5" s="184" t="s">
        <v>45</v>
      </c>
      <c r="H5" s="236" t="s">
        <v>30</v>
      </c>
      <c r="I5" s="184" t="s">
        <v>45</v>
      </c>
      <c r="J5" s="236" t="s">
        <v>30</v>
      </c>
      <c r="K5" s="252"/>
    </row>
    <row r="6" spans="1:13">
      <c r="A6" s="242"/>
      <c r="B6" s="185"/>
      <c r="C6" s="245"/>
      <c r="D6" s="237"/>
      <c r="E6" s="186" t="s">
        <v>46</v>
      </c>
      <c r="F6" s="237"/>
      <c r="G6" s="186" t="s">
        <v>46</v>
      </c>
      <c r="H6" s="237"/>
      <c r="I6" s="186" t="s">
        <v>46</v>
      </c>
      <c r="J6" s="237"/>
      <c r="K6" s="237"/>
    </row>
    <row r="7" spans="1:13" s="191" customFormat="1">
      <c r="A7" s="187">
        <v>1</v>
      </c>
      <c r="B7" s="188">
        <v>2</v>
      </c>
      <c r="C7" s="189">
        <v>3</v>
      </c>
      <c r="D7" s="189">
        <v>4</v>
      </c>
      <c r="E7" s="189">
        <v>5</v>
      </c>
      <c r="F7" s="189">
        <v>6</v>
      </c>
      <c r="G7" s="189">
        <v>7</v>
      </c>
      <c r="H7" s="189">
        <v>8</v>
      </c>
      <c r="I7" s="190">
        <v>9</v>
      </c>
      <c r="J7" s="190">
        <v>10</v>
      </c>
      <c r="K7" s="190">
        <v>11</v>
      </c>
    </row>
    <row r="8" spans="1:13" s="191" customFormat="1" ht="75" customHeight="1">
      <c r="A8" s="192">
        <v>1</v>
      </c>
      <c r="B8" s="193" t="s">
        <v>165</v>
      </c>
      <c r="C8" s="194" t="s">
        <v>166</v>
      </c>
      <c r="D8" s="195">
        <v>104</v>
      </c>
      <c r="E8" s="195"/>
      <c r="F8" s="195"/>
      <c r="G8" s="195"/>
      <c r="H8" s="195"/>
      <c r="I8" s="195"/>
      <c r="J8" s="195"/>
      <c r="K8" s="195"/>
    </row>
    <row r="9" spans="1:13" s="198" customFormat="1" ht="40.5">
      <c r="A9" s="192">
        <v>2</v>
      </c>
      <c r="B9" s="196" t="s">
        <v>167</v>
      </c>
      <c r="C9" s="194" t="s">
        <v>168</v>
      </c>
      <c r="D9" s="195">
        <v>8</v>
      </c>
      <c r="E9" s="195"/>
      <c r="F9" s="197"/>
      <c r="G9" s="197"/>
      <c r="H9" s="195"/>
      <c r="I9" s="195"/>
      <c r="J9" s="195"/>
      <c r="K9" s="195"/>
    </row>
    <row r="10" spans="1:13" s="198" customFormat="1" ht="27">
      <c r="A10" s="192">
        <v>3</v>
      </c>
      <c r="B10" s="196" t="s">
        <v>169</v>
      </c>
      <c r="C10" s="199" t="s">
        <v>170</v>
      </c>
      <c r="D10" s="195">
        <v>175</v>
      </c>
      <c r="E10" s="195"/>
      <c r="F10" s="197"/>
      <c r="G10" s="195"/>
      <c r="H10" s="195"/>
      <c r="I10" s="195"/>
      <c r="J10" s="195"/>
      <c r="K10" s="195"/>
    </row>
    <row r="11" spans="1:13" s="198" customFormat="1" ht="27">
      <c r="A11" s="192">
        <v>4</v>
      </c>
      <c r="B11" s="196" t="s">
        <v>171</v>
      </c>
      <c r="C11" s="199" t="s">
        <v>170</v>
      </c>
      <c r="D11" s="195">
        <v>25</v>
      </c>
      <c r="E11" s="195"/>
      <c r="F11" s="197"/>
      <c r="G11" s="195"/>
      <c r="H11" s="195"/>
      <c r="I11" s="195"/>
      <c r="J11" s="195"/>
      <c r="K11" s="195"/>
    </row>
    <row r="12" spans="1:13" s="198" customFormat="1" ht="27">
      <c r="A12" s="192">
        <v>5</v>
      </c>
      <c r="B12" s="196" t="s">
        <v>172</v>
      </c>
      <c r="C12" s="194" t="s">
        <v>166</v>
      </c>
      <c r="D12" s="195">
        <v>32</v>
      </c>
      <c r="E12" s="195"/>
      <c r="F12" s="197"/>
      <c r="G12" s="195"/>
      <c r="H12" s="195"/>
      <c r="I12" s="195"/>
      <c r="J12" s="195"/>
      <c r="K12" s="195"/>
    </row>
    <row r="13" spans="1:13" s="198" customFormat="1" ht="27">
      <c r="A13" s="192">
        <v>6</v>
      </c>
      <c r="B13" s="196" t="s">
        <v>173</v>
      </c>
      <c r="C13" s="194" t="s">
        <v>166</v>
      </c>
      <c r="D13" s="195">
        <v>35</v>
      </c>
      <c r="E13" s="195"/>
      <c r="F13" s="197"/>
      <c r="G13" s="195"/>
      <c r="H13" s="195"/>
      <c r="I13" s="195"/>
      <c r="J13" s="195"/>
      <c r="K13" s="195"/>
    </row>
    <row r="14" spans="1:13" s="207" customFormat="1">
      <c r="A14" s="200"/>
      <c r="B14" s="215" t="s">
        <v>174</v>
      </c>
      <c r="C14" s="201"/>
      <c r="D14" s="202"/>
      <c r="E14" s="203"/>
      <c r="F14" s="204"/>
      <c r="G14" s="203"/>
      <c r="H14" s="205"/>
      <c r="I14" s="203"/>
      <c r="J14" s="203"/>
      <c r="K14" s="206"/>
    </row>
    <row r="15" spans="1:13">
      <c r="A15" s="208"/>
      <c r="B15" s="216" t="s">
        <v>182</v>
      </c>
      <c r="C15" s="209"/>
      <c r="D15" s="210"/>
      <c r="E15" s="210"/>
      <c r="F15" s="210"/>
      <c r="G15" s="210"/>
      <c r="H15" s="210"/>
      <c r="I15" s="210"/>
      <c r="J15" s="210"/>
      <c r="K15" s="210"/>
    </row>
    <row r="16" spans="1:13">
      <c r="A16" s="208"/>
      <c r="B16" s="216" t="s">
        <v>42</v>
      </c>
      <c r="C16" s="211"/>
      <c r="D16" s="210"/>
      <c r="E16" s="210"/>
      <c r="F16" s="210"/>
      <c r="G16" s="210"/>
      <c r="H16" s="210"/>
      <c r="I16" s="210"/>
      <c r="J16" s="210"/>
      <c r="K16" s="210"/>
    </row>
    <row r="17" spans="1:11">
      <c r="A17" s="208"/>
      <c r="B17" s="216" t="s">
        <v>183</v>
      </c>
      <c r="C17" s="211"/>
      <c r="D17" s="210"/>
      <c r="E17" s="210"/>
      <c r="F17" s="210"/>
      <c r="G17" s="210"/>
      <c r="H17" s="210"/>
      <c r="I17" s="210"/>
      <c r="J17" s="210"/>
      <c r="K17" s="210"/>
    </row>
    <row r="18" spans="1:11">
      <c r="A18" s="208"/>
      <c r="B18" s="216" t="s">
        <v>42</v>
      </c>
      <c r="C18" s="211"/>
      <c r="D18" s="210"/>
      <c r="E18" s="210"/>
      <c r="F18" s="210"/>
      <c r="G18" s="210"/>
      <c r="H18" s="210"/>
      <c r="I18" s="210"/>
      <c r="J18" s="210"/>
      <c r="K18" s="210"/>
    </row>
    <row r="19" spans="1:11">
      <c r="A19" s="208"/>
      <c r="B19" s="216" t="s">
        <v>184</v>
      </c>
      <c r="C19" s="211"/>
      <c r="D19" s="210"/>
      <c r="E19" s="210"/>
      <c r="F19" s="210"/>
      <c r="G19" s="210"/>
      <c r="H19" s="210"/>
      <c r="I19" s="210"/>
      <c r="J19" s="210"/>
      <c r="K19" s="210"/>
    </row>
    <row r="20" spans="1:11">
      <c r="A20" s="208"/>
      <c r="B20" s="216" t="s">
        <v>42</v>
      </c>
      <c r="C20" s="211"/>
      <c r="D20" s="210"/>
      <c r="E20" s="210"/>
      <c r="F20" s="210"/>
      <c r="G20" s="210"/>
      <c r="H20" s="210"/>
      <c r="I20" s="210"/>
      <c r="J20" s="210"/>
      <c r="K20" s="210"/>
    </row>
    <row r="21" spans="1:11">
      <c r="A21" s="208"/>
      <c r="B21" s="216" t="s">
        <v>31</v>
      </c>
      <c r="C21" s="211"/>
      <c r="D21" s="210"/>
      <c r="E21" s="210"/>
      <c r="F21" s="210"/>
      <c r="G21" s="210"/>
      <c r="H21" s="210"/>
      <c r="I21" s="210"/>
      <c r="J21" s="210"/>
      <c r="K21" s="210"/>
    </row>
    <row r="22" spans="1:11">
      <c r="A22" s="208"/>
      <c r="B22" s="217" t="s">
        <v>42</v>
      </c>
      <c r="C22" s="212"/>
      <c r="D22" s="210"/>
      <c r="E22" s="210"/>
      <c r="F22" s="210"/>
      <c r="G22" s="210"/>
      <c r="H22" s="210"/>
      <c r="I22" s="210"/>
      <c r="J22" s="210"/>
      <c r="K22" s="210"/>
    </row>
    <row r="23" spans="1:11" ht="13.5" customHeight="1">
      <c r="B23" s="232"/>
      <c r="C23" s="232"/>
      <c r="D23" s="232"/>
      <c r="E23" s="232"/>
      <c r="F23" s="232"/>
      <c r="G23" s="232"/>
      <c r="H23" s="232"/>
    </row>
  </sheetData>
  <mergeCells count="15">
    <mergeCell ref="A1:K1"/>
    <mergeCell ref="G2:I2"/>
    <mergeCell ref="A3:A6"/>
    <mergeCell ref="C3:C6"/>
    <mergeCell ref="E3:F4"/>
    <mergeCell ref="G3:H4"/>
    <mergeCell ref="I3:J3"/>
    <mergeCell ref="K3:K6"/>
    <mergeCell ref="B23:H23"/>
    <mergeCell ref="L3:M3"/>
    <mergeCell ref="I4:J4"/>
    <mergeCell ref="D5:D6"/>
    <mergeCell ref="F5:F6"/>
    <mergeCell ref="H5:H6"/>
    <mergeCell ref="J5:J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="60" zoomScaleNormal="100" workbookViewId="0">
      <selection activeCell="O8" sqref="O8"/>
    </sheetView>
  </sheetViews>
  <sheetFormatPr defaultRowHeight="13.5"/>
  <cols>
    <col min="1" max="1" width="6.42578125" style="213" customWidth="1"/>
    <col min="2" max="2" width="53.28515625" style="178" customWidth="1"/>
    <col min="3" max="3" width="9.140625" style="178"/>
    <col min="4" max="4" width="8.28515625" style="214" customWidth="1"/>
    <col min="5" max="5" width="6.5703125" style="214" customWidth="1"/>
    <col min="6" max="6" width="6.42578125" style="214" customWidth="1"/>
    <col min="7" max="7" width="6.140625" style="214" customWidth="1"/>
    <col min="8" max="8" width="5.85546875" style="214" customWidth="1"/>
    <col min="9" max="9" width="6" style="214" customWidth="1"/>
    <col min="10" max="10" width="7.28515625" style="214" customWidth="1"/>
    <col min="11" max="11" width="6.5703125" style="214" customWidth="1"/>
    <col min="12" max="12" width="9" style="178" customWidth="1"/>
    <col min="13" max="13" width="9.140625" style="178" hidden="1" customWidth="1"/>
    <col min="14" max="16384" width="9.140625" style="178"/>
  </cols>
  <sheetData>
    <row r="1" spans="1:13" s="171" customFormat="1" ht="39.75" customHeight="1">
      <c r="A1" s="238" t="s">
        <v>175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3">
      <c r="A2" s="172"/>
      <c r="B2" s="173" t="s">
        <v>158</v>
      </c>
      <c r="C2" s="174"/>
      <c r="D2" s="175"/>
      <c r="E2" s="176"/>
      <c r="F2" s="177"/>
      <c r="G2" s="239"/>
      <c r="H2" s="239"/>
      <c r="I2" s="239"/>
      <c r="J2" s="177"/>
      <c r="K2" s="177"/>
    </row>
    <row r="3" spans="1:13">
      <c r="A3" s="240" t="s">
        <v>35</v>
      </c>
      <c r="B3" s="179"/>
      <c r="C3" s="243" t="s">
        <v>44</v>
      </c>
      <c r="D3" s="180"/>
      <c r="E3" s="246" t="s">
        <v>159</v>
      </c>
      <c r="F3" s="247"/>
      <c r="G3" s="246" t="s">
        <v>160</v>
      </c>
      <c r="H3" s="247"/>
      <c r="I3" s="250" t="s">
        <v>161</v>
      </c>
      <c r="J3" s="251"/>
      <c r="K3" s="236" t="s">
        <v>42</v>
      </c>
      <c r="L3" s="233"/>
      <c r="M3" s="233"/>
    </row>
    <row r="4" spans="1:13">
      <c r="A4" s="241"/>
      <c r="B4" s="181" t="s">
        <v>162</v>
      </c>
      <c r="C4" s="244"/>
      <c r="D4" s="182"/>
      <c r="E4" s="248"/>
      <c r="F4" s="249"/>
      <c r="G4" s="248"/>
      <c r="H4" s="249"/>
      <c r="I4" s="234" t="s">
        <v>163</v>
      </c>
      <c r="J4" s="235"/>
      <c r="K4" s="252"/>
    </row>
    <row r="5" spans="1:13">
      <c r="A5" s="241"/>
      <c r="B5" s="183" t="s">
        <v>164</v>
      </c>
      <c r="C5" s="244"/>
      <c r="D5" s="236" t="s">
        <v>30</v>
      </c>
      <c r="E5" s="184" t="s">
        <v>45</v>
      </c>
      <c r="F5" s="236" t="s">
        <v>30</v>
      </c>
      <c r="G5" s="184" t="s">
        <v>45</v>
      </c>
      <c r="H5" s="236" t="s">
        <v>30</v>
      </c>
      <c r="I5" s="184" t="s">
        <v>45</v>
      </c>
      <c r="J5" s="236" t="s">
        <v>30</v>
      </c>
      <c r="K5" s="252"/>
    </row>
    <row r="6" spans="1:13">
      <c r="A6" s="242"/>
      <c r="B6" s="185"/>
      <c r="C6" s="245"/>
      <c r="D6" s="237"/>
      <c r="E6" s="186" t="s">
        <v>46</v>
      </c>
      <c r="F6" s="237"/>
      <c r="G6" s="186" t="s">
        <v>46</v>
      </c>
      <c r="H6" s="237"/>
      <c r="I6" s="186" t="s">
        <v>46</v>
      </c>
      <c r="J6" s="237"/>
      <c r="K6" s="237"/>
    </row>
    <row r="7" spans="1:13" s="191" customFormat="1">
      <c r="A7" s="187">
        <v>1</v>
      </c>
      <c r="B7" s="188">
        <v>2</v>
      </c>
      <c r="C7" s="189">
        <v>3</v>
      </c>
      <c r="D7" s="190">
        <v>5</v>
      </c>
      <c r="E7" s="190">
        <v>6</v>
      </c>
      <c r="F7" s="190">
        <v>7</v>
      </c>
      <c r="G7" s="190">
        <v>8</v>
      </c>
      <c r="H7" s="190">
        <v>9</v>
      </c>
      <c r="I7" s="190">
        <v>10</v>
      </c>
      <c r="J7" s="190">
        <v>11</v>
      </c>
      <c r="K7" s="190">
        <v>12</v>
      </c>
    </row>
    <row r="8" spans="1:13" s="191" customFormat="1" ht="75" customHeight="1">
      <c r="A8" s="192">
        <v>2</v>
      </c>
      <c r="B8" s="193" t="s">
        <v>176</v>
      </c>
      <c r="C8" s="194" t="s">
        <v>166</v>
      </c>
      <c r="D8" s="195">
        <f>SUM(825*1.2*0.4)</f>
        <v>396</v>
      </c>
      <c r="E8" s="195"/>
      <c r="F8" s="195"/>
      <c r="G8" s="195"/>
      <c r="H8" s="195"/>
      <c r="I8" s="195"/>
      <c r="J8" s="195"/>
      <c r="K8" s="195"/>
    </row>
    <row r="9" spans="1:13" s="198" customFormat="1" ht="54">
      <c r="A9" s="192">
        <v>3</v>
      </c>
      <c r="B9" s="196" t="s">
        <v>177</v>
      </c>
      <c r="C9" s="194" t="s">
        <v>168</v>
      </c>
      <c r="D9" s="195">
        <v>31</v>
      </c>
      <c r="E9" s="195"/>
      <c r="F9" s="197"/>
      <c r="G9" s="197"/>
      <c r="H9" s="195"/>
      <c r="I9" s="195"/>
      <c r="J9" s="195"/>
      <c r="K9" s="195"/>
    </row>
    <row r="10" spans="1:13" s="198" customFormat="1" ht="27">
      <c r="A10" s="192">
        <v>4</v>
      </c>
      <c r="B10" s="196" t="s">
        <v>178</v>
      </c>
      <c r="C10" s="199" t="s">
        <v>170</v>
      </c>
      <c r="D10" s="195">
        <v>725</v>
      </c>
      <c r="E10" s="195"/>
      <c r="F10" s="197"/>
      <c r="G10" s="195"/>
      <c r="H10" s="195"/>
      <c r="I10" s="195"/>
      <c r="J10" s="195"/>
      <c r="K10" s="195"/>
    </row>
    <row r="11" spans="1:13" s="198" customFormat="1" ht="27">
      <c r="A11" s="192">
        <v>5</v>
      </c>
      <c r="B11" s="196" t="s">
        <v>179</v>
      </c>
      <c r="C11" s="199" t="s">
        <v>170</v>
      </c>
      <c r="D11" s="195">
        <v>100</v>
      </c>
      <c r="E11" s="195"/>
      <c r="F11" s="197"/>
      <c r="G11" s="195"/>
      <c r="H11" s="195"/>
      <c r="I11" s="195"/>
      <c r="J11" s="195"/>
      <c r="K11" s="195"/>
    </row>
    <row r="12" spans="1:13" s="198" customFormat="1" ht="27">
      <c r="A12" s="192">
        <v>6</v>
      </c>
      <c r="B12" s="196" t="s">
        <v>180</v>
      </c>
      <c r="C12" s="194" t="s">
        <v>166</v>
      </c>
      <c r="D12" s="195">
        <f>SUM(825*0.4*0.4)</f>
        <v>132</v>
      </c>
      <c r="E12" s="195"/>
      <c r="F12" s="197"/>
      <c r="G12" s="195"/>
      <c r="H12" s="195"/>
      <c r="I12" s="195"/>
      <c r="J12" s="195"/>
      <c r="K12" s="195"/>
    </row>
    <row r="13" spans="1:13" s="198" customFormat="1" ht="27">
      <c r="A13" s="192">
        <v>7</v>
      </c>
      <c r="B13" s="196" t="s">
        <v>181</v>
      </c>
      <c r="C13" s="194" t="s">
        <v>166</v>
      </c>
      <c r="D13" s="195">
        <f>SUM(D8/3)</f>
        <v>132</v>
      </c>
      <c r="E13" s="195"/>
      <c r="F13" s="197"/>
      <c r="G13" s="195"/>
      <c r="H13" s="195"/>
      <c r="I13" s="195"/>
      <c r="J13" s="195"/>
      <c r="K13" s="195"/>
    </row>
    <row r="14" spans="1:13" s="207" customFormat="1">
      <c r="A14" s="200"/>
      <c r="B14" s="215" t="s">
        <v>174</v>
      </c>
      <c r="C14" s="201"/>
      <c r="D14" s="202"/>
      <c r="E14" s="203"/>
      <c r="F14" s="204"/>
      <c r="G14" s="203"/>
      <c r="H14" s="205"/>
      <c r="I14" s="203"/>
      <c r="J14" s="203"/>
      <c r="K14" s="206"/>
    </row>
    <row r="15" spans="1:13">
      <c r="A15" s="208"/>
      <c r="B15" s="216" t="s">
        <v>182</v>
      </c>
      <c r="C15" s="209"/>
      <c r="D15" s="210"/>
      <c r="E15" s="210"/>
      <c r="F15" s="210"/>
      <c r="G15" s="210"/>
      <c r="H15" s="210"/>
      <c r="I15" s="210"/>
      <c r="J15" s="210"/>
      <c r="K15" s="210"/>
    </row>
    <row r="16" spans="1:13">
      <c r="A16" s="208"/>
      <c r="B16" s="216" t="s">
        <v>42</v>
      </c>
      <c r="C16" s="211"/>
      <c r="D16" s="210"/>
      <c r="E16" s="210"/>
      <c r="F16" s="210"/>
      <c r="G16" s="210"/>
      <c r="H16" s="210"/>
      <c r="I16" s="210"/>
      <c r="J16" s="210"/>
      <c r="K16" s="210"/>
    </row>
    <row r="17" spans="1:11">
      <c r="A17" s="208"/>
      <c r="B17" s="216" t="s">
        <v>183</v>
      </c>
      <c r="C17" s="211"/>
      <c r="D17" s="210"/>
      <c r="E17" s="210"/>
      <c r="F17" s="210"/>
      <c r="G17" s="210"/>
      <c r="H17" s="210"/>
      <c r="I17" s="210"/>
      <c r="J17" s="210"/>
      <c r="K17" s="210"/>
    </row>
    <row r="18" spans="1:11">
      <c r="A18" s="208"/>
      <c r="B18" s="216" t="s">
        <v>42</v>
      </c>
      <c r="C18" s="211"/>
      <c r="D18" s="210"/>
      <c r="E18" s="210"/>
      <c r="F18" s="210"/>
      <c r="G18" s="210"/>
      <c r="H18" s="210"/>
      <c r="I18" s="210"/>
      <c r="J18" s="210"/>
      <c r="K18" s="210"/>
    </row>
    <row r="19" spans="1:11">
      <c r="A19" s="208"/>
      <c r="B19" s="216" t="s">
        <v>184</v>
      </c>
      <c r="C19" s="211"/>
      <c r="D19" s="210"/>
      <c r="E19" s="210"/>
      <c r="F19" s="210"/>
      <c r="G19" s="210"/>
      <c r="H19" s="210"/>
      <c r="I19" s="210"/>
      <c r="J19" s="210"/>
      <c r="K19" s="210"/>
    </row>
    <row r="20" spans="1:11">
      <c r="A20" s="208"/>
      <c r="B20" s="216" t="s">
        <v>42</v>
      </c>
      <c r="C20" s="211"/>
      <c r="D20" s="210"/>
      <c r="E20" s="210"/>
      <c r="F20" s="210"/>
      <c r="G20" s="210"/>
      <c r="H20" s="210"/>
      <c r="I20" s="210"/>
      <c r="J20" s="210"/>
      <c r="K20" s="210"/>
    </row>
    <row r="21" spans="1:11">
      <c r="A21" s="208"/>
      <c r="B21" s="216" t="s">
        <v>31</v>
      </c>
      <c r="C21" s="211"/>
      <c r="D21" s="210"/>
      <c r="E21" s="210"/>
      <c r="F21" s="210"/>
      <c r="G21" s="210"/>
      <c r="H21" s="210"/>
      <c r="I21" s="210"/>
      <c r="J21" s="210"/>
      <c r="K21" s="210"/>
    </row>
    <row r="22" spans="1:11">
      <c r="A22" s="208"/>
      <c r="B22" s="217" t="s">
        <v>42</v>
      </c>
      <c r="C22" s="212"/>
      <c r="D22" s="210"/>
      <c r="E22" s="210"/>
      <c r="F22" s="210"/>
      <c r="G22" s="210"/>
      <c r="H22" s="210"/>
      <c r="I22" s="210"/>
      <c r="J22" s="210"/>
      <c r="K22" s="210"/>
    </row>
    <row r="23" spans="1:11" ht="13.5" customHeight="1">
      <c r="B23" s="232"/>
      <c r="C23" s="232"/>
      <c r="D23" s="232"/>
      <c r="E23" s="232"/>
      <c r="F23" s="232"/>
      <c r="G23" s="232"/>
      <c r="H23" s="232"/>
    </row>
  </sheetData>
  <mergeCells count="15">
    <mergeCell ref="A1:K1"/>
    <mergeCell ref="G2:I2"/>
    <mergeCell ref="A3:A6"/>
    <mergeCell ref="C3:C6"/>
    <mergeCell ref="E3:F4"/>
    <mergeCell ref="G3:H4"/>
    <mergeCell ref="I3:J3"/>
    <mergeCell ref="K3:K6"/>
    <mergeCell ref="B23:H23"/>
    <mergeCell ref="L3:M3"/>
    <mergeCell ref="I4:J4"/>
    <mergeCell ref="D5:D6"/>
    <mergeCell ref="F5:F6"/>
    <mergeCell ref="H5:H6"/>
    <mergeCell ref="J5:J6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="60" zoomScaleNormal="100" workbookViewId="0">
      <selection activeCell="Q4" sqref="Q4"/>
    </sheetView>
  </sheetViews>
  <sheetFormatPr defaultRowHeight="18"/>
  <cols>
    <col min="1" max="1" width="5.85546875" style="2" customWidth="1"/>
    <col min="2" max="2" width="16.28515625" style="2" customWidth="1"/>
    <col min="3" max="3" width="9.140625" style="18"/>
    <col min="4" max="8" width="9.140625" style="2"/>
    <col min="9" max="9" width="0.85546875" style="2" customWidth="1"/>
    <col min="10" max="10" width="9" style="2" customWidth="1"/>
    <col min="11" max="11" width="7.85546875" style="2" customWidth="1"/>
    <col min="12" max="12" width="9.140625" style="19" customWidth="1"/>
    <col min="13" max="13" width="8" style="2" customWidth="1"/>
    <col min="14" max="14" width="8.85546875" style="2" customWidth="1"/>
    <col min="15" max="16384" width="9.140625" style="2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63" customHeight="1">
      <c r="A3" s="281" t="s">
        <v>149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3"/>
    </row>
    <row r="4" spans="1:15" ht="21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6"/>
      <c r="M4" s="4"/>
      <c r="N4" s="4"/>
      <c r="O4" s="7"/>
    </row>
    <row r="5" spans="1:15" ht="21" customHeight="1">
      <c r="A5" s="221" t="s">
        <v>0</v>
      </c>
      <c r="B5" s="227" t="s">
        <v>1</v>
      </c>
      <c r="C5" s="224" t="s">
        <v>2</v>
      </c>
      <c r="D5" s="274"/>
      <c r="E5" s="274"/>
      <c r="F5" s="274"/>
      <c r="G5" s="274"/>
      <c r="H5" s="274"/>
      <c r="I5" s="275"/>
      <c r="J5" s="224" t="s">
        <v>3</v>
      </c>
      <c r="K5" s="274"/>
      <c r="L5" s="274"/>
      <c r="M5" s="275"/>
      <c r="N5" s="227" t="s">
        <v>4</v>
      </c>
      <c r="O5" s="7"/>
    </row>
    <row r="6" spans="1:15" ht="21">
      <c r="A6" s="222"/>
      <c r="B6" s="228"/>
      <c r="C6" s="225"/>
      <c r="D6" s="282"/>
      <c r="E6" s="282"/>
      <c r="F6" s="282"/>
      <c r="G6" s="282"/>
      <c r="H6" s="282"/>
      <c r="I6" s="283"/>
      <c r="J6" s="226"/>
      <c r="K6" s="276"/>
      <c r="L6" s="276"/>
      <c r="M6" s="277"/>
      <c r="N6" s="228"/>
      <c r="O6" s="7"/>
    </row>
    <row r="7" spans="1:15" ht="21" customHeight="1">
      <c r="A7" s="222"/>
      <c r="B7" s="228"/>
      <c r="C7" s="225"/>
      <c r="D7" s="282"/>
      <c r="E7" s="282"/>
      <c r="F7" s="282"/>
      <c r="G7" s="282"/>
      <c r="H7" s="282"/>
      <c r="I7" s="283"/>
      <c r="J7" s="227" t="s">
        <v>5</v>
      </c>
      <c r="K7" s="227" t="s">
        <v>6</v>
      </c>
      <c r="L7" s="268" t="s">
        <v>7</v>
      </c>
      <c r="M7" s="227" t="s">
        <v>8</v>
      </c>
      <c r="N7" s="228"/>
      <c r="O7" s="7"/>
    </row>
    <row r="8" spans="1:15" ht="21">
      <c r="A8" s="222"/>
      <c r="B8" s="228"/>
      <c r="C8" s="225"/>
      <c r="D8" s="282"/>
      <c r="E8" s="282"/>
      <c r="F8" s="282"/>
      <c r="G8" s="282"/>
      <c r="H8" s="282"/>
      <c r="I8" s="283"/>
      <c r="J8" s="228"/>
      <c r="K8" s="228"/>
      <c r="L8" s="284"/>
      <c r="M8" s="228"/>
      <c r="N8" s="228"/>
      <c r="O8" s="7"/>
    </row>
    <row r="9" spans="1:15" ht="21">
      <c r="A9" s="222"/>
      <c r="B9" s="228"/>
      <c r="C9" s="225"/>
      <c r="D9" s="282"/>
      <c r="E9" s="282"/>
      <c r="F9" s="282"/>
      <c r="G9" s="282"/>
      <c r="H9" s="282"/>
      <c r="I9" s="283"/>
      <c r="J9" s="228"/>
      <c r="K9" s="228"/>
      <c r="L9" s="284"/>
      <c r="M9" s="228"/>
      <c r="N9" s="228"/>
      <c r="O9" s="7"/>
    </row>
    <row r="10" spans="1:15" ht="21">
      <c r="A10" s="222"/>
      <c r="B10" s="228"/>
      <c r="C10" s="225"/>
      <c r="D10" s="282"/>
      <c r="E10" s="282"/>
      <c r="F10" s="282"/>
      <c r="G10" s="282"/>
      <c r="H10" s="282"/>
      <c r="I10" s="283"/>
      <c r="J10" s="228"/>
      <c r="K10" s="228"/>
      <c r="L10" s="284"/>
      <c r="M10" s="228"/>
      <c r="N10" s="228"/>
      <c r="O10" s="7"/>
    </row>
    <row r="11" spans="1:15" ht="21">
      <c r="A11" s="223"/>
      <c r="B11" s="229"/>
      <c r="C11" s="226"/>
      <c r="D11" s="276"/>
      <c r="E11" s="276"/>
      <c r="F11" s="276"/>
      <c r="G11" s="276"/>
      <c r="H11" s="276"/>
      <c r="I11" s="277"/>
      <c r="J11" s="229"/>
      <c r="K11" s="229"/>
      <c r="L11" s="269"/>
      <c r="M11" s="229"/>
      <c r="N11" s="229"/>
      <c r="O11" s="7"/>
    </row>
    <row r="12" spans="1:15" ht="21">
      <c r="A12" s="8">
        <v>1</v>
      </c>
      <c r="B12" s="9">
        <v>2</v>
      </c>
      <c r="C12" s="278">
        <v>3</v>
      </c>
      <c r="D12" s="285"/>
      <c r="E12" s="285"/>
      <c r="F12" s="285"/>
      <c r="G12" s="285"/>
      <c r="H12" s="285"/>
      <c r="I12" s="286"/>
      <c r="J12" s="9">
        <v>4</v>
      </c>
      <c r="K12" s="10">
        <v>5</v>
      </c>
      <c r="L12" s="11">
        <v>6</v>
      </c>
      <c r="M12" s="10">
        <v>7</v>
      </c>
      <c r="N12" s="9">
        <v>8</v>
      </c>
      <c r="O12" s="7"/>
    </row>
    <row r="13" spans="1:15" ht="69.75" customHeight="1">
      <c r="A13" s="8"/>
      <c r="B13" s="9"/>
      <c r="C13" s="261" t="s">
        <v>150</v>
      </c>
      <c r="D13" s="262"/>
      <c r="E13" s="262"/>
      <c r="F13" s="262"/>
      <c r="G13" s="262"/>
      <c r="H13" s="262"/>
      <c r="I13" s="263"/>
      <c r="J13" s="9"/>
      <c r="K13" s="10"/>
      <c r="L13" s="11"/>
      <c r="M13" s="10"/>
      <c r="N13" s="9"/>
      <c r="O13" s="7"/>
    </row>
    <row r="14" spans="1:15" ht="21">
      <c r="A14" s="8"/>
      <c r="B14" s="9"/>
      <c r="C14" s="258" t="s">
        <v>9</v>
      </c>
      <c r="D14" s="259"/>
      <c r="E14" s="259"/>
      <c r="F14" s="259"/>
      <c r="G14" s="259"/>
      <c r="H14" s="259"/>
      <c r="I14" s="260"/>
      <c r="J14" s="9"/>
      <c r="K14" s="10"/>
      <c r="L14" s="11"/>
      <c r="M14" s="10"/>
      <c r="N14" s="9"/>
      <c r="O14" s="7"/>
    </row>
    <row r="15" spans="1:15" ht="21">
      <c r="A15" s="8"/>
      <c r="B15" s="9"/>
      <c r="C15" s="258" t="s">
        <v>10</v>
      </c>
      <c r="D15" s="259"/>
      <c r="E15" s="259"/>
      <c r="F15" s="259"/>
      <c r="G15" s="259"/>
      <c r="H15" s="259"/>
      <c r="I15" s="260"/>
      <c r="J15" s="9"/>
      <c r="K15" s="10"/>
      <c r="L15" s="11"/>
      <c r="M15" s="10"/>
      <c r="N15" s="9"/>
      <c r="O15" s="7"/>
    </row>
    <row r="16" spans="1:15" ht="21">
      <c r="A16" s="8">
        <v>1</v>
      </c>
      <c r="B16" s="9" t="s">
        <v>11</v>
      </c>
      <c r="C16" s="278" t="s">
        <v>12</v>
      </c>
      <c r="D16" s="279"/>
      <c r="E16" s="279"/>
      <c r="F16" s="279"/>
      <c r="G16" s="279"/>
      <c r="H16" s="279"/>
      <c r="I16" s="280"/>
      <c r="J16" s="12">
        <f>'გამსახურდიას 04 ჩიხი'!J15</f>
        <v>0</v>
      </c>
      <c r="K16" s="10"/>
      <c r="L16" s="11"/>
      <c r="M16" s="10"/>
      <c r="N16" s="12">
        <f>J16</f>
        <v>0</v>
      </c>
      <c r="O16" s="7"/>
    </row>
    <row r="17" spans="1:15" ht="21">
      <c r="A17" s="8"/>
      <c r="B17" s="9"/>
      <c r="C17" s="258" t="s">
        <v>13</v>
      </c>
      <c r="D17" s="259"/>
      <c r="E17" s="259"/>
      <c r="F17" s="259"/>
      <c r="G17" s="259"/>
      <c r="H17" s="259"/>
      <c r="I17" s="260"/>
      <c r="J17" s="12">
        <f>J16</f>
        <v>0</v>
      </c>
      <c r="K17" s="10"/>
      <c r="L17" s="11"/>
      <c r="M17" s="10"/>
      <c r="N17" s="12">
        <f>N16</f>
        <v>0</v>
      </c>
      <c r="O17" s="7"/>
    </row>
    <row r="18" spans="1:15" ht="21">
      <c r="A18" s="8"/>
      <c r="B18" s="9"/>
      <c r="C18" s="258" t="s">
        <v>14</v>
      </c>
      <c r="D18" s="259"/>
      <c r="E18" s="259"/>
      <c r="F18" s="259"/>
      <c r="G18" s="259"/>
      <c r="H18" s="259"/>
      <c r="I18" s="260"/>
      <c r="J18" s="9"/>
      <c r="K18" s="10"/>
      <c r="L18" s="11"/>
      <c r="M18" s="10"/>
      <c r="N18" s="9"/>
      <c r="O18" s="7"/>
    </row>
    <row r="19" spans="1:15" ht="21">
      <c r="A19" s="8"/>
      <c r="B19" s="9"/>
      <c r="C19" s="258" t="s">
        <v>15</v>
      </c>
      <c r="D19" s="259"/>
      <c r="E19" s="259"/>
      <c r="F19" s="259"/>
      <c r="G19" s="259"/>
      <c r="H19" s="259"/>
      <c r="I19" s="260"/>
      <c r="J19" s="9"/>
      <c r="K19" s="10"/>
      <c r="L19" s="11"/>
      <c r="M19" s="10"/>
      <c r="N19" s="9"/>
      <c r="O19" s="7"/>
    </row>
    <row r="20" spans="1:15" ht="21">
      <c r="A20" s="8">
        <v>2</v>
      </c>
      <c r="B20" s="9" t="s">
        <v>16</v>
      </c>
      <c r="C20" s="278" t="s">
        <v>17</v>
      </c>
      <c r="D20" s="279"/>
      <c r="E20" s="279"/>
      <c r="F20" s="279"/>
      <c r="G20" s="279"/>
      <c r="H20" s="279"/>
      <c r="I20" s="280"/>
      <c r="J20" s="12">
        <f>'გამსახურდიას 04 ჩიხი'!J19</f>
        <v>0</v>
      </c>
      <c r="K20" s="10"/>
      <c r="L20" s="11"/>
      <c r="M20" s="10"/>
      <c r="N20" s="12">
        <f>J20</f>
        <v>0</v>
      </c>
      <c r="O20" s="7"/>
    </row>
    <row r="21" spans="1:15" ht="21">
      <c r="A21" s="8">
        <v>3</v>
      </c>
      <c r="B21" s="9" t="s">
        <v>18</v>
      </c>
      <c r="C21" s="278" t="s">
        <v>19</v>
      </c>
      <c r="D21" s="279"/>
      <c r="E21" s="279"/>
      <c r="F21" s="279"/>
      <c r="G21" s="279"/>
      <c r="H21" s="279"/>
      <c r="I21" s="280"/>
      <c r="J21" s="12">
        <v>0</v>
      </c>
      <c r="K21" s="10"/>
      <c r="L21" s="11"/>
      <c r="M21" s="10"/>
      <c r="N21" s="12">
        <f>J21</f>
        <v>0</v>
      </c>
      <c r="O21" s="7"/>
    </row>
    <row r="22" spans="1:15" ht="21">
      <c r="A22" s="8"/>
      <c r="B22" s="9"/>
      <c r="C22" s="258" t="s">
        <v>20</v>
      </c>
      <c r="D22" s="259"/>
      <c r="E22" s="259"/>
      <c r="F22" s="259"/>
      <c r="G22" s="259"/>
      <c r="H22" s="259"/>
      <c r="I22" s="260"/>
      <c r="J22" s="12">
        <f>SUM(J20:J21)</f>
        <v>0</v>
      </c>
      <c r="K22" s="10"/>
      <c r="L22" s="11"/>
      <c r="M22" s="10"/>
      <c r="N22" s="12">
        <f>SUM(N20:N21)</f>
        <v>0</v>
      </c>
      <c r="O22" s="7"/>
    </row>
    <row r="23" spans="1:15" ht="21">
      <c r="A23" s="8"/>
      <c r="B23" s="9"/>
      <c r="C23" s="258" t="s">
        <v>21</v>
      </c>
      <c r="D23" s="259"/>
      <c r="E23" s="259"/>
      <c r="F23" s="259"/>
      <c r="G23" s="259"/>
      <c r="H23" s="259"/>
      <c r="I23" s="260"/>
      <c r="J23" s="9"/>
      <c r="K23" s="10"/>
      <c r="L23" s="11"/>
      <c r="M23" s="10"/>
      <c r="N23" s="9"/>
      <c r="O23" s="7"/>
    </row>
    <row r="24" spans="1:15" ht="21">
      <c r="A24" s="8"/>
      <c r="B24" s="9"/>
      <c r="C24" s="258" t="s">
        <v>22</v>
      </c>
      <c r="D24" s="259"/>
      <c r="E24" s="259"/>
      <c r="F24" s="259"/>
      <c r="G24" s="259"/>
      <c r="H24" s="259"/>
      <c r="I24" s="260"/>
      <c r="J24" s="9"/>
      <c r="K24" s="10"/>
      <c r="L24" s="11"/>
      <c r="M24" s="10"/>
      <c r="N24" s="9"/>
      <c r="O24" s="7"/>
    </row>
    <row r="25" spans="1:15" ht="21">
      <c r="A25" s="8">
        <v>4</v>
      </c>
      <c r="B25" s="9" t="s">
        <v>23</v>
      </c>
      <c r="C25" s="278" t="s">
        <v>24</v>
      </c>
      <c r="D25" s="279"/>
      <c r="E25" s="279"/>
      <c r="F25" s="279"/>
      <c r="G25" s="279"/>
      <c r="H25" s="279"/>
      <c r="I25" s="280"/>
      <c r="J25" s="12">
        <v>0</v>
      </c>
      <c r="K25" s="10"/>
      <c r="L25" s="11"/>
      <c r="M25" s="10"/>
      <c r="N25" s="12">
        <f>J25</f>
        <v>0</v>
      </c>
      <c r="O25" s="7"/>
    </row>
    <row r="26" spans="1:15" ht="37.5" customHeight="1">
      <c r="A26" s="13">
        <v>5</v>
      </c>
      <c r="B26" s="9" t="s">
        <v>25</v>
      </c>
      <c r="C26" s="264" t="s">
        <v>26</v>
      </c>
      <c r="D26" s="265"/>
      <c r="E26" s="265"/>
      <c r="F26" s="265"/>
      <c r="G26" s="265"/>
      <c r="H26" s="265"/>
      <c r="I26" s="266"/>
      <c r="J26" s="14">
        <v>0</v>
      </c>
      <c r="K26" s="14"/>
      <c r="L26" s="14"/>
      <c r="M26" s="14"/>
      <c r="N26" s="14">
        <f>J26</f>
        <v>0</v>
      </c>
      <c r="O26" s="7"/>
    </row>
    <row r="27" spans="1:15" ht="21">
      <c r="A27" s="13"/>
      <c r="B27" s="13"/>
      <c r="C27" s="258" t="s">
        <v>27</v>
      </c>
      <c r="D27" s="259"/>
      <c r="E27" s="259"/>
      <c r="F27" s="259"/>
      <c r="G27" s="259"/>
      <c r="H27" s="259"/>
      <c r="I27" s="260"/>
      <c r="J27" s="14">
        <f>SUM(J25:J26)</f>
        <v>0</v>
      </c>
      <c r="K27" s="14"/>
      <c r="L27" s="14"/>
      <c r="M27" s="14"/>
      <c r="N27" s="14">
        <f>SUM(N25:N26)</f>
        <v>0</v>
      </c>
      <c r="O27" s="15"/>
    </row>
    <row r="28" spans="1:15" ht="21" customHeight="1">
      <c r="A28" s="13"/>
      <c r="B28" s="13"/>
      <c r="C28" s="261" t="s">
        <v>28</v>
      </c>
      <c r="D28" s="262"/>
      <c r="E28" s="262"/>
      <c r="F28" s="262"/>
      <c r="G28" s="262"/>
      <c r="H28" s="262"/>
      <c r="I28" s="263"/>
      <c r="J28" s="14">
        <f>J17+J22+J27</f>
        <v>0</v>
      </c>
      <c r="K28" s="14"/>
      <c r="L28" s="14"/>
      <c r="M28" s="14"/>
      <c r="N28" s="14">
        <f>N17+N22+N27</f>
        <v>0</v>
      </c>
      <c r="O28" s="15"/>
    </row>
    <row r="29" spans="1:15" ht="21" customHeight="1">
      <c r="A29" s="13">
        <v>6</v>
      </c>
      <c r="B29" s="16"/>
      <c r="C29" s="264" t="s">
        <v>29</v>
      </c>
      <c r="D29" s="265"/>
      <c r="E29" s="265"/>
      <c r="F29" s="265"/>
      <c r="G29" s="265"/>
      <c r="H29" s="265"/>
      <c r="I29" s="266"/>
      <c r="J29" s="14"/>
      <c r="K29" s="14"/>
      <c r="L29" s="14"/>
      <c r="M29" s="14">
        <f>N28*3%</f>
        <v>0</v>
      </c>
      <c r="N29" s="14">
        <f>M29</f>
        <v>0</v>
      </c>
      <c r="O29" s="7"/>
    </row>
    <row r="30" spans="1:15" ht="21">
      <c r="A30" s="13"/>
      <c r="B30" s="16"/>
      <c r="C30" s="267" t="s">
        <v>30</v>
      </c>
      <c r="D30" s="267"/>
      <c r="E30" s="267"/>
      <c r="F30" s="267"/>
      <c r="G30" s="267"/>
      <c r="H30" s="267"/>
      <c r="I30" s="267"/>
      <c r="J30" s="14">
        <f>J28</f>
        <v>0</v>
      </c>
      <c r="K30" s="14"/>
      <c r="L30" s="14"/>
      <c r="M30" s="14">
        <f>M29</f>
        <v>0</v>
      </c>
      <c r="N30" s="14">
        <f>N28+N29</f>
        <v>0</v>
      </c>
      <c r="O30" s="7"/>
    </row>
    <row r="31" spans="1:15" ht="21" customHeight="1">
      <c r="A31" s="13">
        <v>7</v>
      </c>
      <c r="B31" s="16"/>
      <c r="C31" s="264" t="s">
        <v>31</v>
      </c>
      <c r="D31" s="265"/>
      <c r="E31" s="265"/>
      <c r="F31" s="265"/>
      <c r="G31" s="265"/>
      <c r="H31" s="265"/>
      <c r="I31" s="266"/>
      <c r="J31" s="14"/>
      <c r="K31" s="14"/>
      <c r="L31" s="14"/>
      <c r="M31" s="14">
        <f>N30*18%</f>
        <v>0</v>
      </c>
      <c r="N31" s="14">
        <f>M31</f>
        <v>0</v>
      </c>
      <c r="O31" s="7"/>
    </row>
    <row r="32" spans="1:15" ht="21" customHeight="1">
      <c r="A32" s="272"/>
      <c r="B32" s="272"/>
      <c r="C32" s="224" t="s">
        <v>32</v>
      </c>
      <c r="D32" s="274"/>
      <c r="E32" s="274"/>
      <c r="F32" s="274"/>
      <c r="G32" s="274"/>
      <c r="H32" s="274"/>
      <c r="I32" s="275"/>
      <c r="J32" s="268">
        <f>J30</f>
        <v>0</v>
      </c>
      <c r="K32" s="270"/>
      <c r="L32" s="270"/>
      <c r="M32" s="270">
        <f>M30+M31</f>
        <v>0</v>
      </c>
      <c r="N32" s="253">
        <f>N30+N31</f>
        <v>0</v>
      </c>
      <c r="O32" s="7"/>
    </row>
    <row r="33" spans="1:15" ht="21">
      <c r="A33" s="273"/>
      <c r="B33" s="273"/>
      <c r="C33" s="226"/>
      <c r="D33" s="276"/>
      <c r="E33" s="276"/>
      <c r="F33" s="276"/>
      <c r="G33" s="276"/>
      <c r="H33" s="276"/>
      <c r="I33" s="277"/>
      <c r="J33" s="269"/>
      <c r="K33" s="271"/>
      <c r="L33" s="271"/>
      <c r="M33" s="271"/>
      <c r="N33" s="254"/>
      <c r="O33" s="7"/>
    </row>
    <row r="34" spans="1:15" ht="60.75" customHeight="1">
      <c r="A34" s="8"/>
      <c r="B34" s="9"/>
      <c r="C34" s="261" t="s">
        <v>151</v>
      </c>
      <c r="D34" s="262"/>
      <c r="E34" s="262"/>
      <c r="F34" s="262"/>
      <c r="G34" s="262"/>
      <c r="H34" s="262"/>
      <c r="I34" s="263"/>
      <c r="J34" s="9"/>
      <c r="K34" s="10"/>
      <c r="L34" s="11"/>
      <c r="M34" s="10"/>
      <c r="N34" s="9"/>
    </row>
    <row r="35" spans="1:15" ht="18.75">
      <c r="A35" s="8"/>
      <c r="B35" s="9"/>
      <c r="C35" s="258" t="s">
        <v>9</v>
      </c>
      <c r="D35" s="259"/>
      <c r="E35" s="259"/>
      <c r="F35" s="259"/>
      <c r="G35" s="259"/>
      <c r="H35" s="259"/>
      <c r="I35" s="260"/>
      <c r="J35" s="9"/>
      <c r="K35" s="10"/>
      <c r="L35" s="11"/>
      <c r="M35" s="10"/>
      <c r="N35" s="9"/>
    </row>
    <row r="36" spans="1:15" ht="18.75">
      <c r="A36" s="8"/>
      <c r="B36" s="9"/>
      <c r="C36" s="258" t="s">
        <v>10</v>
      </c>
      <c r="D36" s="259"/>
      <c r="E36" s="259"/>
      <c r="F36" s="259"/>
      <c r="G36" s="259"/>
      <c r="H36" s="259"/>
      <c r="I36" s="260"/>
      <c r="J36" s="9"/>
      <c r="K36" s="10"/>
      <c r="L36" s="11"/>
      <c r="M36" s="10"/>
      <c r="N36" s="9"/>
    </row>
    <row r="37" spans="1:15" ht="18.75">
      <c r="A37" s="8">
        <v>1</v>
      </c>
      <c r="B37" s="9" t="s">
        <v>11</v>
      </c>
      <c r="C37" s="278" t="s">
        <v>12</v>
      </c>
      <c r="D37" s="279"/>
      <c r="E37" s="279"/>
      <c r="F37" s="279"/>
      <c r="G37" s="279"/>
      <c r="H37" s="279"/>
      <c r="I37" s="280"/>
      <c r="J37" s="12">
        <f>'05 ქუჩა და 02 ჩიხი'!J14</f>
        <v>0</v>
      </c>
      <c r="K37" s="10"/>
      <c r="L37" s="11"/>
      <c r="M37" s="10"/>
      <c r="N37" s="12">
        <f>J37</f>
        <v>0</v>
      </c>
    </row>
    <row r="38" spans="1:15" ht="18.75">
      <c r="A38" s="8"/>
      <c r="B38" s="9"/>
      <c r="C38" s="258" t="s">
        <v>13</v>
      </c>
      <c r="D38" s="259"/>
      <c r="E38" s="259"/>
      <c r="F38" s="259"/>
      <c r="G38" s="259"/>
      <c r="H38" s="259"/>
      <c r="I38" s="260"/>
      <c r="J38" s="12">
        <f>J37</f>
        <v>0</v>
      </c>
      <c r="K38" s="10"/>
      <c r="L38" s="11"/>
      <c r="M38" s="10"/>
      <c r="N38" s="12">
        <f>N37</f>
        <v>0</v>
      </c>
    </row>
    <row r="39" spans="1:15" ht="18.75">
      <c r="A39" s="8"/>
      <c r="B39" s="9"/>
      <c r="C39" s="258" t="s">
        <v>14</v>
      </c>
      <c r="D39" s="259"/>
      <c r="E39" s="259"/>
      <c r="F39" s="259"/>
      <c r="G39" s="259"/>
      <c r="H39" s="259"/>
      <c r="I39" s="260"/>
      <c r="J39" s="9"/>
      <c r="K39" s="10"/>
      <c r="L39" s="11"/>
      <c r="M39" s="10"/>
      <c r="N39" s="9"/>
    </row>
    <row r="40" spans="1:15" ht="18.75">
      <c r="A40" s="8"/>
      <c r="B40" s="9"/>
      <c r="C40" s="258" t="s">
        <v>15</v>
      </c>
      <c r="D40" s="259"/>
      <c r="E40" s="259"/>
      <c r="F40" s="259"/>
      <c r="G40" s="259"/>
      <c r="H40" s="259"/>
      <c r="I40" s="260"/>
      <c r="J40" s="9"/>
      <c r="K40" s="10"/>
      <c r="L40" s="11"/>
      <c r="M40" s="10"/>
      <c r="N40" s="9"/>
    </row>
    <row r="41" spans="1:15" ht="18.75">
      <c r="A41" s="8">
        <v>2</v>
      </c>
      <c r="B41" s="9" t="s">
        <v>16</v>
      </c>
      <c r="C41" s="278" t="s">
        <v>17</v>
      </c>
      <c r="D41" s="279"/>
      <c r="E41" s="279"/>
      <c r="F41" s="279"/>
      <c r="G41" s="279"/>
      <c r="H41" s="279"/>
      <c r="I41" s="280"/>
      <c r="J41" s="12">
        <f>'05 ქუჩა და 02 ჩიხი'!J18</f>
        <v>0</v>
      </c>
      <c r="K41" s="10"/>
      <c r="L41" s="11"/>
      <c r="M41" s="10"/>
      <c r="N41" s="12">
        <f>J41</f>
        <v>0</v>
      </c>
    </row>
    <row r="42" spans="1:15" ht="16.5" customHeight="1">
      <c r="A42" s="8">
        <v>3</v>
      </c>
      <c r="B42" s="9" t="s">
        <v>18</v>
      </c>
      <c r="C42" s="278" t="s">
        <v>19</v>
      </c>
      <c r="D42" s="279"/>
      <c r="E42" s="279"/>
      <c r="F42" s="279"/>
      <c r="G42" s="279"/>
      <c r="H42" s="279"/>
      <c r="I42" s="280"/>
      <c r="J42" s="12">
        <v>0</v>
      </c>
      <c r="K42" s="10"/>
      <c r="L42" s="11"/>
      <c r="M42" s="10"/>
      <c r="N42" s="12">
        <f>J42</f>
        <v>0</v>
      </c>
    </row>
    <row r="43" spans="1:15" ht="18.75">
      <c r="A43" s="8"/>
      <c r="B43" s="9"/>
      <c r="C43" s="258" t="s">
        <v>20</v>
      </c>
      <c r="D43" s="259"/>
      <c r="E43" s="259"/>
      <c r="F43" s="259"/>
      <c r="G43" s="259"/>
      <c r="H43" s="259"/>
      <c r="I43" s="260"/>
      <c r="J43" s="12">
        <f>SUM(J41:J42)</f>
        <v>0</v>
      </c>
      <c r="K43" s="10"/>
      <c r="L43" s="11"/>
      <c r="M43" s="10"/>
      <c r="N43" s="12">
        <f>SUM(N41:N42)</f>
        <v>0</v>
      </c>
    </row>
    <row r="44" spans="1:15" ht="18.75">
      <c r="A44" s="8"/>
      <c r="B44" s="9"/>
      <c r="C44" s="258" t="s">
        <v>21</v>
      </c>
      <c r="D44" s="259"/>
      <c r="E44" s="259"/>
      <c r="F44" s="259"/>
      <c r="G44" s="259"/>
      <c r="H44" s="259"/>
      <c r="I44" s="260"/>
      <c r="J44" s="9"/>
      <c r="K44" s="10"/>
      <c r="L44" s="11"/>
      <c r="M44" s="10"/>
      <c r="N44" s="9"/>
    </row>
    <row r="45" spans="1:15" ht="18.75">
      <c r="A45" s="8"/>
      <c r="B45" s="9"/>
      <c r="C45" s="258" t="s">
        <v>22</v>
      </c>
      <c r="D45" s="259"/>
      <c r="E45" s="259"/>
      <c r="F45" s="259"/>
      <c r="G45" s="259"/>
      <c r="H45" s="259"/>
      <c r="I45" s="260"/>
      <c r="J45" s="9"/>
      <c r="K45" s="10"/>
      <c r="L45" s="11"/>
      <c r="M45" s="10"/>
      <c r="N45" s="9"/>
    </row>
    <row r="46" spans="1:15" ht="18.75">
      <c r="A46" s="8">
        <v>4</v>
      </c>
      <c r="B46" s="9" t="s">
        <v>23</v>
      </c>
      <c r="C46" s="278" t="s">
        <v>24</v>
      </c>
      <c r="D46" s="279"/>
      <c r="E46" s="279"/>
      <c r="F46" s="279"/>
      <c r="G46" s="279"/>
      <c r="H46" s="279"/>
      <c r="I46" s="280"/>
      <c r="J46" s="12">
        <f>'05 ქუჩა და 02 ჩიხი'!J23</f>
        <v>0</v>
      </c>
      <c r="K46" s="10"/>
      <c r="L46" s="11"/>
      <c r="M46" s="10"/>
      <c r="N46" s="12">
        <f>J46</f>
        <v>0</v>
      </c>
    </row>
    <row r="47" spans="1:15" ht="33.75" customHeight="1">
      <c r="A47" s="13">
        <v>5</v>
      </c>
      <c r="B47" s="9" t="s">
        <v>25</v>
      </c>
      <c r="C47" s="264" t="s">
        <v>26</v>
      </c>
      <c r="D47" s="265"/>
      <c r="E47" s="265"/>
      <c r="F47" s="265"/>
      <c r="G47" s="265"/>
      <c r="H47" s="265"/>
      <c r="I47" s="266"/>
      <c r="J47" s="14">
        <v>0</v>
      </c>
      <c r="K47" s="14"/>
      <c r="L47" s="14"/>
      <c r="M47" s="14"/>
      <c r="N47" s="14">
        <f>J47</f>
        <v>0</v>
      </c>
    </row>
    <row r="48" spans="1:15" ht="18.75">
      <c r="A48" s="13"/>
      <c r="B48" s="13"/>
      <c r="C48" s="258" t="s">
        <v>27</v>
      </c>
      <c r="D48" s="259"/>
      <c r="E48" s="259"/>
      <c r="F48" s="259"/>
      <c r="G48" s="259"/>
      <c r="H48" s="259"/>
      <c r="I48" s="260"/>
      <c r="J48" s="14">
        <f>SUM(J46:J47)</f>
        <v>0</v>
      </c>
      <c r="K48" s="14"/>
      <c r="L48" s="14"/>
      <c r="M48" s="14"/>
      <c r="N48" s="14">
        <f>SUM(N46:N47)</f>
        <v>0</v>
      </c>
    </row>
    <row r="49" spans="1:14" ht="18" customHeight="1">
      <c r="A49" s="13"/>
      <c r="B49" s="13"/>
      <c r="C49" s="261" t="s">
        <v>28</v>
      </c>
      <c r="D49" s="262"/>
      <c r="E49" s="262"/>
      <c r="F49" s="262"/>
      <c r="G49" s="262"/>
      <c r="H49" s="262"/>
      <c r="I49" s="263"/>
      <c r="J49" s="14">
        <f>J38+J43+J48</f>
        <v>0</v>
      </c>
      <c r="K49" s="14"/>
      <c r="L49" s="14"/>
      <c r="M49" s="14"/>
      <c r="N49" s="14">
        <f>N38+N43+N48</f>
        <v>0</v>
      </c>
    </row>
    <row r="50" spans="1:14" ht="18" customHeight="1">
      <c r="A50" s="13">
        <v>6</v>
      </c>
      <c r="B50" s="16"/>
      <c r="C50" s="264" t="s">
        <v>29</v>
      </c>
      <c r="D50" s="265"/>
      <c r="E50" s="265"/>
      <c r="F50" s="265"/>
      <c r="G50" s="265"/>
      <c r="H50" s="265"/>
      <c r="I50" s="266"/>
      <c r="J50" s="14"/>
      <c r="K50" s="14"/>
      <c r="L50" s="14"/>
      <c r="M50" s="14">
        <f>N49*3%</f>
        <v>0</v>
      </c>
      <c r="N50" s="14">
        <f>M50</f>
        <v>0</v>
      </c>
    </row>
    <row r="51" spans="1:14">
      <c r="A51" s="13"/>
      <c r="B51" s="16"/>
      <c r="C51" s="267" t="s">
        <v>30</v>
      </c>
      <c r="D51" s="267"/>
      <c r="E51" s="267"/>
      <c r="F51" s="267"/>
      <c r="G51" s="267"/>
      <c r="H51" s="267"/>
      <c r="I51" s="267"/>
      <c r="J51" s="14">
        <f>J49</f>
        <v>0</v>
      </c>
      <c r="K51" s="14"/>
      <c r="L51" s="14"/>
      <c r="M51" s="14">
        <f>M50</f>
        <v>0</v>
      </c>
      <c r="N51" s="14">
        <f>N49+N50</f>
        <v>0</v>
      </c>
    </row>
    <row r="52" spans="1:14" ht="18" customHeight="1">
      <c r="A52" s="13">
        <v>7</v>
      </c>
      <c r="B52" s="16"/>
      <c r="C52" s="264" t="s">
        <v>31</v>
      </c>
      <c r="D52" s="265"/>
      <c r="E52" s="265"/>
      <c r="F52" s="265"/>
      <c r="G52" s="265"/>
      <c r="H52" s="265"/>
      <c r="I52" s="266"/>
      <c r="J52" s="14"/>
      <c r="K52" s="14"/>
      <c r="L52" s="14"/>
      <c r="M52" s="14">
        <f>N51*18%</f>
        <v>0</v>
      </c>
      <c r="N52" s="14">
        <f>M52</f>
        <v>0</v>
      </c>
    </row>
    <row r="53" spans="1:14" ht="18" customHeight="1">
      <c r="A53" s="272"/>
      <c r="B53" s="272"/>
      <c r="C53" s="224" t="s">
        <v>32</v>
      </c>
      <c r="D53" s="274"/>
      <c r="E53" s="274"/>
      <c r="F53" s="274"/>
      <c r="G53" s="274"/>
      <c r="H53" s="274"/>
      <c r="I53" s="275"/>
      <c r="J53" s="268">
        <f>J51</f>
        <v>0</v>
      </c>
      <c r="K53" s="270"/>
      <c r="L53" s="270"/>
      <c r="M53" s="270">
        <f>M51+M52</f>
        <v>0</v>
      </c>
      <c r="N53" s="253">
        <f>N51+N52</f>
        <v>0</v>
      </c>
    </row>
    <row r="54" spans="1:14">
      <c r="A54" s="273"/>
      <c r="B54" s="273"/>
      <c r="C54" s="226"/>
      <c r="D54" s="276"/>
      <c r="E54" s="276"/>
      <c r="F54" s="276"/>
      <c r="G54" s="276"/>
      <c r="H54" s="276"/>
      <c r="I54" s="277"/>
      <c r="J54" s="269"/>
      <c r="K54" s="271"/>
      <c r="L54" s="271"/>
      <c r="M54" s="271"/>
      <c r="N54" s="254"/>
    </row>
    <row r="55" spans="1:14" ht="18.75" customHeight="1">
      <c r="C55" s="255" t="s">
        <v>33</v>
      </c>
      <c r="D55" s="256"/>
      <c r="E55" s="256"/>
      <c r="F55" s="256"/>
      <c r="G55" s="256"/>
      <c r="H55" s="256"/>
      <c r="I55" s="256"/>
      <c r="J55" s="256"/>
      <c r="K55" s="256"/>
      <c r="L55" s="256"/>
      <c r="M55" s="257"/>
      <c r="N55" s="17">
        <f>SUM(N53,N32)</f>
        <v>0</v>
      </c>
    </row>
  </sheetData>
  <mergeCells count="66">
    <mergeCell ref="C17:I17"/>
    <mergeCell ref="A3:N3"/>
    <mergeCell ref="A5:A11"/>
    <mergeCell ref="B5:B11"/>
    <mergeCell ref="C5:I11"/>
    <mergeCell ref="J5:M6"/>
    <mergeCell ref="N5:N11"/>
    <mergeCell ref="J7:J11"/>
    <mergeCell ref="K7:K11"/>
    <mergeCell ref="L7:L11"/>
    <mergeCell ref="M7:M11"/>
    <mergeCell ref="C12:I12"/>
    <mergeCell ref="C13:I13"/>
    <mergeCell ref="C14:I14"/>
    <mergeCell ref="C15:I15"/>
    <mergeCell ref="C16:I16"/>
    <mergeCell ref="C29:I29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30:I30"/>
    <mergeCell ref="C31:I31"/>
    <mergeCell ref="A32:A33"/>
    <mergeCell ref="B32:B33"/>
    <mergeCell ref="C32:I33"/>
    <mergeCell ref="C41:I41"/>
    <mergeCell ref="K32:K33"/>
    <mergeCell ref="L32:L33"/>
    <mergeCell ref="M32:M33"/>
    <mergeCell ref="N32:N33"/>
    <mergeCell ref="C34:I34"/>
    <mergeCell ref="C35:I35"/>
    <mergeCell ref="J32:J33"/>
    <mergeCell ref="C36:I36"/>
    <mergeCell ref="C37:I37"/>
    <mergeCell ref="C38:I38"/>
    <mergeCell ref="C39:I39"/>
    <mergeCell ref="C40:I40"/>
    <mergeCell ref="A53:A54"/>
    <mergeCell ref="B53:B54"/>
    <mergeCell ref="C53:I54"/>
    <mergeCell ref="C42:I42"/>
    <mergeCell ref="C43:I43"/>
    <mergeCell ref="C44:I44"/>
    <mergeCell ref="C45:I45"/>
    <mergeCell ref="C46:I46"/>
    <mergeCell ref="C47:I47"/>
    <mergeCell ref="N53:N54"/>
    <mergeCell ref="C55:M55"/>
    <mergeCell ref="C48:I48"/>
    <mergeCell ref="C49:I49"/>
    <mergeCell ref="C50:I50"/>
    <mergeCell ref="C51:I51"/>
    <mergeCell ref="C52:I52"/>
    <mergeCell ref="J53:J54"/>
    <mergeCell ref="K53:K54"/>
    <mergeCell ref="L53:L54"/>
    <mergeCell ref="M53:M5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="60" zoomScaleNormal="100" workbookViewId="0"/>
  </sheetViews>
  <sheetFormatPr defaultRowHeight="18"/>
  <cols>
    <col min="1" max="1" width="4.85546875" style="2" customWidth="1"/>
    <col min="2" max="2" width="11.7109375" style="2" customWidth="1"/>
    <col min="3" max="3" width="9.140625" style="18"/>
    <col min="4" max="8" width="9.140625" style="2"/>
    <col min="9" max="9" width="6" style="2" customWidth="1"/>
    <col min="10" max="10" width="9.140625" style="2" customWidth="1"/>
    <col min="11" max="11" width="8.28515625" style="2" customWidth="1"/>
    <col min="12" max="12" width="8.85546875" style="19" customWidth="1"/>
    <col min="13" max="13" width="8.5703125" style="2" customWidth="1"/>
    <col min="14" max="14" width="9.28515625" style="2" customWidth="1"/>
    <col min="15" max="16384" width="9.140625" style="2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63" customHeight="1">
      <c r="A3" s="281" t="s">
        <v>150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3"/>
    </row>
    <row r="4" spans="1:15" ht="21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6"/>
      <c r="M4" s="4"/>
      <c r="N4" s="4"/>
      <c r="O4" s="7"/>
    </row>
    <row r="5" spans="1:15" ht="21" customHeight="1">
      <c r="A5" s="221" t="s">
        <v>0</v>
      </c>
      <c r="B5" s="227" t="s">
        <v>1</v>
      </c>
      <c r="C5" s="224" t="s">
        <v>2</v>
      </c>
      <c r="D5" s="274"/>
      <c r="E5" s="274"/>
      <c r="F5" s="274"/>
      <c r="G5" s="274"/>
      <c r="H5" s="274"/>
      <c r="I5" s="275"/>
      <c r="J5" s="224" t="s">
        <v>3</v>
      </c>
      <c r="K5" s="274"/>
      <c r="L5" s="274"/>
      <c r="M5" s="275"/>
      <c r="N5" s="227" t="s">
        <v>4</v>
      </c>
      <c r="O5" s="7"/>
    </row>
    <row r="6" spans="1:15" ht="21">
      <c r="A6" s="222"/>
      <c r="B6" s="228"/>
      <c r="C6" s="225"/>
      <c r="D6" s="282"/>
      <c r="E6" s="282"/>
      <c r="F6" s="282"/>
      <c r="G6" s="282"/>
      <c r="H6" s="282"/>
      <c r="I6" s="283"/>
      <c r="J6" s="226"/>
      <c r="K6" s="276"/>
      <c r="L6" s="276"/>
      <c r="M6" s="277"/>
      <c r="N6" s="228"/>
      <c r="O6" s="7"/>
    </row>
    <row r="7" spans="1:15" ht="21" customHeight="1">
      <c r="A7" s="222"/>
      <c r="B7" s="228"/>
      <c r="C7" s="225"/>
      <c r="D7" s="282"/>
      <c r="E7" s="282"/>
      <c r="F7" s="282"/>
      <c r="G7" s="282"/>
      <c r="H7" s="282"/>
      <c r="I7" s="283"/>
      <c r="J7" s="227" t="s">
        <v>5</v>
      </c>
      <c r="K7" s="227" t="s">
        <v>6</v>
      </c>
      <c r="L7" s="268" t="s">
        <v>7</v>
      </c>
      <c r="M7" s="227" t="s">
        <v>8</v>
      </c>
      <c r="N7" s="228"/>
      <c r="O7" s="7"/>
    </row>
    <row r="8" spans="1:15" ht="21">
      <c r="A8" s="222"/>
      <c r="B8" s="228"/>
      <c r="C8" s="225"/>
      <c r="D8" s="282"/>
      <c r="E8" s="282"/>
      <c r="F8" s="282"/>
      <c r="G8" s="282"/>
      <c r="H8" s="282"/>
      <c r="I8" s="283"/>
      <c r="J8" s="228"/>
      <c r="K8" s="228"/>
      <c r="L8" s="284"/>
      <c r="M8" s="228"/>
      <c r="N8" s="228"/>
      <c r="O8" s="7"/>
    </row>
    <row r="9" spans="1:15" ht="21">
      <c r="A9" s="222"/>
      <c r="B9" s="228"/>
      <c r="C9" s="225"/>
      <c r="D9" s="282"/>
      <c r="E9" s="282"/>
      <c r="F9" s="282"/>
      <c r="G9" s="282"/>
      <c r="H9" s="282"/>
      <c r="I9" s="283"/>
      <c r="J9" s="228"/>
      <c r="K9" s="228"/>
      <c r="L9" s="284"/>
      <c r="M9" s="228"/>
      <c r="N9" s="228"/>
      <c r="O9" s="7"/>
    </row>
    <row r="10" spans="1:15" ht="21">
      <c r="A10" s="222"/>
      <c r="B10" s="228"/>
      <c r="C10" s="225"/>
      <c r="D10" s="282"/>
      <c r="E10" s="282"/>
      <c r="F10" s="282"/>
      <c r="G10" s="282"/>
      <c r="H10" s="282"/>
      <c r="I10" s="283"/>
      <c r="J10" s="228"/>
      <c r="K10" s="228"/>
      <c r="L10" s="284"/>
      <c r="M10" s="228"/>
      <c r="N10" s="228"/>
      <c r="O10" s="7"/>
    </row>
    <row r="11" spans="1:15" ht="16.5" customHeight="1">
      <c r="A11" s="223"/>
      <c r="B11" s="229"/>
      <c r="C11" s="226"/>
      <c r="D11" s="276"/>
      <c r="E11" s="276"/>
      <c r="F11" s="276"/>
      <c r="G11" s="276"/>
      <c r="H11" s="276"/>
      <c r="I11" s="277"/>
      <c r="J11" s="229"/>
      <c r="K11" s="229"/>
      <c r="L11" s="269"/>
      <c r="M11" s="229"/>
      <c r="N11" s="229"/>
      <c r="O11" s="7"/>
    </row>
    <row r="12" spans="1:15" ht="21">
      <c r="A12" s="8">
        <v>1</v>
      </c>
      <c r="B12" s="9">
        <v>2</v>
      </c>
      <c r="C12" s="278">
        <v>3</v>
      </c>
      <c r="D12" s="285"/>
      <c r="E12" s="285"/>
      <c r="F12" s="285"/>
      <c r="G12" s="285"/>
      <c r="H12" s="285"/>
      <c r="I12" s="286"/>
      <c r="J12" s="9">
        <v>4</v>
      </c>
      <c r="K12" s="10">
        <v>5</v>
      </c>
      <c r="L12" s="11">
        <v>6</v>
      </c>
      <c r="M12" s="10">
        <v>7</v>
      </c>
      <c r="N12" s="9">
        <v>8</v>
      </c>
      <c r="O12" s="7"/>
    </row>
    <row r="13" spans="1:15" ht="21">
      <c r="A13" s="8"/>
      <c r="B13" s="9"/>
      <c r="C13" s="258" t="s">
        <v>9</v>
      </c>
      <c r="D13" s="259"/>
      <c r="E13" s="259"/>
      <c r="F13" s="259"/>
      <c r="G13" s="259"/>
      <c r="H13" s="259"/>
      <c r="I13" s="260"/>
      <c r="J13" s="9"/>
      <c r="K13" s="10"/>
      <c r="L13" s="11"/>
      <c r="M13" s="10"/>
      <c r="N13" s="9"/>
      <c r="O13" s="7"/>
    </row>
    <row r="14" spans="1:15" ht="21">
      <c r="A14" s="8"/>
      <c r="B14" s="9"/>
      <c r="C14" s="258" t="s">
        <v>10</v>
      </c>
      <c r="D14" s="259"/>
      <c r="E14" s="259"/>
      <c r="F14" s="259"/>
      <c r="G14" s="259"/>
      <c r="H14" s="259"/>
      <c r="I14" s="260"/>
      <c r="J14" s="9"/>
      <c r="K14" s="10"/>
      <c r="L14" s="11"/>
      <c r="M14" s="10"/>
      <c r="N14" s="9"/>
      <c r="O14" s="7"/>
    </row>
    <row r="15" spans="1:15" ht="21">
      <c r="A15" s="8">
        <v>1</v>
      </c>
      <c r="B15" s="9" t="s">
        <v>11</v>
      </c>
      <c r="C15" s="278" t="s">
        <v>12</v>
      </c>
      <c r="D15" s="279"/>
      <c r="E15" s="279"/>
      <c r="F15" s="279"/>
      <c r="G15" s="279"/>
      <c r="H15" s="279"/>
      <c r="I15" s="280"/>
      <c r="J15" s="12">
        <f>Sheet4!M29</f>
        <v>0</v>
      </c>
      <c r="K15" s="10"/>
      <c r="L15" s="11"/>
      <c r="M15" s="10"/>
      <c r="N15" s="12">
        <f>J15</f>
        <v>0</v>
      </c>
      <c r="O15" s="7"/>
    </row>
    <row r="16" spans="1:15" ht="21">
      <c r="A16" s="8"/>
      <c r="B16" s="9"/>
      <c r="C16" s="258" t="s">
        <v>13</v>
      </c>
      <c r="D16" s="259"/>
      <c r="E16" s="259"/>
      <c r="F16" s="259"/>
      <c r="G16" s="259"/>
      <c r="H16" s="259"/>
      <c r="I16" s="260"/>
      <c r="J16" s="12">
        <f>J15</f>
        <v>0</v>
      </c>
      <c r="K16" s="10"/>
      <c r="L16" s="11"/>
      <c r="M16" s="10"/>
      <c r="N16" s="12">
        <f>N15</f>
        <v>0</v>
      </c>
      <c r="O16" s="7"/>
    </row>
    <row r="17" spans="1:15" ht="21">
      <c r="A17" s="8"/>
      <c r="B17" s="9"/>
      <c r="C17" s="258" t="s">
        <v>14</v>
      </c>
      <c r="D17" s="259"/>
      <c r="E17" s="259"/>
      <c r="F17" s="259"/>
      <c r="G17" s="259"/>
      <c r="H17" s="259"/>
      <c r="I17" s="260"/>
      <c r="J17" s="9"/>
      <c r="K17" s="10"/>
      <c r="L17" s="11"/>
      <c r="M17" s="10"/>
      <c r="N17" s="9"/>
      <c r="O17" s="7"/>
    </row>
    <row r="18" spans="1:15" ht="21">
      <c r="A18" s="8"/>
      <c r="B18" s="9"/>
      <c r="C18" s="258" t="s">
        <v>15</v>
      </c>
      <c r="D18" s="259"/>
      <c r="E18" s="259"/>
      <c r="F18" s="259"/>
      <c r="G18" s="259"/>
      <c r="H18" s="259"/>
      <c r="I18" s="260"/>
      <c r="J18" s="9"/>
      <c r="K18" s="10"/>
      <c r="L18" s="11"/>
      <c r="M18" s="10"/>
      <c r="N18" s="9"/>
      <c r="O18" s="7"/>
    </row>
    <row r="19" spans="1:15" ht="21">
      <c r="A19" s="8">
        <v>2</v>
      </c>
      <c r="B19" s="9" t="s">
        <v>16</v>
      </c>
      <c r="C19" s="278" t="s">
        <v>17</v>
      </c>
      <c r="D19" s="279"/>
      <c r="E19" s="279"/>
      <c r="F19" s="279"/>
      <c r="G19" s="279"/>
      <c r="H19" s="279"/>
      <c r="I19" s="280"/>
      <c r="J19" s="12">
        <f>Sheet7!M73</f>
        <v>0</v>
      </c>
      <c r="K19" s="10"/>
      <c r="L19" s="11"/>
      <c r="M19" s="10"/>
      <c r="N19" s="12">
        <f>J19</f>
        <v>0</v>
      </c>
      <c r="O19" s="7"/>
    </row>
    <row r="20" spans="1:15" ht="21">
      <c r="A20" s="8">
        <v>3</v>
      </c>
      <c r="B20" s="9" t="s">
        <v>18</v>
      </c>
      <c r="C20" s="278" t="s">
        <v>19</v>
      </c>
      <c r="D20" s="279"/>
      <c r="E20" s="279"/>
      <c r="F20" s="279"/>
      <c r="G20" s="279"/>
      <c r="H20" s="279"/>
      <c r="I20" s="280"/>
      <c r="J20" s="12">
        <v>0</v>
      </c>
      <c r="K20" s="10"/>
      <c r="L20" s="11"/>
      <c r="M20" s="10"/>
      <c r="N20" s="12">
        <f>J20</f>
        <v>0</v>
      </c>
      <c r="O20" s="7"/>
    </row>
    <row r="21" spans="1:15" ht="21">
      <c r="A21" s="8"/>
      <c r="B21" s="9"/>
      <c r="C21" s="258" t="s">
        <v>20</v>
      </c>
      <c r="D21" s="259"/>
      <c r="E21" s="259"/>
      <c r="F21" s="259"/>
      <c r="G21" s="259"/>
      <c r="H21" s="259"/>
      <c r="I21" s="260"/>
      <c r="J21" s="12">
        <f>SUM(J19:J20)</f>
        <v>0</v>
      </c>
      <c r="K21" s="10"/>
      <c r="L21" s="11"/>
      <c r="M21" s="10"/>
      <c r="N21" s="12">
        <f>SUM(N19:N20)</f>
        <v>0</v>
      </c>
      <c r="O21" s="7"/>
    </row>
    <row r="22" spans="1:15" ht="21">
      <c r="A22" s="8"/>
      <c r="B22" s="9"/>
      <c r="C22" s="258" t="s">
        <v>21</v>
      </c>
      <c r="D22" s="259"/>
      <c r="E22" s="259"/>
      <c r="F22" s="259"/>
      <c r="G22" s="259"/>
      <c r="H22" s="259"/>
      <c r="I22" s="260"/>
      <c r="J22" s="9"/>
      <c r="K22" s="10"/>
      <c r="L22" s="11"/>
      <c r="M22" s="10"/>
      <c r="N22" s="9"/>
      <c r="O22" s="7"/>
    </row>
    <row r="23" spans="1:15" ht="21">
      <c r="A23" s="8"/>
      <c r="B23" s="9"/>
      <c r="C23" s="258" t="s">
        <v>22</v>
      </c>
      <c r="D23" s="259"/>
      <c r="E23" s="259"/>
      <c r="F23" s="259"/>
      <c r="G23" s="259"/>
      <c r="H23" s="259"/>
      <c r="I23" s="260"/>
      <c r="J23" s="9"/>
      <c r="K23" s="10"/>
      <c r="L23" s="11"/>
      <c r="M23" s="10"/>
      <c r="N23" s="9"/>
      <c r="O23" s="7"/>
    </row>
    <row r="24" spans="1:15" ht="21">
      <c r="A24" s="8">
        <v>4</v>
      </c>
      <c r="B24" s="9" t="s">
        <v>23</v>
      </c>
      <c r="C24" s="278" t="s">
        <v>24</v>
      </c>
      <c r="D24" s="279"/>
      <c r="E24" s="279"/>
      <c r="F24" s="279"/>
      <c r="G24" s="279"/>
      <c r="H24" s="279"/>
      <c r="I24" s="280"/>
      <c r="J24" s="12">
        <v>0</v>
      </c>
      <c r="K24" s="10"/>
      <c r="L24" s="11"/>
      <c r="M24" s="10"/>
      <c r="N24" s="12">
        <f>J24</f>
        <v>0</v>
      </c>
      <c r="O24" s="7"/>
    </row>
    <row r="25" spans="1:15" ht="37.5" customHeight="1">
      <c r="A25" s="13">
        <v>5</v>
      </c>
      <c r="B25" s="9" t="s">
        <v>25</v>
      </c>
      <c r="C25" s="264" t="s">
        <v>26</v>
      </c>
      <c r="D25" s="265"/>
      <c r="E25" s="265"/>
      <c r="F25" s="265"/>
      <c r="G25" s="265"/>
      <c r="H25" s="265"/>
      <c r="I25" s="266"/>
      <c r="J25" s="14">
        <v>0</v>
      </c>
      <c r="K25" s="14"/>
      <c r="L25" s="14"/>
      <c r="M25" s="14"/>
      <c r="N25" s="14">
        <f>J25</f>
        <v>0</v>
      </c>
      <c r="O25" s="7"/>
    </row>
    <row r="26" spans="1:15" ht="21">
      <c r="A26" s="13"/>
      <c r="B26" s="13"/>
      <c r="C26" s="258" t="s">
        <v>27</v>
      </c>
      <c r="D26" s="259"/>
      <c r="E26" s="259"/>
      <c r="F26" s="259"/>
      <c r="G26" s="259"/>
      <c r="H26" s="259"/>
      <c r="I26" s="260"/>
      <c r="J26" s="14">
        <f>SUM(J24:J25)</f>
        <v>0</v>
      </c>
      <c r="K26" s="14"/>
      <c r="L26" s="14"/>
      <c r="M26" s="14"/>
      <c r="N26" s="14">
        <f>SUM(N24:N25)</f>
        <v>0</v>
      </c>
      <c r="O26" s="15"/>
    </row>
    <row r="27" spans="1:15" ht="21" customHeight="1">
      <c r="A27" s="13"/>
      <c r="B27" s="13"/>
      <c r="C27" s="261" t="s">
        <v>28</v>
      </c>
      <c r="D27" s="262"/>
      <c r="E27" s="262"/>
      <c r="F27" s="262"/>
      <c r="G27" s="262"/>
      <c r="H27" s="262"/>
      <c r="I27" s="263"/>
      <c r="J27" s="14">
        <f>J16+J21+J26</f>
        <v>0</v>
      </c>
      <c r="K27" s="14"/>
      <c r="L27" s="14"/>
      <c r="M27" s="14"/>
      <c r="N27" s="14">
        <f>N16+N21+N26</f>
        <v>0</v>
      </c>
      <c r="O27" s="15"/>
    </row>
    <row r="28" spans="1:15" ht="21" customHeight="1">
      <c r="A28" s="13">
        <v>6</v>
      </c>
      <c r="B28" s="16"/>
      <c r="C28" s="264" t="s">
        <v>29</v>
      </c>
      <c r="D28" s="265"/>
      <c r="E28" s="265"/>
      <c r="F28" s="265"/>
      <c r="G28" s="265"/>
      <c r="H28" s="265"/>
      <c r="I28" s="266"/>
      <c r="J28" s="14"/>
      <c r="K28" s="14"/>
      <c r="L28" s="14"/>
      <c r="M28" s="14">
        <f>N27*3%</f>
        <v>0</v>
      </c>
      <c r="N28" s="14">
        <f>M28</f>
        <v>0</v>
      </c>
      <c r="O28" s="7"/>
    </row>
    <row r="29" spans="1:15" ht="21">
      <c r="A29" s="13"/>
      <c r="B29" s="16"/>
      <c r="C29" s="267" t="s">
        <v>30</v>
      </c>
      <c r="D29" s="267"/>
      <c r="E29" s="267"/>
      <c r="F29" s="267"/>
      <c r="G29" s="267"/>
      <c r="H29" s="267"/>
      <c r="I29" s="267"/>
      <c r="J29" s="14">
        <f>J27</f>
        <v>0</v>
      </c>
      <c r="K29" s="14"/>
      <c r="L29" s="14"/>
      <c r="M29" s="14">
        <f>M28</f>
        <v>0</v>
      </c>
      <c r="N29" s="14">
        <f>N27+N28</f>
        <v>0</v>
      </c>
      <c r="O29" s="7"/>
    </row>
    <row r="30" spans="1:15" ht="21" customHeight="1">
      <c r="A30" s="13">
        <v>7</v>
      </c>
      <c r="B30" s="16"/>
      <c r="C30" s="264" t="s">
        <v>31</v>
      </c>
      <c r="D30" s="265"/>
      <c r="E30" s="265"/>
      <c r="F30" s="265"/>
      <c r="G30" s="265"/>
      <c r="H30" s="265"/>
      <c r="I30" s="266"/>
      <c r="J30" s="14"/>
      <c r="K30" s="14"/>
      <c r="L30" s="14"/>
      <c r="M30" s="14">
        <f>N29*18%</f>
        <v>0</v>
      </c>
      <c r="N30" s="14">
        <f>M30</f>
        <v>0</v>
      </c>
      <c r="O30" s="7"/>
    </row>
    <row r="31" spans="1:15" ht="21" customHeight="1">
      <c r="A31" s="272"/>
      <c r="B31" s="272"/>
      <c r="C31" s="224" t="s">
        <v>32</v>
      </c>
      <c r="D31" s="274"/>
      <c r="E31" s="274"/>
      <c r="F31" s="274"/>
      <c r="G31" s="274"/>
      <c r="H31" s="274"/>
      <c r="I31" s="275"/>
      <c r="J31" s="268">
        <f>J29</f>
        <v>0</v>
      </c>
      <c r="K31" s="270"/>
      <c r="L31" s="270"/>
      <c r="M31" s="270">
        <f>M29+M30</f>
        <v>0</v>
      </c>
      <c r="N31" s="287">
        <f>N29+N30</f>
        <v>0</v>
      </c>
      <c r="O31" s="7"/>
    </row>
    <row r="32" spans="1:15" ht="21">
      <c r="A32" s="273"/>
      <c r="B32" s="273"/>
      <c r="C32" s="226"/>
      <c r="D32" s="276"/>
      <c r="E32" s="276"/>
      <c r="F32" s="276"/>
      <c r="G32" s="276"/>
      <c r="H32" s="276"/>
      <c r="I32" s="277"/>
      <c r="J32" s="269"/>
      <c r="K32" s="271"/>
      <c r="L32" s="271"/>
      <c r="M32" s="271"/>
      <c r="N32" s="288"/>
      <c r="O32" s="7"/>
    </row>
    <row r="33" spans="1:15">
      <c r="A33" s="121"/>
      <c r="B33" s="122"/>
      <c r="C33" s="123"/>
      <c r="D33" s="124"/>
      <c r="E33" s="124"/>
      <c r="F33" s="124"/>
      <c r="G33" s="124"/>
      <c r="H33" s="124"/>
      <c r="I33" s="124"/>
      <c r="J33" s="125"/>
      <c r="K33" s="124"/>
      <c r="L33" s="124"/>
      <c r="M33" s="125"/>
      <c r="N33" s="125"/>
    </row>
    <row r="34" spans="1:15">
      <c r="A34" s="230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</row>
    <row r="35" spans="1:15">
      <c r="A35" s="219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</row>
    <row r="36" spans="1:15">
      <c r="A36" s="218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5">
      <c r="A37" s="219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</row>
    <row r="38" spans="1:15">
      <c r="A38" s="218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19"/>
    </row>
    <row r="39" spans="1:15">
      <c r="A39" s="126"/>
      <c r="B39" s="126"/>
      <c r="C39" s="127"/>
      <c r="D39" s="126"/>
      <c r="E39" s="126"/>
      <c r="F39" s="126"/>
      <c r="G39" s="126"/>
      <c r="H39" s="126"/>
      <c r="I39" s="126"/>
      <c r="J39" s="126"/>
      <c r="K39" s="126"/>
      <c r="L39" s="126"/>
      <c r="M39" s="128"/>
      <c r="N39" s="129"/>
    </row>
    <row r="40" spans="1:15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</row>
    <row r="41" spans="1:15">
      <c r="A41" s="130"/>
      <c r="B41" s="130"/>
      <c r="C41" s="131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2"/>
    </row>
    <row r="42" spans="1:15">
      <c r="A42" s="130"/>
      <c r="B42" s="130"/>
      <c r="C42" s="131"/>
      <c r="D42" s="130"/>
      <c r="E42" s="130"/>
      <c r="F42" s="130"/>
      <c r="G42" s="130"/>
      <c r="H42" s="130"/>
      <c r="I42" s="130"/>
      <c r="J42" s="130"/>
      <c r="K42" s="130"/>
      <c r="L42" s="132"/>
      <c r="M42" s="130"/>
      <c r="N42" s="132"/>
    </row>
    <row r="43" spans="1:15">
      <c r="A43" s="130"/>
      <c r="B43" s="130"/>
      <c r="C43" s="131"/>
      <c r="D43" s="130"/>
      <c r="E43" s="130"/>
      <c r="F43" s="130"/>
      <c r="G43" s="130"/>
      <c r="H43" s="130"/>
      <c r="I43" s="130"/>
      <c r="J43" s="130"/>
      <c r="K43" s="130"/>
      <c r="L43" s="132"/>
      <c r="M43" s="130"/>
      <c r="N43" s="130"/>
    </row>
    <row r="44" spans="1:15">
      <c r="A44" s="130"/>
      <c r="B44" s="130"/>
      <c r="C44" s="131"/>
      <c r="D44" s="130"/>
      <c r="E44" s="130"/>
      <c r="F44" s="130"/>
      <c r="G44" s="130"/>
      <c r="H44" s="130"/>
      <c r="I44" s="130"/>
      <c r="J44" s="130"/>
      <c r="K44" s="130"/>
      <c r="L44" s="132"/>
      <c r="M44" s="132"/>
      <c r="N44" s="130"/>
    </row>
    <row r="45" spans="1:15">
      <c r="A45" s="130"/>
      <c r="B45" s="130"/>
      <c r="C45" s="131"/>
      <c r="D45" s="130"/>
      <c r="E45" s="130"/>
      <c r="F45" s="130"/>
      <c r="G45" s="130"/>
      <c r="H45" s="130"/>
      <c r="I45" s="130"/>
      <c r="J45" s="130"/>
      <c r="K45" s="130"/>
      <c r="L45" s="132"/>
      <c r="M45" s="130"/>
      <c r="N45" s="130"/>
    </row>
  </sheetData>
  <mergeCells count="43">
    <mergeCell ref="C17:I17"/>
    <mergeCell ref="A3:N3"/>
    <mergeCell ref="A5:A11"/>
    <mergeCell ref="B5:B11"/>
    <mergeCell ref="C5:I11"/>
    <mergeCell ref="J5:M6"/>
    <mergeCell ref="N5:N11"/>
    <mergeCell ref="J7:J11"/>
    <mergeCell ref="K7:K11"/>
    <mergeCell ref="L7:L11"/>
    <mergeCell ref="M7:M11"/>
    <mergeCell ref="C12:I12"/>
    <mergeCell ref="C13:I13"/>
    <mergeCell ref="C14:I14"/>
    <mergeCell ref="C15:I15"/>
    <mergeCell ref="C16:I16"/>
    <mergeCell ref="C29:I29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30:I30"/>
    <mergeCell ref="A31:A32"/>
    <mergeCell ref="B31:B32"/>
    <mergeCell ref="C31:I32"/>
    <mergeCell ref="J31:J32"/>
    <mergeCell ref="A37:N37"/>
    <mergeCell ref="A38:N38"/>
    <mergeCell ref="A40:N40"/>
    <mergeCell ref="L31:L32"/>
    <mergeCell ref="M31:M32"/>
    <mergeCell ref="N31:N32"/>
    <mergeCell ref="A34:N34"/>
    <mergeCell ref="A35:N35"/>
    <mergeCell ref="A36:N36"/>
    <mergeCell ref="K31:K3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60" zoomScaleNormal="100" workbookViewId="0">
      <selection activeCell="N11" sqref="N11"/>
    </sheetView>
  </sheetViews>
  <sheetFormatPr defaultRowHeight="12.75"/>
  <cols>
    <col min="1" max="1" width="3.7109375" style="104" customWidth="1"/>
    <col min="2" max="2" width="7" style="105" customWidth="1"/>
    <col min="3" max="3" width="37" style="105" customWidth="1"/>
    <col min="4" max="4" width="8.42578125" style="106" customWidth="1"/>
    <col min="5" max="6" width="7.7109375" style="106" customWidth="1"/>
    <col min="7" max="8" width="6.7109375" style="106" customWidth="1"/>
    <col min="9" max="9" width="6.42578125" style="106" customWidth="1"/>
    <col min="10" max="10" width="6.7109375" style="106" customWidth="1"/>
    <col min="11" max="11" width="7.7109375" style="106" customWidth="1"/>
    <col min="12" max="12" width="7.28515625" style="106" customWidth="1"/>
    <col min="13" max="13" width="8.5703125" style="106" customWidth="1"/>
    <col min="14" max="16384" width="9.140625" style="20"/>
  </cols>
  <sheetData>
    <row r="1" spans="1:13" ht="13.5">
      <c r="A1" s="316" t="s">
        <v>133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3" ht="13.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3.5">
      <c r="A3" s="317" t="s">
        <v>12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13.5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3" ht="12" customHeight="1">
      <c r="A5" s="21"/>
      <c r="B5" s="299"/>
      <c r="C5" s="299"/>
      <c r="D5" s="319"/>
      <c r="E5" s="22"/>
      <c r="F5" s="300"/>
      <c r="G5" s="300"/>
      <c r="H5" s="300"/>
      <c r="I5" s="300"/>
      <c r="J5" s="22"/>
      <c r="K5" s="22"/>
      <c r="L5" s="22"/>
      <c r="M5" s="22"/>
    </row>
    <row r="6" spans="1:13" ht="13.5" hidden="1" customHeight="1">
      <c r="A6" s="21"/>
      <c r="B6" s="299"/>
      <c r="C6" s="299"/>
      <c r="D6" s="22"/>
      <c r="E6" s="22"/>
      <c r="F6" s="300"/>
      <c r="G6" s="300"/>
      <c r="H6" s="300"/>
      <c r="I6" s="300"/>
      <c r="J6" s="22"/>
      <c r="K6" s="22"/>
      <c r="L6" s="22"/>
      <c r="M6" s="22"/>
    </row>
    <row r="7" spans="1:13" ht="13.5">
      <c r="A7" s="21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3.5" customHeight="1">
      <c r="A8" s="301" t="s">
        <v>35</v>
      </c>
      <c r="B8" s="304" t="s">
        <v>36</v>
      </c>
      <c r="C8" s="307" t="s">
        <v>37</v>
      </c>
      <c r="D8" s="289" t="s">
        <v>38</v>
      </c>
      <c r="E8" s="310"/>
      <c r="F8" s="291"/>
      <c r="G8" s="289" t="s">
        <v>39</v>
      </c>
      <c r="H8" s="290"/>
      <c r="I8" s="289" t="s">
        <v>40</v>
      </c>
      <c r="J8" s="314"/>
      <c r="K8" s="289" t="s">
        <v>41</v>
      </c>
      <c r="L8" s="290"/>
      <c r="M8" s="291" t="s">
        <v>42</v>
      </c>
    </row>
    <row r="9" spans="1:13" ht="13.5">
      <c r="A9" s="302"/>
      <c r="B9" s="305"/>
      <c r="C9" s="308"/>
      <c r="D9" s="295"/>
      <c r="E9" s="311"/>
      <c r="F9" s="312"/>
      <c r="G9" s="313"/>
      <c r="H9" s="296"/>
      <c r="I9" s="313"/>
      <c r="J9" s="315"/>
      <c r="K9" s="295" t="s">
        <v>43</v>
      </c>
      <c r="L9" s="296"/>
      <c r="M9" s="292"/>
    </row>
    <row r="10" spans="1:13" ht="13.5">
      <c r="A10" s="302"/>
      <c r="B10" s="305"/>
      <c r="C10" s="308"/>
      <c r="D10" s="297" t="s">
        <v>44</v>
      </c>
      <c r="E10" s="297" t="s">
        <v>45</v>
      </c>
      <c r="F10" s="297" t="s">
        <v>30</v>
      </c>
      <c r="G10" s="23" t="s">
        <v>45</v>
      </c>
      <c r="H10" s="297" t="s">
        <v>30</v>
      </c>
      <c r="I10" s="23" t="s">
        <v>45</v>
      </c>
      <c r="J10" s="297" t="s">
        <v>30</v>
      </c>
      <c r="K10" s="23" t="s">
        <v>45</v>
      </c>
      <c r="L10" s="297" t="s">
        <v>30</v>
      </c>
      <c r="M10" s="293"/>
    </row>
    <row r="11" spans="1:13" ht="13.5">
      <c r="A11" s="303"/>
      <c r="B11" s="306"/>
      <c r="C11" s="309"/>
      <c r="D11" s="298"/>
      <c r="E11" s="298"/>
      <c r="F11" s="298"/>
      <c r="G11" s="24" t="s">
        <v>46</v>
      </c>
      <c r="H11" s="298"/>
      <c r="I11" s="24" t="s">
        <v>46</v>
      </c>
      <c r="J11" s="298"/>
      <c r="K11" s="24" t="s">
        <v>46</v>
      </c>
      <c r="L11" s="298"/>
      <c r="M11" s="294"/>
    </row>
    <row r="12" spans="1:13" ht="13.5">
      <c r="A12" s="107" t="s">
        <v>47</v>
      </c>
      <c r="B12" s="26" t="s">
        <v>48</v>
      </c>
      <c r="C12" s="27" t="s">
        <v>49</v>
      </c>
      <c r="D12" s="28" t="s">
        <v>50</v>
      </c>
      <c r="E12" s="29" t="s">
        <v>51</v>
      </c>
      <c r="F12" s="30" t="s">
        <v>52</v>
      </c>
      <c r="G12" s="31" t="s">
        <v>53</v>
      </c>
      <c r="H12" s="28" t="s">
        <v>54</v>
      </c>
      <c r="I12" s="29" t="s">
        <v>55</v>
      </c>
      <c r="J12" s="31" t="s">
        <v>56</v>
      </c>
      <c r="K12" s="29" t="s">
        <v>57</v>
      </c>
      <c r="L12" s="28" t="s">
        <v>58</v>
      </c>
      <c r="M12" s="29" t="s">
        <v>59</v>
      </c>
    </row>
    <row r="13" spans="1:13" ht="27">
      <c r="A13" s="109">
        <v>1</v>
      </c>
      <c r="B13" s="69" t="s">
        <v>134</v>
      </c>
      <c r="C13" s="110" t="s">
        <v>135</v>
      </c>
      <c r="D13" s="62" t="s">
        <v>125</v>
      </c>
      <c r="E13" s="23"/>
      <c r="F13" s="111">
        <v>985</v>
      </c>
      <c r="G13" s="63"/>
      <c r="H13" s="62"/>
      <c r="I13" s="23"/>
      <c r="J13" s="63"/>
      <c r="K13" s="23"/>
      <c r="L13" s="62"/>
      <c r="M13" s="23"/>
    </row>
    <row r="14" spans="1:13" ht="13.5">
      <c r="A14" s="70"/>
      <c r="B14" s="33"/>
      <c r="C14" s="112" t="s">
        <v>136</v>
      </c>
      <c r="D14" s="35" t="s">
        <v>66</v>
      </c>
      <c r="E14" s="113">
        <f>0.9/1000</f>
        <v>8.9999999999999998E-4</v>
      </c>
      <c r="F14" s="23">
        <f>E14*F13</f>
        <v>0.88649999999999995</v>
      </c>
      <c r="G14" s="23"/>
      <c r="H14" s="23"/>
      <c r="I14" s="23"/>
      <c r="J14" s="23"/>
      <c r="K14" s="35"/>
      <c r="L14" s="23">
        <f>F14*K14</f>
        <v>0</v>
      </c>
      <c r="M14" s="23">
        <f>L14</f>
        <v>0</v>
      </c>
    </row>
    <row r="15" spans="1:13" ht="27">
      <c r="A15" s="70"/>
      <c r="B15" s="69"/>
      <c r="C15" s="38" t="s">
        <v>67</v>
      </c>
      <c r="D15" s="35" t="s">
        <v>64</v>
      </c>
      <c r="E15" s="113"/>
      <c r="F15" s="23">
        <f>F14</f>
        <v>0.88649999999999995</v>
      </c>
      <c r="G15" s="23"/>
      <c r="H15" s="23">
        <f>F15*G15</f>
        <v>0</v>
      </c>
      <c r="I15" s="23"/>
      <c r="J15" s="23"/>
      <c r="K15" s="23"/>
      <c r="L15" s="23"/>
      <c r="M15" s="23">
        <f>H15</f>
        <v>0</v>
      </c>
    </row>
    <row r="16" spans="1:13" ht="13.5">
      <c r="A16" s="70"/>
      <c r="B16" s="33"/>
      <c r="C16" s="38" t="s">
        <v>137</v>
      </c>
      <c r="D16" s="35" t="s">
        <v>66</v>
      </c>
      <c r="E16" s="45">
        <f>0.45/1000</f>
        <v>4.4999999999999999E-4</v>
      </c>
      <c r="F16" s="35">
        <f>E16*F13</f>
        <v>0.44324999999999998</v>
      </c>
      <c r="G16" s="35"/>
      <c r="H16" s="35"/>
      <c r="I16" s="35"/>
      <c r="J16" s="35"/>
      <c r="K16" s="35"/>
      <c r="L16" s="35">
        <f>F16*K16</f>
        <v>0</v>
      </c>
      <c r="M16" s="35">
        <f>L16</f>
        <v>0</v>
      </c>
    </row>
    <row r="17" spans="1:13" ht="27">
      <c r="A17" s="75"/>
      <c r="B17" s="76"/>
      <c r="C17" s="47" t="s">
        <v>67</v>
      </c>
      <c r="D17" s="48" t="s">
        <v>64</v>
      </c>
      <c r="E17" s="48"/>
      <c r="F17" s="48">
        <f>F16</f>
        <v>0.44324999999999998</v>
      </c>
      <c r="G17" s="48"/>
      <c r="H17" s="48">
        <f>F17*G17</f>
        <v>0</v>
      </c>
      <c r="I17" s="48"/>
      <c r="J17" s="48"/>
      <c r="K17" s="50"/>
      <c r="L17" s="48"/>
      <c r="M17" s="48">
        <f>H17</f>
        <v>0</v>
      </c>
    </row>
    <row r="18" spans="1:13" ht="54">
      <c r="A18" s="109">
        <v>2</v>
      </c>
      <c r="B18" s="33" t="s">
        <v>60</v>
      </c>
      <c r="C18" s="112" t="s">
        <v>146</v>
      </c>
      <c r="D18" s="34" t="s">
        <v>62</v>
      </c>
      <c r="E18" s="23"/>
      <c r="F18" s="111">
        <v>394</v>
      </c>
      <c r="G18" s="63"/>
      <c r="H18" s="62"/>
      <c r="I18" s="23"/>
      <c r="J18" s="63"/>
      <c r="K18" s="23"/>
      <c r="L18" s="62"/>
      <c r="M18" s="23"/>
    </row>
    <row r="19" spans="1:13" ht="13.5">
      <c r="A19" s="33"/>
      <c r="B19" s="33"/>
      <c r="C19" s="38" t="s">
        <v>63</v>
      </c>
      <c r="D19" s="35" t="s">
        <v>64</v>
      </c>
      <c r="E19" s="35">
        <f>20/1000</f>
        <v>0.02</v>
      </c>
      <c r="F19" s="35">
        <f>E19*F18</f>
        <v>7.88</v>
      </c>
      <c r="G19" s="39"/>
      <c r="H19" s="39">
        <f>F19*G19</f>
        <v>0</v>
      </c>
      <c r="I19" s="40"/>
      <c r="J19" s="40"/>
      <c r="K19" s="40"/>
      <c r="L19" s="40"/>
      <c r="M19" s="40">
        <f>H19</f>
        <v>0</v>
      </c>
    </row>
    <row r="20" spans="1:13" ht="13.5">
      <c r="A20" s="33"/>
      <c r="B20" s="33"/>
      <c r="C20" s="38" t="s">
        <v>65</v>
      </c>
      <c r="D20" s="35" t="s">
        <v>66</v>
      </c>
      <c r="E20" s="35">
        <f>44.8/1000</f>
        <v>4.48E-2</v>
      </c>
      <c r="F20" s="35">
        <f>E20*F18</f>
        <v>17.651199999999999</v>
      </c>
      <c r="G20" s="39"/>
      <c r="H20" s="39"/>
      <c r="I20" s="40"/>
      <c r="J20" s="41"/>
      <c r="K20" s="35"/>
      <c r="L20" s="42">
        <f>F20*K20</f>
        <v>0</v>
      </c>
      <c r="M20" s="40">
        <f>L20</f>
        <v>0</v>
      </c>
    </row>
    <row r="21" spans="1:13" ht="27">
      <c r="A21" s="33"/>
      <c r="B21" s="33"/>
      <c r="C21" s="38" t="s">
        <v>67</v>
      </c>
      <c r="D21" s="35" t="s">
        <v>64</v>
      </c>
      <c r="E21" s="35"/>
      <c r="F21" s="43">
        <f>F20</f>
        <v>17.651199999999999</v>
      </c>
      <c r="G21" s="39"/>
      <c r="H21" s="39">
        <f>F21*G21</f>
        <v>0</v>
      </c>
      <c r="I21" s="40"/>
      <c r="J21" s="41"/>
      <c r="K21" s="40"/>
      <c r="L21" s="42"/>
      <c r="M21" s="40">
        <f>H21</f>
        <v>0</v>
      </c>
    </row>
    <row r="22" spans="1:13" ht="13.5">
      <c r="A22" s="33"/>
      <c r="B22" s="33"/>
      <c r="C22" s="38" t="s">
        <v>68</v>
      </c>
      <c r="D22" s="35" t="s">
        <v>69</v>
      </c>
      <c r="E22" s="44">
        <f>2.1/1000</f>
        <v>2.1000000000000003E-3</v>
      </c>
      <c r="F22" s="43">
        <f>E22*F18</f>
        <v>0.82740000000000014</v>
      </c>
      <c r="G22" s="35"/>
      <c r="H22" s="35"/>
      <c r="I22" s="35"/>
      <c r="J22" s="35"/>
      <c r="K22" s="35"/>
      <c r="L22" s="35">
        <f>F22*K22</f>
        <v>0</v>
      </c>
      <c r="M22" s="35">
        <f>L22</f>
        <v>0</v>
      </c>
    </row>
    <row r="23" spans="1:13" ht="15.75">
      <c r="A23" s="46"/>
      <c r="B23" s="46"/>
      <c r="C23" s="47" t="s">
        <v>70</v>
      </c>
      <c r="D23" s="48" t="s">
        <v>62</v>
      </c>
      <c r="E23" s="49">
        <f>0.09/1000</f>
        <v>8.9999999999999992E-5</v>
      </c>
      <c r="F23" s="48">
        <f>E23*F18</f>
        <v>3.5459999999999998E-2</v>
      </c>
      <c r="G23" s="48"/>
      <c r="H23" s="48"/>
      <c r="I23" s="48"/>
      <c r="J23" s="48">
        <f>F23*I23</f>
        <v>0</v>
      </c>
      <c r="K23" s="50"/>
      <c r="L23" s="48"/>
      <c r="M23" s="48">
        <f>J23</f>
        <v>0</v>
      </c>
    </row>
    <row r="24" spans="1:13" ht="40.5">
      <c r="A24" s="107">
        <v>3</v>
      </c>
      <c r="B24" s="26"/>
      <c r="C24" s="27" t="s">
        <v>143</v>
      </c>
      <c r="D24" s="28" t="s">
        <v>72</v>
      </c>
      <c r="E24" s="29"/>
      <c r="F24" s="119">
        <f>394*1.8</f>
        <v>709.2</v>
      </c>
      <c r="G24" s="31"/>
      <c r="H24" s="28"/>
      <c r="I24" s="29"/>
      <c r="J24" s="31"/>
      <c r="K24" s="29"/>
      <c r="L24" s="28">
        <f>F24*K24</f>
        <v>0</v>
      </c>
      <c r="M24" s="29">
        <f>L24</f>
        <v>0</v>
      </c>
    </row>
    <row r="25" spans="1:13" ht="13.5">
      <c r="A25" s="33"/>
      <c r="B25" s="33"/>
      <c r="C25" s="89" t="s">
        <v>30</v>
      </c>
      <c r="D25" s="90" t="s">
        <v>69</v>
      </c>
      <c r="E25" s="35"/>
      <c r="F25" s="35"/>
      <c r="G25" s="35"/>
      <c r="H25" s="35">
        <f>SUM(H13:H24)</f>
        <v>0</v>
      </c>
      <c r="I25" s="35"/>
      <c r="J25" s="35">
        <f>SUM(J13:J24)</f>
        <v>0</v>
      </c>
      <c r="K25" s="32"/>
      <c r="L25" s="35">
        <f>SUM(L14:L24)</f>
        <v>0</v>
      </c>
      <c r="M25" s="35">
        <f>SUM(H25:L25)</f>
        <v>0</v>
      </c>
    </row>
    <row r="26" spans="1:13" ht="13.5">
      <c r="A26" s="91"/>
      <c r="B26" s="91"/>
      <c r="C26" s="92" t="s">
        <v>147</v>
      </c>
      <c r="D26" s="90" t="s">
        <v>69</v>
      </c>
      <c r="E26" s="93"/>
      <c r="F26" s="94"/>
      <c r="G26" s="95"/>
      <c r="H26" s="93">
        <f>E26*H25</f>
        <v>0</v>
      </c>
      <c r="I26" s="93"/>
      <c r="J26" s="93">
        <f>E26*J25</f>
        <v>0</v>
      </c>
      <c r="K26" s="93"/>
      <c r="L26" s="93">
        <f>E26*L25</f>
        <v>0</v>
      </c>
      <c r="M26" s="93">
        <f>SUM(H26:L26)</f>
        <v>0</v>
      </c>
    </row>
    <row r="27" spans="1:13" ht="13.5">
      <c r="A27" s="96"/>
      <c r="B27" s="91"/>
      <c r="C27" s="89" t="s">
        <v>30</v>
      </c>
      <c r="D27" s="90" t="s">
        <v>69</v>
      </c>
      <c r="E27" s="97"/>
      <c r="F27" s="89"/>
      <c r="G27" s="89"/>
      <c r="H27" s="97">
        <f>SUM(H25:H26)</f>
        <v>0</v>
      </c>
      <c r="I27" s="97"/>
      <c r="J27" s="97">
        <f>SUM(J25:J26)</f>
        <v>0</v>
      </c>
      <c r="K27" s="97"/>
      <c r="L27" s="97">
        <f>SUM(L25:L26)</f>
        <v>0</v>
      </c>
      <c r="M27" s="97">
        <f>SUM(H27:L27)</f>
        <v>0</v>
      </c>
    </row>
    <row r="28" spans="1:13" ht="13.5">
      <c r="A28" s="91"/>
      <c r="B28" s="91"/>
      <c r="C28" s="91" t="s">
        <v>148</v>
      </c>
      <c r="D28" s="90" t="s">
        <v>69</v>
      </c>
      <c r="E28" s="93"/>
      <c r="F28" s="98"/>
      <c r="G28" s="93"/>
      <c r="H28" s="93">
        <f>E28*H27</f>
        <v>0</v>
      </c>
      <c r="I28" s="93"/>
      <c r="J28" s="93">
        <f>E28*J27</f>
        <v>0</v>
      </c>
      <c r="K28" s="93"/>
      <c r="L28" s="93">
        <f>E28*L27</f>
        <v>0</v>
      </c>
      <c r="M28" s="93">
        <f>SUM(H28:L28)</f>
        <v>0</v>
      </c>
    </row>
    <row r="29" spans="1:13" ht="13.5">
      <c r="A29" s="99"/>
      <c r="B29" s="100"/>
      <c r="C29" s="101" t="s">
        <v>30</v>
      </c>
      <c r="D29" s="102" t="s">
        <v>69</v>
      </c>
      <c r="E29" s="101"/>
      <c r="F29" s="101"/>
      <c r="G29" s="101"/>
      <c r="H29" s="103">
        <f>SUM(H27:H28)</f>
        <v>0</v>
      </c>
      <c r="I29" s="103"/>
      <c r="J29" s="103">
        <f>SUM(J27:J28)</f>
        <v>0</v>
      </c>
      <c r="K29" s="103"/>
      <c r="L29" s="103">
        <f>SUM(L27:L28)</f>
        <v>0</v>
      </c>
      <c r="M29" s="103">
        <f>SUM(H29:L29)</f>
        <v>0</v>
      </c>
    </row>
  </sheetData>
  <mergeCells count="23">
    <mergeCell ref="A1:M1"/>
    <mergeCell ref="A2:M2"/>
    <mergeCell ref="A3:M3"/>
    <mergeCell ref="A4:M4"/>
    <mergeCell ref="B5:D5"/>
    <mergeCell ref="F5:I5"/>
    <mergeCell ref="B6:C6"/>
    <mergeCell ref="F6:I6"/>
    <mergeCell ref="A8:A11"/>
    <mergeCell ref="B8:B11"/>
    <mergeCell ref="C8:C11"/>
    <mergeCell ref="D8:F9"/>
    <mergeCell ref="G8:H9"/>
    <mergeCell ref="I8:J9"/>
    <mergeCell ref="K8:L8"/>
    <mergeCell ref="M8:M11"/>
    <mergeCell ref="K9:L9"/>
    <mergeCell ref="D10:D11"/>
    <mergeCell ref="E10:E11"/>
    <mergeCell ref="F10:F11"/>
    <mergeCell ref="H10:H11"/>
    <mergeCell ref="J10:J11"/>
    <mergeCell ref="L10:L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8"/>
  <sheetViews>
    <sheetView view="pageBreakPreview" topLeftCell="A37" zoomScale="60" zoomScaleNormal="100" workbookViewId="0">
      <selection activeCell="P13" sqref="P13"/>
    </sheetView>
  </sheetViews>
  <sheetFormatPr defaultRowHeight="13.5"/>
  <cols>
    <col min="1" max="1" width="3.42578125" style="104" customWidth="1"/>
    <col min="2" max="2" width="7.5703125" style="105" customWidth="1"/>
    <col min="3" max="3" width="35.5703125" style="21" customWidth="1"/>
    <col min="4" max="4" width="8.140625" style="106" customWidth="1"/>
    <col min="5" max="5" width="7.42578125" style="106" customWidth="1"/>
    <col min="6" max="6" width="8.5703125" style="106" customWidth="1"/>
    <col min="7" max="7" width="6.7109375" style="106" customWidth="1"/>
    <col min="8" max="10" width="7.140625" style="106" customWidth="1"/>
    <col min="11" max="11" width="7" style="106" customWidth="1"/>
    <col min="12" max="12" width="7.140625" style="106" customWidth="1"/>
    <col min="13" max="13" width="8.140625" style="106" customWidth="1"/>
    <col min="14" max="16384" width="9.140625" style="20"/>
  </cols>
  <sheetData>
    <row r="1" spans="1:14" ht="12.75">
      <c r="A1" s="324" t="s">
        <v>144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4" ht="12.75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4" ht="12.75">
      <c r="A3" s="325" t="s">
        <v>145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4" ht="12.75">
      <c r="A4" s="32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4" ht="13.5" customHeight="1">
      <c r="A5" s="105"/>
      <c r="B5" s="299"/>
      <c r="C5" s="299"/>
      <c r="D5" s="319"/>
      <c r="E5" s="133"/>
      <c r="F5" s="300"/>
      <c r="G5" s="300"/>
      <c r="H5" s="300"/>
      <c r="I5" s="300"/>
      <c r="J5" s="133"/>
      <c r="K5" s="22"/>
      <c r="L5" s="133"/>
      <c r="M5" s="133"/>
    </row>
    <row r="6" spans="1:14" ht="13.5" customHeight="1">
      <c r="A6" s="105"/>
      <c r="B6" s="299"/>
      <c r="C6" s="299"/>
      <c r="D6" s="22"/>
      <c r="E6" s="133"/>
      <c r="F6" s="320"/>
      <c r="G6" s="320"/>
      <c r="H6" s="320"/>
      <c r="I6" s="320"/>
      <c r="J6" s="133"/>
      <c r="K6" s="133"/>
      <c r="L6" s="133"/>
      <c r="M6" s="133"/>
    </row>
    <row r="7" spans="1:14">
      <c r="A7" s="105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4" ht="13.5" customHeight="1">
      <c r="A8" s="321" t="s">
        <v>35</v>
      </c>
      <c r="B8" s="304" t="s">
        <v>36</v>
      </c>
      <c r="C8" s="307" t="s">
        <v>37</v>
      </c>
      <c r="D8" s="289" t="s">
        <v>38</v>
      </c>
      <c r="E8" s="310"/>
      <c r="F8" s="291"/>
      <c r="G8" s="289" t="s">
        <v>39</v>
      </c>
      <c r="H8" s="290"/>
      <c r="I8" s="289" t="s">
        <v>40</v>
      </c>
      <c r="J8" s="314"/>
      <c r="K8" s="289" t="s">
        <v>41</v>
      </c>
      <c r="L8" s="290"/>
      <c r="M8" s="291" t="s">
        <v>42</v>
      </c>
    </row>
    <row r="9" spans="1:14">
      <c r="A9" s="322"/>
      <c r="B9" s="305"/>
      <c r="C9" s="308"/>
      <c r="D9" s="295"/>
      <c r="E9" s="311"/>
      <c r="F9" s="312"/>
      <c r="G9" s="313"/>
      <c r="H9" s="296"/>
      <c r="I9" s="313"/>
      <c r="J9" s="315"/>
      <c r="K9" s="295" t="s">
        <v>43</v>
      </c>
      <c r="L9" s="296"/>
      <c r="M9" s="292"/>
    </row>
    <row r="10" spans="1:14">
      <c r="A10" s="322"/>
      <c r="B10" s="305"/>
      <c r="C10" s="308"/>
      <c r="D10" s="297" t="s">
        <v>44</v>
      </c>
      <c r="E10" s="297" t="s">
        <v>45</v>
      </c>
      <c r="F10" s="297" t="s">
        <v>30</v>
      </c>
      <c r="G10" s="23" t="s">
        <v>45</v>
      </c>
      <c r="H10" s="297" t="s">
        <v>30</v>
      </c>
      <c r="I10" s="23" t="s">
        <v>45</v>
      </c>
      <c r="J10" s="297" t="s">
        <v>30</v>
      </c>
      <c r="K10" s="23" t="s">
        <v>45</v>
      </c>
      <c r="L10" s="297" t="s">
        <v>30</v>
      </c>
      <c r="M10" s="293"/>
    </row>
    <row r="11" spans="1:14">
      <c r="A11" s="323"/>
      <c r="B11" s="306"/>
      <c r="C11" s="309"/>
      <c r="D11" s="298"/>
      <c r="E11" s="298"/>
      <c r="F11" s="298"/>
      <c r="G11" s="24" t="s">
        <v>46</v>
      </c>
      <c r="H11" s="298"/>
      <c r="I11" s="24" t="s">
        <v>46</v>
      </c>
      <c r="J11" s="298"/>
      <c r="K11" s="24" t="s">
        <v>46</v>
      </c>
      <c r="L11" s="298"/>
      <c r="M11" s="294"/>
    </row>
    <row r="12" spans="1:14">
      <c r="A12" s="134" t="s">
        <v>47</v>
      </c>
      <c r="B12" s="135" t="s">
        <v>48</v>
      </c>
      <c r="C12" s="27" t="s">
        <v>49</v>
      </c>
      <c r="D12" s="136" t="s">
        <v>50</v>
      </c>
      <c r="E12" s="137" t="s">
        <v>51</v>
      </c>
      <c r="F12" s="138" t="s">
        <v>52</v>
      </c>
      <c r="G12" s="139" t="s">
        <v>53</v>
      </c>
      <c r="H12" s="136" t="s">
        <v>54</v>
      </c>
      <c r="I12" s="137" t="s">
        <v>55</v>
      </c>
      <c r="J12" s="139" t="s">
        <v>56</v>
      </c>
      <c r="K12" s="137" t="s">
        <v>57</v>
      </c>
      <c r="L12" s="136" t="s">
        <v>58</v>
      </c>
      <c r="M12" s="137" t="s">
        <v>59</v>
      </c>
    </row>
    <row r="13" spans="1:14" ht="40.5">
      <c r="A13" s="140">
        <v>1</v>
      </c>
      <c r="B13" s="141" t="s">
        <v>105</v>
      </c>
      <c r="C13" s="84" t="s">
        <v>106</v>
      </c>
      <c r="D13" s="35" t="s">
        <v>62</v>
      </c>
      <c r="E13" s="142"/>
      <c r="F13" s="143">
        <v>240.34</v>
      </c>
      <c r="G13" s="142"/>
      <c r="H13" s="142"/>
      <c r="I13" s="142"/>
      <c r="J13" s="142"/>
      <c r="K13" s="142"/>
      <c r="L13" s="142"/>
      <c r="M13" s="142"/>
      <c r="N13" s="37"/>
    </row>
    <row r="14" spans="1:14">
      <c r="A14" s="141"/>
      <c r="B14" s="141"/>
      <c r="C14" s="34" t="s">
        <v>63</v>
      </c>
      <c r="D14" s="35" t="s">
        <v>64</v>
      </c>
      <c r="E14" s="142">
        <v>0.15</v>
      </c>
      <c r="F14" s="142">
        <f>E14*F13</f>
        <v>36.051000000000002</v>
      </c>
      <c r="G14" s="142"/>
      <c r="H14" s="142">
        <f>F14*G14</f>
        <v>0</v>
      </c>
      <c r="I14" s="144"/>
      <c r="J14" s="144"/>
      <c r="K14" s="144"/>
      <c r="L14" s="144"/>
      <c r="M14" s="142">
        <f>H14</f>
        <v>0</v>
      </c>
    </row>
    <row r="15" spans="1:14" ht="27">
      <c r="A15" s="141"/>
      <c r="B15" s="141"/>
      <c r="C15" s="34" t="s">
        <v>107</v>
      </c>
      <c r="D15" s="35" t="s">
        <v>66</v>
      </c>
      <c r="E15" s="142">
        <f>2.16/100</f>
        <v>2.1600000000000001E-2</v>
      </c>
      <c r="F15" s="142">
        <f>E15*F13</f>
        <v>5.191344</v>
      </c>
      <c r="G15" s="142"/>
      <c r="H15" s="144"/>
      <c r="I15" s="144"/>
      <c r="J15" s="144"/>
      <c r="K15" s="142"/>
      <c r="L15" s="142">
        <f>F15*K15</f>
        <v>0</v>
      </c>
      <c r="M15" s="142">
        <f>L15</f>
        <v>0</v>
      </c>
    </row>
    <row r="16" spans="1:14" ht="27">
      <c r="A16" s="141"/>
      <c r="B16" s="141"/>
      <c r="C16" s="34" t="s">
        <v>67</v>
      </c>
      <c r="D16" s="35" t="s">
        <v>64</v>
      </c>
      <c r="E16" s="142"/>
      <c r="F16" s="142">
        <f>F15</f>
        <v>5.191344</v>
      </c>
      <c r="G16" s="142"/>
      <c r="H16" s="142">
        <f>F16*G16</f>
        <v>0</v>
      </c>
      <c r="I16" s="144"/>
      <c r="J16" s="144"/>
      <c r="K16" s="144"/>
      <c r="L16" s="142"/>
      <c r="M16" s="142">
        <f>H16</f>
        <v>0</v>
      </c>
    </row>
    <row r="17" spans="1:14" ht="27">
      <c r="A17" s="141"/>
      <c r="B17" s="141"/>
      <c r="C17" s="34" t="s">
        <v>108</v>
      </c>
      <c r="D17" s="35" t="s">
        <v>66</v>
      </c>
      <c r="E17" s="142">
        <f>2.73/100</f>
        <v>2.7300000000000001E-2</v>
      </c>
      <c r="F17" s="142">
        <f>E17*F13</f>
        <v>6.5612820000000003</v>
      </c>
      <c r="G17" s="142"/>
      <c r="H17" s="142"/>
      <c r="I17" s="144"/>
      <c r="J17" s="144"/>
      <c r="K17" s="142"/>
      <c r="L17" s="142">
        <f>F17*K17</f>
        <v>0</v>
      </c>
      <c r="M17" s="142">
        <f>L17</f>
        <v>0</v>
      </c>
    </row>
    <row r="18" spans="1:14" ht="27">
      <c r="A18" s="141"/>
      <c r="B18" s="141"/>
      <c r="C18" s="34" t="s">
        <v>67</v>
      </c>
      <c r="D18" s="35" t="s">
        <v>64</v>
      </c>
      <c r="E18" s="142"/>
      <c r="F18" s="142">
        <f>F17</f>
        <v>6.5612820000000003</v>
      </c>
      <c r="G18" s="142"/>
      <c r="H18" s="142">
        <f>F18*G18</f>
        <v>0</v>
      </c>
      <c r="I18" s="144"/>
      <c r="J18" s="144"/>
      <c r="K18" s="144"/>
      <c r="L18" s="142"/>
      <c r="M18" s="142">
        <f>H18</f>
        <v>0</v>
      </c>
    </row>
    <row r="19" spans="1:14">
      <c r="A19" s="141"/>
      <c r="B19" s="141"/>
      <c r="C19" s="34" t="s">
        <v>109</v>
      </c>
      <c r="D19" s="35" t="s">
        <v>66</v>
      </c>
      <c r="E19" s="142">
        <f>0.97/100</f>
        <v>9.7000000000000003E-3</v>
      </c>
      <c r="F19" s="142">
        <f>E19*F13</f>
        <v>2.3312980000000003</v>
      </c>
      <c r="G19" s="142"/>
      <c r="H19" s="142"/>
      <c r="I19" s="144"/>
      <c r="J19" s="144"/>
      <c r="K19" s="142"/>
      <c r="L19" s="142">
        <f>F19*K19</f>
        <v>0</v>
      </c>
      <c r="M19" s="142">
        <f>L19</f>
        <v>0</v>
      </c>
    </row>
    <row r="20" spans="1:14" ht="27">
      <c r="A20" s="141"/>
      <c r="B20" s="141"/>
      <c r="C20" s="34" t="s">
        <v>67</v>
      </c>
      <c r="D20" s="35" t="s">
        <v>64</v>
      </c>
      <c r="E20" s="142"/>
      <c r="F20" s="142">
        <f>F19</f>
        <v>2.3312980000000003</v>
      </c>
      <c r="G20" s="142"/>
      <c r="H20" s="142">
        <f>F20*G20</f>
        <v>0</v>
      </c>
      <c r="I20" s="144"/>
      <c r="J20" s="144"/>
      <c r="K20" s="144"/>
      <c r="L20" s="142"/>
      <c r="M20" s="142">
        <f>H20</f>
        <v>0</v>
      </c>
    </row>
    <row r="21" spans="1:14" ht="15.75">
      <c r="A21" s="141"/>
      <c r="B21" s="141"/>
      <c r="C21" s="34" t="s">
        <v>110</v>
      </c>
      <c r="D21" s="35" t="s">
        <v>62</v>
      </c>
      <c r="E21" s="142">
        <v>1.22</v>
      </c>
      <c r="F21" s="142">
        <f>E21*F13</f>
        <v>293.21480000000003</v>
      </c>
      <c r="G21" s="142"/>
      <c r="H21" s="142"/>
      <c r="I21" s="142"/>
      <c r="J21" s="144">
        <f>F21*I21</f>
        <v>0</v>
      </c>
      <c r="K21" s="144"/>
      <c r="L21" s="142"/>
      <c r="M21" s="142">
        <f>J21</f>
        <v>0</v>
      </c>
    </row>
    <row r="22" spans="1:14" ht="15.75">
      <c r="A22" s="145"/>
      <c r="B22" s="145"/>
      <c r="C22" s="83" t="s">
        <v>111</v>
      </c>
      <c r="D22" s="48" t="s">
        <v>62</v>
      </c>
      <c r="E22" s="146">
        <f>7/100</f>
        <v>7.0000000000000007E-2</v>
      </c>
      <c r="F22" s="146">
        <f>E22*F13</f>
        <v>16.823800000000002</v>
      </c>
      <c r="G22" s="146"/>
      <c r="H22" s="146"/>
      <c r="I22" s="146"/>
      <c r="J22" s="146">
        <f>F22*I22</f>
        <v>0</v>
      </c>
      <c r="K22" s="147"/>
      <c r="L22" s="146"/>
      <c r="M22" s="146">
        <f>J22</f>
        <v>0</v>
      </c>
    </row>
    <row r="23" spans="1:14" ht="27">
      <c r="A23" s="144">
        <v>2</v>
      </c>
      <c r="B23" s="148" t="s">
        <v>112</v>
      </c>
      <c r="C23" s="21" t="s">
        <v>113</v>
      </c>
      <c r="D23" s="35" t="s">
        <v>62</v>
      </c>
      <c r="E23" s="142"/>
      <c r="F23" s="143">
        <v>148.93</v>
      </c>
      <c r="G23" s="142"/>
      <c r="H23" s="142"/>
      <c r="I23" s="142"/>
      <c r="J23" s="142"/>
      <c r="K23" s="142"/>
      <c r="L23" s="142"/>
      <c r="M23" s="142"/>
      <c r="N23" s="37"/>
    </row>
    <row r="24" spans="1:14">
      <c r="A24" s="141"/>
      <c r="B24" s="141"/>
      <c r="C24" s="34" t="s">
        <v>63</v>
      </c>
      <c r="D24" s="35" t="s">
        <v>64</v>
      </c>
      <c r="E24" s="149">
        <f>21.6/100</f>
        <v>0.21600000000000003</v>
      </c>
      <c r="F24" s="142">
        <f>E24*F23</f>
        <v>32.168880000000009</v>
      </c>
      <c r="G24" s="142"/>
      <c r="H24" s="142">
        <f>F24*G24</f>
        <v>0</v>
      </c>
      <c r="I24" s="144"/>
      <c r="J24" s="144"/>
      <c r="K24" s="144"/>
      <c r="L24" s="144"/>
      <c r="M24" s="142">
        <f>H24</f>
        <v>0</v>
      </c>
    </row>
    <row r="25" spans="1:14" ht="27">
      <c r="A25" s="141"/>
      <c r="B25" s="141"/>
      <c r="C25" s="34" t="s">
        <v>107</v>
      </c>
      <c r="D25" s="35" t="s">
        <v>66</v>
      </c>
      <c r="E25" s="149">
        <f>1.24/100</f>
        <v>1.24E-2</v>
      </c>
      <c r="F25" s="142">
        <f>E25*F23</f>
        <v>1.846732</v>
      </c>
      <c r="G25" s="142"/>
      <c r="H25" s="144"/>
      <c r="I25" s="144"/>
      <c r="J25" s="144"/>
      <c r="K25" s="142"/>
      <c r="L25" s="142">
        <f>F25*K25</f>
        <v>0</v>
      </c>
      <c r="M25" s="142">
        <f>L25</f>
        <v>0</v>
      </c>
    </row>
    <row r="26" spans="1:14" ht="27">
      <c r="A26" s="141"/>
      <c r="B26" s="141"/>
      <c r="C26" s="34" t="s">
        <v>67</v>
      </c>
      <c r="D26" s="35" t="s">
        <v>64</v>
      </c>
      <c r="E26" s="142"/>
      <c r="F26" s="142">
        <f>F25</f>
        <v>1.846732</v>
      </c>
      <c r="G26" s="142"/>
      <c r="H26" s="142">
        <f>F26*G26</f>
        <v>0</v>
      </c>
      <c r="I26" s="142"/>
      <c r="J26" s="142"/>
      <c r="K26" s="142"/>
      <c r="L26" s="142"/>
      <c r="M26" s="142">
        <f>H26</f>
        <v>0</v>
      </c>
    </row>
    <row r="27" spans="1:14">
      <c r="A27" s="141"/>
      <c r="B27" s="141"/>
      <c r="C27" s="34" t="s">
        <v>114</v>
      </c>
      <c r="D27" s="35" t="s">
        <v>66</v>
      </c>
      <c r="E27" s="149">
        <f>2.58/100</f>
        <v>2.58E-2</v>
      </c>
      <c r="F27" s="142">
        <f>E27*F23</f>
        <v>3.8423940000000001</v>
      </c>
      <c r="G27" s="142"/>
      <c r="H27" s="142"/>
      <c r="I27" s="142"/>
      <c r="J27" s="142"/>
      <c r="K27" s="142"/>
      <c r="L27" s="142">
        <f>F27*K27</f>
        <v>0</v>
      </c>
      <c r="M27" s="142">
        <f>L27</f>
        <v>0</v>
      </c>
    </row>
    <row r="28" spans="1:14" ht="27">
      <c r="A28" s="141"/>
      <c r="B28" s="141"/>
      <c r="C28" s="34" t="s">
        <v>67</v>
      </c>
      <c r="D28" s="35" t="s">
        <v>64</v>
      </c>
      <c r="E28" s="142"/>
      <c r="F28" s="142">
        <f>F27</f>
        <v>3.8423940000000001</v>
      </c>
      <c r="G28" s="142"/>
      <c r="H28" s="142">
        <f>F28*G28</f>
        <v>0</v>
      </c>
      <c r="I28" s="142"/>
      <c r="J28" s="142"/>
      <c r="K28" s="142"/>
      <c r="L28" s="142"/>
      <c r="M28" s="142">
        <f>H28</f>
        <v>0</v>
      </c>
    </row>
    <row r="29" spans="1:14" ht="27">
      <c r="A29" s="141"/>
      <c r="B29" s="141"/>
      <c r="C29" s="34" t="s">
        <v>115</v>
      </c>
      <c r="D29" s="35" t="s">
        <v>66</v>
      </c>
      <c r="E29" s="149">
        <f>0.41/100</f>
        <v>4.0999999999999995E-3</v>
      </c>
      <c r="F29" s="149">
        <f>E29*F23</f>
        <v>0.61061299999999996</v>
      </c>
      <c r="G29" s="142"/>
      <c r="H29" s="142"/>
      <c r="I29" s="142"/>
      <c r="J29" s="142"/>
      <c r="K29" s="142"/>
      <c r="L29" s="142">
        <f>F29*K29</f>
        <v>0</v>
      </c>
      <c r="M29" s="142">
        <f>L29</f>
        <v>0</v>
      </c>
    </row>
    <row r="30" spans="1:14" ht="27">
      <c r="A30" s="141"/>
      <c r="B30" s="141"/>
      <c r="C30" s="34" t="s">
        <v>67</v>
      </c>
      <c r="D30" s="35" t="s">
        <v>64</v>
      </c>
      <c r="E30" s="142"/>
      <c r="F30" s="149">
        <f>F29</f>
        <v>0.61061299999999996</v>
      </c>
      <c r="G30" s="142"/>
      <c r="H30" s="142">
        <f>F30*G30</f>
        <v>0</v>
      </c>
      <c r="I30" s="142"/>
      <c r="J30" s="142"/>
      <c r="K30" s="142"/>
      <c r="L30" s="142"/>
      <c r="M30" s="142">
        <f>H30</f>
        <v>0</v>
      </c>
    </row>
    <row r="31" spans="1:14" ht="27">
      <c r="A31" s="141"/>
      <c r="B31" s="141"/>
      <c r="C31" s="34" t="s">
        <v>116</v>
      </c>
      <c r="D31" s="35" t="s">
        <v>66</v>
      </c>
      <c r="E31" s="149">
        <f>7.6/100</f>
        <v>7.5999999999999998E-2</v>
      </c>
      <c r="F31" s="142">
        <f>E31*F23</f>
        <v>11.318680000000001</v>
      </c>
      <c r="G31" s="142"/>
      <c r="H31" s="142"/>
      <c r="I31" s="142"/>
      <c r="J31" s="142"/>
      <c r="K31" s="142"/>
      <c r="L31" s="142">
        <f>F31*K31</f>
        <v>0</v>
      </c>
      <c r="M31" s="142">
        <f>L31</f>
        <v>0</v>
      </c>
    </row>
    <row r="32" spans="1:14" ht="27">
      <c r="A32" s="141"/>
      <c r="B32" s="141"/>
      <c r="C32" s="34" t="s">
        <v>67</v>
      </c>
      <c r="D32" s="35" t="s">
        <v>64</v>
      </c>
      <c r="E32" s="142"/>
      <c r="F32" s="142">
        <f>F31</f>
        <v>11.318680000000001</v>
      </c>
      <c r="G32" s="142"/>
      <c r="H32" s="142">
        <f>F32*G32</f>
        <v>0</v>
      </c>
      <c r="I32" s="142"/>
      <c r="J32" s="142"/>
      <c r="K32" s="142"/>
      <c r="L32" s="142"/>
      <c r="M32" s="142">
        <f>H32</f>
        <v>0</v>
      </c>
    </row>
    <row r="33" spans="1:14">
      <c r="A33" s="141"/>
      <c r="B33" s="141"/>
      <c r="C33" s="34" t="s">
        <v>117</v>
      </c>
      <c r="D33" s="35" t="s">
        <v>66</v>
      </c>
      <c r="E33" s="149">
        <f>15.1/100</f>
        <v>0.151</v>
      </c>
      <c r="F33" s="142">
        <f>E33*F23</f>
        <v>22.488430000000001</v>
      </c>
      <c r="G33" s="142"/>
      <c r="H33" s="142"/>
      <c r="I33" s="142"/>
      <c r="J33" s="142"/>
      <c r="K33" s="142"/>
      <c r="L33" s="142">
        <f>F33*K33</f>
        <v>0</v>
      </c>
      <c r="M33" s="142">
        <f>L33</f>
        <v>0</v>
      </c>
    </row>
    <row r="34" spans="1:14" ht="27">
      <c r="A34" s="141"/>
      <c r="B34" s="141"/>
      <c r="C34" s="34" t="s">
        <v>67</v>
      </c>
      <c r="D34" s="35" t="s">
        <v>64</v>
      </c>
      <c r="E34" s="142"/>
      <c r="F34" s="142">
        <f>F33</f>
        <v>22.488430000000001</v>
      </c>
      <c r="G34" s="142"/>
      <c r="H34" s="142">
        <f>F34*G34</f>
        <v>0</v>
      </c>
      <c r="I34" s="142"/>
      <c r="J34" s="142"/>
      <c r="K34" s="142"/>
      <c r="L34" s="142"/>
      <c r="M34" s="142">
        <f>H34</f>
        <v>0</v>
      </c>
    </row>
    <row r="35" spans="1:14">
      <c r="A35" s="141"/>
      <c r="B35" s="141"/>
      <c r="C35" s="34" t="s">
        <v>109</v>
      </c>
      <c r="D35" s="35" t="s">
        <v>66</v>
      </c>
      <c r="E35" s="149">
        <f>0.97/100</f>
        <v>9.7000000000000003E-3</v>
      </c>
      <c r="F35" s="142">
        <f>E35*F23</f>
        <v>1.4446210000000002</v>
      </c>
      <c r="G35" s="142"/>
      <c r="H35" s="142"/>
      <c r="I35" s="142"/>
      <c r="J35" s="142"/>
      <c r="K35" s="142"/>
      <c r="L35" s="142">
        <f>F35*K35</f>
        <v>0</v>
      </c>
      <c r="M35" s="142">
        <f>L35</f>
        <v>0</v>
      </c>
    </row>
    <row r="36" spans="1:14" ht="27">
      <c r="A36" s="141"/>
      <c r="B36" s="141"/>
      <c r="C36" s="34" t="s">
        <v>67</v>
      </c>
      <c r="D36" s="35" t="s">
        <v>64</v>
      </c>
      <c r="E36" s="142"/>
      <c r="F36" s="142">
        <f>F35</f>
        <v>1.4446210000000002</v>
      </c>
      <c r="G36" s="142"/>
      <c r="H36" s="142">
        <f>F36*G36</f>
        <v>0</v>
      </c>
      <c r="I36" s="142"/>
      <c r="J36" s="142"/>
      <c r="K36" s="142"/>
      <c r="L36" s="142"/>
      <c r="M36" s="142">
        <f>H36</f>
        <v>0</v>
      </c>
    </row>
    <row r="37" spans="1:14" ht="15.75">
      <c r="A37" s="141"/>
      <c r="B37" s="141"/>
      <c r="C37" s="34" t="s">
        <v>118</v>
      </c>
      <c r="D37" s="35" t="s">
        <v>62</v>
      </c>
      <c r="E37" s="142">
        <v>1.26</v>
      </c>
      <c r="F37" s="142">
        <f>E37*F23</f>
        <v>187.65180000000001</v>
      </c>
      <c r="G37" s="142"/>
      <c r="H37" s="142"/>
      <c r="I37" s="142"/>
      <c r="J37" s="142">
        <f>F37*I37</f>
        <v>0</v>
      </c>
      <c r="K37" s="142"/>
      <c r="L37" s="142"/>
      <c r="M37" s="142">
        <f>J37</f>
        <v>0</v>
      </c>
    </row>
    <row r="38" spans="1:14" ht="15.75">
      <c r="A38" s="145"/>
      <c r="B38" s="145"/>
      <c r="C38" s="83" t="s">
        <v>111</v>
      </c>
      <c r="D38" s="48" t="s">
        <v>62</v>
      </c>
      <c r="E38" s="150">
        <f>7/100</f>
        <v>7.0000000000000007E-2</v>
      </c>
      <c r="F38" s="146">
        <f>E38*F23</f>
        <v>10.425100000000002</v>
      </c>
      <c r="G38" s="146"/>
      <c r="H38" s="146"/>
      <c r="I38" s="146"/>
      <c r="J38" s="146">
        <f>F38*I38</f>
        <v>0</v>
      </c>
      <c r="K38" s="146"/>
      <c r="L38" s="146"/>
      <c r="M38" s="146">
        <f>J38</f>
        <v>0</v>
      </c>
    </row>
    <row r="39" spans="1:14" ht="29.25">
      <c r="A39" s="144">
        <v>3</v>
      </c>
      <c r="B39" s="141" t="s">
        <v>119</v>
      </c>
      <c r="C39" s="84" t="s">
        <v>120</v>
      </c>
      <c r="D39" s="35" t="s">
        <v>72</v>
      </c>
      <c r="E39" s="142"/>
      <c r="F39" s="151">
        <f>689.5/1000</f>
        <v>0.6895</v>
      </c>
      <c r="G39" s="142"/>
      <c r="H39" s="142"/>
      <c r="I39" s="142"/>
      <c r="J39" s="142"/>
      <c r="K39" s="142"/>
      <c r="L39" s="142"/>
      <c r="M39" s="142"/>
      <c r="N39" s="37"/>
    </row>
    <row r="40" spans="1:14">
      <c r="A40" s="141"/>
      <c r="B40" s="141"/>
      <c r="C40" s="34" t="s">
        <v>121</v>
      </c>
      <c r="D40" s="35" t="s">
        <v>66</v>
      </c>
      <c r="E40" s="142">
        <v>0.3</v>
      </c>
      <c r="F40" s="142">
        <f>E40*F39</f>
        <v>0.20685000000000001</v>
      </c>
      <c r="G40" s="142"/>
      <c r="H40" s="144"/>
      <c r="I40" s="144"/>
      <c r="J40" s="144"/>
      <c r="K40" s="142"/>
      <c r="L40" s="142">
        <f>F40*K40</f>
        <v>0</v>
      </c>
      <c r="M40" s="142">
        <f>L40</f>
        <v>0</v>
      </c>
    </row>
    <row r="41" spans="1:14" ht="27">
      <c r="A41" s="141"/>
      <c r="B41" s="141"/>
      <c r="C41" s="34" t="s">
        <v>67</v>
      </c>
      <c r="D41" s="35" t="s">
        <v>64</v>
      </c>
      <c r="E41" s="142"/>
      <c r="F41" s="142">
        <f>F40</f>
        <v>0.20685000000000001</v>
      </c>
      <c r="G41" s="142"/>
      <c r="H41" s="142">
        <f>F41*G41</f>
        <v>0</v>
      </c>
      <c r="I41" s="144"/>
      <c r="J41" s="144"/>
      <c r="K41" s="144"/>
      <c r="L41" s="142"/>
      <c r="M41" s="142">
        <f>H41</f>
        <v>0</v>
      </c>
    </row>
    <row r="42" spans="1:14">
      <c r="A42" s="145"/>
      <c r="B42" s="145"/>
      <c r="C42" s="83" t="s">
        <v>122</v>
      </c>
      <c r="D42" s="48" t="s">
        <v>72</v>
      </c>
      <c r="E42" s="146">
        <v>1.03</v>
      </c>
      <c r="F42" s="146">
        <f>E42*F39</f>
        <v>0.71018500000000007</v>
      </c>
      <c r="G42" s="146"/>
      <c r="H42" s="147"/>
      <c r="I42" s="146"/>
      <c r="J42" s="146">
        <f>F42*I42</f>
        <v>0</v>
      </c>
      <c r="K42" s="147"/>
      <c r="L42" s="146"/>
      <c r="M42" s="146">
        <f>J42</f>
        <v>0</v>
      </c>
    </row>
    <row r="43" spans="1:14" ht="54">
      <c r="A43" s="144">
        <v>4</v>
      </c>
      <c r="B43" s="152" t="s">
        <v>123</v>
      </c>
      <c r="C43" s="84" t="s">
        <v>124</v>
      </c>
      <c r="D43" s="35" t="s">
        <v>125</v>
      </c>
      <c r="E43" s="142"/>
      <c r="F43" s="143">
        <v>985</v>
      </c>
      <c r="G43" s="142"/>
      <c r="H43" s="142"/>
      <c r="I43" s="142"/>
      <c r="J43" s="142"/>
      <c r="K43" s="142"/>
      <c r="L43" s="142"/>
      <c r="M43" s="142"/>
      <c r="N43" s="37"/>
    </row>
    <row r="44" spans="1:14">
      <c r="A44" s="141"/>
      <c r="B44" s="141"/>
      <c r="C44" s="34" t="s">
        <v>63</v>
      </c>
      <c r="D44" s="35" t="s">
        <v>64</v>
      </c>
      <c r="E44" s="149">
        <f>(3.75+0.007*2)/100</f>
        <v>3.764E-2</v>
      </c>
      <c r="F44" s="142">
        <f>E44*F43</f>
        <v>37.075400000000002</v>
      </c>
      <c r="G44" s="142"/>
      <c r="H44" s="142">
        <f>F44*G44</f>
        <v>0</v>
      </c>
      <c r="I44" s="142"/>
      <c r="J44" s="142"/>
      <c r="K44" s="142"/>
      <c r="L44" s="142"/>
      <c r="M44" s="142">
        <f>H44</f>
        <v>0</v>
      </c>
    </row>
    <row r="45" spans="1:14">
      <c r="A45" s="141"/>
      <c r="B45" s="141"/>
      <c r="C45" s="34" t="s">
        <v>126</v>
      </c>
      <c r="D45" s="35" t="s">
        <v>66</v>
      </c>
      <c r="E45" s="149">
        <f>0.302/100</f>
        <v>3.0200000000000001E-3</v>
      </c>
      <c r="F45" s="149">
        <f>E45*F43</f>
        <v>2.9746999999999999</v>
      </c>
      <c r="G45" s="142"/>
      <c r="H45" s="142"/>
      <c r="I45" s="142"/>
      <c r="J45" s="142"/>
      <c r="K45" s="142"/>
      <c r="L45" s="142">
        <f>F45*K45</f>
        <v>0</v>
      </c>
      <c r="M45" s="142">
        <f>L45</f>
        <v>0</v>
      </c>
    </row>
    <row r="46" spans="1:14" ht="27">
      <c r="A46" s="141"/>
      <c r="B46" s="141"/>
      <c r="C46" s="34" t="s">
        <v>67</v>
      </c>
      <c r="D46" s="35" t="s">
        <v>64</v>
      </c>
      <c r="E46" s="142"/>
      <c r="F46" s="142">
        <f>F45</f>
        <v>2.9746999999999999</v>
      </c>
      <c r="G46" s="142"/>
      <c r="H46" s="142">
        <f>F46*G46</f>
        <v>0</v>
      </c>
      <c r="I46" s="142"/>
      <c r="J46" s="142"/>
      <c r="K46" s="142"/>
      <c r="L46" s="142"/>
      <c r="M46" s="142">
        <f>H46</f>
        <v>0</v>
      </c>
    </row>
    <row r="47" spans="1:14" ht="27">
      <c r="A47" s="141"/>
      <c r="B47" s="141"/>
      <c r="C47" s="34" t="s">
        <v>116</v>
      </c>
      <c r="D47" s="35" t="s">
        <v>66</v>
      </c>
      <c r="E47" s="149">
        <f>0.37/100</f>
        <v>3.7000000000000002E-3</v>
      </c>
      <c r="F47" s="142">
        <f>E47*F43</f>
        <v>3.6445000000000003</v>
      </c>
      <c r="G47" s="142"/>
      <c r="H47" s="142"/>
      <c r="I47" s="142"/>
      <c r="J47" s="142"/>
      <c r="K47" s="142"/>
      <c r="L47" s="142">
        <f>F47*K47</f>
        <v>0</v>
      </c>
      <c r="M47" s="142">
        <f>L47</f>
        <v>0</v>
      </c>
    </row>
    <row r="48" spans="1:14" ht="27">
      <c r="A48" s="141"/>
      <c r="B48" s="141"/>
      <c r="C48" s="34" t="s">
        <v>67</v>
      </c>
      <c r="D48" s="35" t="s">
        <v>64</v>
      </c>
      <c r="E48" s="142"/>
      <c r="F48" s="142">
        <f>F47</f>
        <v>3.6445000000000003</v>
      </c>
      <c r="G48" s="142"/>
      <c r="H48" s="142">
        <f>F48*G48</f>
        <v>0</v>
      </c>
      <c r="I48" s="142"/>
      <c r="J48" s="142"/>
      <c r="K48" s="142"/>
      <c r="L48" s="142"/>
      <c r="M48" s="142">
        <f>H48</f>
        <v>0</v>
      </c>
    </row>
    <row r="49" spans="1:14">
      <c r="A49" s="141"/>
      <c r="B49" s="141"/>
      <c r="C49" s="34" t="s">
        <v>117</v>
      </c>
      <c r="D49" s="35" t="s">
        <v>66</v>
      </c>
      <c r="E49" s="149">
        <f>1.11/100</f>
        <v>1.11E-2</v>
      </c>
      <c r="F49" s="142">
        <f>E49*F43</f>
        <v>10.9335</v>
      </c>
      <c r="G49" s="142"/>
      <c r="H49" s="142"/>
      <c r="I49" s="142"/>
      <c r="J49" s="142"/>
      <c r="K49" s="142"/>
      <c r="L49" s="142">
        <f>F49*K49</f>
        <v>0</v>
      </c>
      <c r="M49" s="142">
        <f>L49</f>
        <v>0</v>
      </c>
    </row>
    <row r="50" spans="1:14" ht="27">
      <c r="A50" s="141"/>
      <c r="B50" s="141"/>
      <c r="C50" s="34" t="s">
        <v>67</v>
      </c>
      <c r="D50" s="35" t="s">
        <v>64</v>
      </c>
      <c r="E50" s="142"/>
      <c r="F50" s="142">
        <f>F49</f>
        <v>10.9335</v>
      </c>
      <c r="G50" s="142"/>
      <c r="H50" s="142">
        <f>F50*G50</f>
        <v>0</v>
      </c>
      <c r="I50" s="142"/>
      <c r="J50" s="142"/>
      <c r="K50" s="142"/>
      <c r="L50" s="142"/>
      <c r="M50" s="142">
        <f>H50</f>
        <v>0</v>
      </c>
    </row>
    <row r="51" spans="1:14">
      <c r="A51" s="141"/>
      <c r="B51" s="141"/>
      <c r="C51" s="34" t="s">
        <v>68</v>
      </c>
      <c r="D51" s="35" t="s">
        <v>69</v>
      </c>
      <c r="E51" s="149">
        <f>0.23/100</f>
        <v>2.3E-3</v>
      </c>
      <c r="F51" s="142">
        <f>E51*F43</f>
        <v>2.2654999999999998</v>
      </c>
      <c r="G51" s="142"/>
      <c r="H51" s="142"/>
      <c r="I51" s="142"/>
      <c r="J51" s="142"/>
      <c r="K51" s="142"/>
      <c r="L51" s="142">
        <f>F51*K51</f>
        <v>0</v>
      </c>
      <c r="M51" s="142">
        <f>L51</f>
        <v>0</v>
      </c>
    </row>
    <row r="52" spans="1:14" ht="27">
      <c r="A52" s="141"/>
      <c r="B52" s="141"/>
      <c r="C52" s="34" t="s">
        <v>127</v>
      </c>
      <c r="D52" s="35" t="s">
        <v>72</v>
      </c>
      <c r="E52" s="142">
        <f>(9.31+1.16*2)/100</f>
        <v>0.11630000000000001</v>
      </c>
      <c r="F52" s="142">
        <f>E52*F43</f>
        <v>114.55550000000001</v>
      </c>
      <c r="G52" s="142"/>
      <c r="H52" s="142"/>
      <c r="I52" s="142"/>
      <c r="J52" s="142">
        <f>F52*I52</f>
        <v>0</v>
      </c>
      <c r="K52" s="142"/>
      <c r="L52" s="142"/>
      <c r="M52" s="142">
        <f>J52</f>
        <v>0</v>
      </c>
    </row>
    <row r="53" spans="1:14">
      <c r="A53" s="145"/>
      <c r="B53" s="145"/>
      <c r="C53" s="83" t="s">
        <v>88</v>
      </c>
      <c r="D53" s="48" t="s">
        <v>69</v>
      </c>
      <c r="E53" s="150">
        <f>1.45/100</f>
        <v>1.4499999999999999E-2</v>
      </c>
      <c r="F53" s="146">
        <f>E53*F43</f>
        <v>14.282499999999999</v>
      </c>
      <c r="G53" s="146"/>
      <c r="H53" s="146"/>
      <c r="I53" s="146"/>
      <c r="J53" s="146">
        <f>F53*I53</f>
        <v>0</v>
      </c>
      <c r="K53" s="146"/>
      <c r="L53" s="146"/>
      <c r="M53" s="146">
        <f>J53</f>
        <v>0</v>
      </c>
    </row>
    <row r="54" spans="1:14" ht="29.25">
      <c r="A54" s="144">
        <v>5</v>
      </c>
      <c r="B54" s="141" t="s">
        <v>119</v>
      </c>
      <c r="C54" s="84" t="s">
        <v>128</v>
      </c>
      <c r="D54" s="35" t="s">
        <v>72</v>
      </c>
      <c r="E54" s="142"/>
      <c r="F54" s="151">
        <f>344.75/1000</f>
        <v>0.34475</v>
      </c>
      <c r="G54" s="142"/>
      <c r="H54" s="142"/>
      <c r="I54" s="142"/>
      <c r="J54" s="142"/>
      <c r="K54" s="142"/>
      <c r="L54" s="142"/>
      <c r="M54" s="142"/>
      <c r="N54" s="37"/>
    </row>
    <row r="55" spans="1:14">
      <c r="A55" s="141"/>
      <c r="B55" s="141"/>
      <c r="C55" s="34" t="s">
        <v>121</v>
      </c>
      <c r="D55" s="35" t="s">
        <v>66</v>
      </c>
      <c r="E55" s="142">
        <v>0.3</v>
      </c>
      <c r="F55" s="142">
        <f>E55*F54</f>
        <v>0.103425</v>
      </c>
      <c r="G55" s="142"/>
      <c r="H55" s="144"/>
      <c r="I55" s="144"/>
      <c r="J55" s="144"/>
      <c r="K55" s="142"/>
      <c r="L55" s="142">
        <f>F55*K55</f>
        <v>0</v>
      </c>
      <c r="M55" s="142">
        <f>L55</f>
        <v>0</v>
      </c>
    </row>
    <row r="56" spans="1:14" ht="27">
      <c r="A56" s="141"/>
      <c r="B56" s="141"/>
      <c r="C56" s="34" t="s">
        <v>67</v>
      </c>
      <c r="D56" s="35" t="s">
        <v>64</v>
      </c>
      <c r="E56" s="142"/>
      <c r="F56" s="142">
        <f>F55</f>
        <v>0.103425</v>
      </c>
      <c r="G56" s="142"/>
      <c r="H56" s="142">
        <f>F56*G56</f>
        <v>0</v>
      </c>
      <c r="I56" s="144"/>
      <c r="J56" s="144"/>
      <c r="K56" s="144"/>
      <c r="L56" s="142"/>
      <c r="M56" s="142">
        <f>H56</f>
        <v>0</v>
      </c>
    </row>
    <row r="57" spans="1:14">
      <c r="A57" s="145"/>
      <c r="B57" s="145"/>
      <c r="C57" s="83" t="s">
        <v>122</v>
      </c>
      <c r="D57" s="48" t="s">
        <v>72</v>
      </c>
      <c r="E57" s="146">
        <v>1.03</v>
      </c>
      <c r="F57" s="146">
        <f>E57*F54</f>
        <v>0.35509250000000003</v>
      </c>
      <c r="G57" s="146"/>
      <c r="H57" s="147"/>
      <c r="I57" s="146"/>
      <c r="J57" s="146">
        <f>F57*I57</f>
        <v>0</v>
      </c>
      <c r="K57" s="147"/>
      <c r="L57" s="146"/>
      <c r="M57" s="146">
        <f>J57</f>
        <v>0</v>
      </c>
    </row>
    <row r="58" spans="1:14" ht="54">
      <c r="A58" s="144">
        <v>6</v>
      </c>
      <c r="B58" s="152" t="s">
        <v>129</v>
      </c>
      <c r="C58" s="21" t="s">
        <v>130</v>
      </c>
      <c r="D58" s="35" t="s">
        <v>125</v>
      </c>
      <c r="E58" s="142"/>
      <c r="F58" s="143">
        <v>985</v>
      </c>
      <c r="G58" s="142"/>
      <c r="H58" s="142"/>
      <c r="I58" s="142"/>
      <c r="J58" s="142"/>
      <c r="K58" s="142"/>
      <c r="L58" s="142"/>
      <c r="M58" s="142"/>
      <c r="N58" s="37"/>
    </row>
    <row r="59" spans="1:14">
      <c r="A59" s="141"/>
      <c r="B59" s="141"/>
      <c r="C59" s="34" t="s">
        <v>63</v>
      </c>
      <c r="D59" s="35" t="s">
        <v>64</v>
      </c>
      <c r="E59" s="149">
        <f>3.75/100</f>
        <v>3.7499999999999999E-2</v>
      </c>
      <c r="F59" s="142">
        <f>E59*F58</f>
        <v>36.9375</v>
      </c>
      <c r="G59" s="142"/>
      <c r="H59" s="142">
        <f>F59*G59</f>
        <v>0</v>
      </c>
      <c r="I59" s="142"/>
      <c r="J59" s="142"/>
      <c r="K59" s="142"/>
      <c r="L59" s="142"/>
      <c r="M59" s="142">
        <f>H59</f>
        <v>0</v>
      </c>
    </row>
    <row r="60" spans="1:14">
      <c r="A60" s="141"/>
      <c r="B60" s="141"/>
      <c r="C60" s="34" t="s">
        <v>126</v>
      </c>
      <c r="D60" s="35" t="s">
        <v>66</v>
      </c>
      <c r="E60" s="149">
        <f>0.302/100</f>
        <v>3.0200000000000001E-3</v>
      </c>
      <c r="F60" s="142">
        <f>E60*F58</f>
        <v>2.9746999999999999</v>
      </c>
      <c r="G60" s="142"/>
      <c r="H60" s="142"/>
      <c r="I60" s="142"/>
      <c r="J60" s="142"/>
      <c r="K60" s="142"/>
      <c r="L60" s="142">
        <f>F60*K60</f>
        <v>0</v>
      </c>
      <c r="M60" s="142">
        <f>L60</f>
        <v>0</v>
      </c>
    </row>
    <row r="61" spans="1:14" ht="27">
      <c r="A61" s="141"/>
      <c r="B61" s="141"/>
      <c r="C61" s="34" t="s">
        <v>67</v>
      </c>
      <c r="D61" s="35" t="s">
        <v>64</v>
      </c>
      <c r="E61" s="142"/>
      <c r="F61" s="142">
        <f>F60</f>
        <v>2.9746999999999999</v>
      </c>
      <c r="G61" s="142"/>
      <c r="H61" s="142">
        <f>F61*G61</f>
        <v>0</v>
      </c>
      <c r="I61" s="142"/>
      <c r="J61" s="142"/>
      <c r="K61" s="142"/>
      <c r="L61" s="142"/>
      <c r="M61" s="142">
        <f>H61</f>
        <v>0</v>
      </c>
    </row>
    <row r="62" spans="1:14" ht="27">
      <c r="A62" s="141"/>
      <c r="B62" s="141"/>
      <c r="C62" s="34" t="s">
        <v>116</v>
      </c>
      <c r="D62" s="35" t="s">
        <v>66</v>
      </c>
      <c r="E62" s="153">
        <f>0.37/100</f>
        <v>3.7000000000000002E-3</v>
      </c>
      <c r="F62" s="142">
        <f>E62*F58</f>
        <v>3.6445000000000003</v>
      </c>
      <c r="G62" s="142"/>
      <c r="H62" s="142"/>
      <c r="I62" s="142"/>
      <c r="J62" s="142"/>
      <c r="K62" s="142"/>
      <c r="L62" s="142">
        <f>F62*K62</f>
        <v>0</v>
      </c>
      <c r="M62" s="142">
        <f>L62</f>
        <v>0</v>
      </c>
    </row>
    <row r="63" spans="1:14" ht="27">
      <c r="A63" s="141"/>
      <c r="B63" s="141"/>
      <c r="C63" s="34" t="s">
        <v>67</v>
      </c>
      <c r="D63" s="35" t="s">
        <v>64</v>
      </c>
      <c r="E63" s="142"/>
      <c r="F63" s="142">
        <f>F62</f>
        <v>3.6445000000000003</v>
      </c>
      <c r="G63" s="142"/>
      <c r="H63" s="142">
        <f>F63*G63</f>
        <v>0</v>
      </c>
      <c r="I63" s="142"/>
      <c r="J63" s="142"/>
      <c r="K63" s="142"/>
      <c r="L63" s="142"/>
      <c r="M63" s="142">
        <f>H63</f>
        <v>0</v>
      </c>
    </row>
    <row r="64" spans="1:14">
      <c r="A64" s="141"/>
      <c r="B64" s="141"/>
      <c r="C64" s="34" t="s">
        <v>117</v>
      </c>
      <c r="D64" s="35" t="s">
        <v>66</v>
      </c>
      <c r="E64" s="153">
        <f>1.11/100</f>
        <v>1.11E-2</v>
      </c>
      <c r="F64" s="142">
        <f>E64*F58</f>
        <v>10.9335</v>
      </c>
      <c r="G64" s="142"/>
      <c r="H64" s="142"/>
      <c r="I64" s="142"/>
      <c r="J64" s="142"/>
      <c r="K64" s="142"/>
      <c r="L64" s="142">
        <f>F64*K64</f>
        <v>0</v>
      </c>
      <c r="M64" s="142">
        <f>L64</f>
        <v>0</v>
      </c>
    </row>
    <row r="65" spans="1:13" ht="27">
      <c r="A65" s="141"/>
      <c r="B65" s="141"/>
      <c r="C65" s="34" t="s">
        <v>67</v>
      </c>
      <c r="D65" s="35" t="s">
        <v>64</v>
      </c>
      <c r="E65" s="142"/>
      <c r="F65" s="142">
        <f>F64</f>
        <v>10.9335</v>
      </c>
      <c r="G65" s="142"/>
      <c r="H65" s="142">
        <f>F65*G65</f>
        <v>0</v>
      </c>
      <c r="I65" s="142"/>
      <c r="J65" s="142"/>
      <c r="K65" s="142"/>
      <c r="L65" s="142"/>
      <c r="M65" s="142">
        <f>H65</f>
        <v>0</v>
      </c>
    </row>
    <row r="66" spans="1:13">
      <c r="A66" s="141"/>
      <c r="B66" s="141"/>
      <c r="C66" s="34" t="s">
        <v>68</v>
      </c>
      <c r="D66" s="35" t="s">
        <v>69</v>
      </c>
      <c r="E66" s="153">
        <f>0.23/100</f>
        <v>2.3E-3</v>
      </c>
      <c r="F66" s="142">
        <f>E66*F58</f>
        <v>2.2654999999999998</v>
      </c>
      <c r="G66" s="142"/>
      <c r="H66" s="142"/>
      <c r="I66" s="142"/>
      <c r="J66" s="142"/>
      <c r="K66" s="142"/>
      <c r="L66" s="142">
        <f>F66*K66</f>
        <v>0</v>
      </c>
      <c r="M66" s="142">
        <f>L66</f>
        <v>0</v>
      </c>
    </row>
    <row r="67" spans="1:13" ht="27">
      <c r="A67" s="141"/>
      <c r="B67" s="141"/>
      <c r="C67" s="34" t="s">
        <v>131</v>
      </c>
      <c r="D67" s="35" t="s">
        <v>72</v>
      </c>
      <c r="E67" s="153">
        <f>9.74/100</f>
        <v>9.74E-2</v>
      </c>
      <c r="F67" s="142">
        <f>E67*F58</f>
        <v>95.939000000000007</v>
      </c>
      <c r="G67" s="142"/>
      <c r="H67" s="142"/>
      <c r="I67" s="142"/>
      <c r="J67" s="142">
        <f>F67*I67</f>
        <v>0</v>
      </c>
      <c r="K67" s="142"/>
      <c r="L67" s="142"/>
      <c r="M67" s="142">
        <f>J67</f>
        <v>0</v>
      </c>
    </row>
    <row r="68" spans="1:13">
      <c r="A68" s="145"/>
      <c r="B68" s="145"/>
      <c r="C68" s="83" t="s">
        <v>88</v>
      </c>
      <c r="D68" s="48" t="s">
        <v>69</v>
      </c>
      <c r="E68" s="150">
        <f>1.45/100</f>
        <v>1.4499999999999999E-2</v>
      </c>
      <c r="F68" s="146">
        <f>E68*F58</f>
        <v>14.282499999999999</v>
      </c>
      <c r="G68" s="146"/>
      <c r="H68" s="146"/>
      <c r="I68" s="146"/>
      <c r="J68" s="146">
        <f>F68*I68</f>
        <v>0</v>
      </c>
      <c r="K68" s="146"/>
      <c r="L68" s="146"/>
      <c r="M68" s="146">
        <f>J68</f>
        <v>0</v>
      </c>
    </row>
    <row r="69" spans="1:13">
      <c r="A69" s="141"/>
      <c r="B69" s="141"/>
      <c r="C69" s="89" t="s">
        <v>30</v>
      </c>
      <c r="D69" s="90" t="s">
        <v>69</v>
      </c>
      <c r="E69" s="35"/>
      <c r="F69" s="142"/>
      <c r="G69" s="142"/>
      <c r="H69" s="142">
        <f>SUM(H13:H68)</f>
        <v>0</v>
      </c>
      <c r="I69" s="142"/>
      <c r="J69" s="142">
        <f>SUM(J13:J68)</f>
        <v>0</v>
      </c>
      <c r="K69" s="144"/>
      <c r="L69" s="142">
        <f>SUM(L14:L68)</f>
        <v>0</v>
      </c>
      <c r="M69" s="142">
        <f>SUM(H69:L69)</f>
        <v>0</v>
      </c>
    </row>
    <row r="70" spans="1:13">
      <c r="A70" s="154"/>
      <c r="B70" s="154"/>
      <c r="C70" s="92" t="s">
        <v>147</v>
      </c>
      <c r="D70" s="90" t="s">
        <v>69</v>
      </c>
      <c r="E70" s="93"/>
      <c r="F70" s="156"/>
      <c r="G70" s="157"/>
      <c r="H70" s="155">
        <f>E70*H69</f>
        <v>0</v>
      </c>
      <c r="I70" s="155"/>
      <c r="J70" s="155">
        <f>E70*J69</f>
        <v>0</v>
      </c>
      <c r="K70" s="155"/>
      <c r="L70" s="155">
        <f>E70*L69</f>
        <v>0</v>
      </c>
      <c r="M70" s="155">
        <f>SUM(H70:L70)</f>
        <v>0</v>
      </c>
    </row>
    <row r="71" spans="1:13">
      <c r="A71" s="158"/>
      <c r="B71" s="154"/>
      <c r="C71" s="89" t="s">
        <v>30</v>
      </c>
      <c r="D71" s="90" t="s">
        <v>69</v>
      </c>
      <c r="E71" s="97"/>
      <c r="F71" s="160"/>
      <c r="G71" s="160"/>
      <c r="H71" s="159">
        <f>SUM(H69:H70)</f>
        <v>0</v>
      </c>
      <c r="I71" s="159"/>
      <c r="J71" s="159">
        <f>SUM(J69:J70)</f>
        <v>0</v>
      </c>
      <c r="K71" s="159"/>
      <c r="L71" s="159">
        <f>SUM(L69:L70)</f>
        <v>0</v>
      </c>
      <c r="M71" s="159">
        <f>SUM(H71:L71)</f>
        <v>0</v>
      </c>
    </row>
    <row r="72" spans="1:13">
      <c r="A72" s="154"/>
      <c r="B72" s="154"/>
      <c r="C72" s="91" t="s">
        <v>148</v>
      </c>
      <c r="D72" s="90" t="s">
        <v>69</v>
      </c>
      <c r="E72" s="93"/>
      <c r="F72" s="161"/>
      <c r="G72" s="155"/>
      <c r="H72" s="155">
        <f>E72*H71</f>
        <v>0</v>
      </c>
      <c r="I72" s="155"/>
      <c r="J72" s="155">
        <f>E72*J71</f>
        <v>0</v>
      </c>
      <c r="K72" s="155"/>
      <c r="L72" s="155">
        <f>E72*L71</f>
        <v>0</v>
      </c>
      <c r="M72" s="155">
        <f>SUM(H72:L72)</f>
        <v>0</v>
      </c>
    </row>
    <row r="73" spans="1:13">
      <c r="A73" s="162"/>
      <c r="B73" s="163"/>
      <c r="C73" s="101" t="s">
        <v>30</v>
      </c>
      <c r="D73" s="102" t="s">
        <v>69</v>
      </c>
      <c r="E73" s="101"/>
      <c r="F73" s="164"/>
      <c r="G73" s="164"/>
      <c r="H73" s="165">
        <f>SUM(H71:H72)</f>
        <v>0</v>
      </c>
      <c r="I73" s="165"/>
      <c r="J73" s="165">
        <f>SUM(J71:J72)</f>
        <v>0</v>
      </c>
      <c r="K73" s="165"/>
      <c r="L73" s="165">
        <f>SUM(L71:L72)</f>
        <v>0</v>
      </c>
      <c r="M73" s="165">
        <f>SUM(H73:L73)</f>
        <v>0</v>
      </c>
    </row>
    <row r="74" spans="1:13">
      <c r="D74" s="64"/>
    </row>
    <row r="75" spans="1:13">
      <c r="D75" s="64"/>
    </row>
    <row r="76" spans="1:13">
      <c r="D76" s="64"/>
    </row>
    <row r="77" spans="1:13">
      <c r="D77" s="64"/>
    </row>
    <row r="78" spans="1:13">
      <c r="D78" s="64"/>
    </row>
  </sheetData>
  <mergeCells count="23">
    <mergeCell ref="A1:M1"/>
    <mergeCell ref="A2:M2"/>
    <mergeCell ref="A3:M3"/>
    <mergeCell ref="A4:M4"/>
    <mergeCell ref="B5:D5"/>
    <mergeCell ref="F5:I5"/>
    <mergeCell ref="B6:C6"/>
    <mergeCell ref="F6:I6"/>
    <mergeCell ref="A8:A11"/>
    <mergeCell ref="B8:B11"/>
    <mergeCell ref="C8:C11"/>
    <mergeCell ref="D8:F9"/>
    <mergeCell ref="G8:H9"/>
    <mergeCell ref="I8:J9"/>
    <mergeCell ref="K8:L8"/>
    <mergeCell ref="M8:M11"/>
    <mergeCell ref="K9:L9"/>
    <mergeCell ref="D10:D11"/>
    <mergeCell ref="E10:E11"/>
    <mergeCell ref="F10:F11"/>
    <mergeCell ref="H10:H11"/>
    <mergeCell ref="J10:J11"/>
    <mergeCell ref="L10:L11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="60" zoomScaleNormal="100" workbookViewId="0"/>
  </sheetViews>
  <sheetFormatPr defaultRowHeight="18"/>
  <cols>
    <col min="1" max="1" width="4.42578125" style="2" customWidth="1"/>
    <col min="2" max="2" width="14.85546875" style="2" customWidth="1"/>
    <col min="3" max="3" width="9.7109375" style="18" customWidth="1"/>
    <col min="4" max="7" width="9.7109375" style="2" customWidth="1"/>
    <col min="8" max="8" width="7.140625" style="2" customWidth="1"/>
    <col min="9" max="9" width="9.7109375" style="2" hidden="1" customWidth="1"/>
    <col min="10" max="10" width="9.28515625" style="2" customWidth="1"/>
    <col min="11" max="11" width="8.28515625" style="2" customWidth="1"/>
    <col min="12" max="12" width="8.85546875" style="19" customWidth="1"/>
    <col min="13" max="13" width="9.140625" style="2" customWidth="1"/>
    <col min="14" max="14" width="10.42578125" style="2" customWidth="1"/>
    <col min="15" max="16384" width="9.140625" style="2"/>
  </cols>
  <sheetData>
    <row r="1" spans="1:15" ht="18.7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5" ht="47.25" customHeight="1">
      <c r="A2" s="281" t="s">
        <v>151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3"/>
    </row>
    <row r="3" spans="1:15" ht="21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6"/>
      <c r="M3" s="4"/>
      <c r="N3" s="4"/>
      <c r="O3" s="7"/>
    </row>
    <row r="4" spans="1:15" ht="21" customHeight="1">
      <c r="A4" s="221" t="s">
        <v>0</v>
      </c>
      <c r="B4" s="227" t="s">
        <v>1</v>
      </c>
      <c r="C4" s="224" t="s">
        <v>2</v>
      </c>
      <c r="D4" s="274"/>
      <c r="E4" s="274"/>
      <c r="F4" s="274"/>
      <c r="G4" s="274"/>
      <c r="H4" s="274"/>
      <c r="I4" s="275"/>
      <c r="J4" s="224" t="s">
        <v>3</v>
      </c>
      <c r="K4" s="274"/>
      <c r="L4" s="274"/>
      <c r="M4" s="275"/>
      <c r="N4" s="227" t="s">
        <v>4</v>
      </c>
      <c r="O4" s="7"/>
    </row>
    <row r="5" spans="1:15" ht="21">
      <c r="A5" s="222"/>
      <c r="B5" s="228"/>
      <c r="C5" s="225"/>
      <c r="D5" s="282"/>
      <c r="E5" s="282"/>
      <c r="F5" s="282"/>
      <c r="G5" s="282"/>
      <c r="H5" s="282"/>
      <c r="I5" s="283"/>
      <c r="J5" s="226"/>
      <c r="K5" s="276"/>
      <c r="L5" s="276"/>
      <c r="M5" s="277"/>
      <c r="N5" s="228"/>
      <c r="O5" s="7"/>
    </row>
    <row r="6" spans="1:15" ht="21" customHeight="1">
      <c r="A6" s="222"/>
      <c r="B6" s="228"/>
      <c r="C6" s="225"/>
      <c r="D6" s="282"/>
      <c r="E6" s="282"/>
      <c r="F6" s="282"/>
      <c r="G6" s="282"/>
      <c r="H6" s="282"/>
      <c r="I6" s="283"/>
      <c r="J6" s="227" t="s">
        <v>5</v>
      </c>
      <c r="K6" s="227" t="s">
        <v>6</v>
      </c>
      <c r="L6" s="268" t="s">
        <v>7</v>
      </c>
      <c r="M6" s="227" t="s">
        <v>8</v>
      </c>
      <c r="N6" s="228"/>
      <c r="O6" s="7"/>
    </row>
    <row r="7" spans="1:15" ht="21">
      <c r="A7" s="222"/>
      <c r="B7" s="228"/>
      <c r="C7" s="225"/>
      <c r="D7" s="282"/>
      <c r="E7" s="282"/>
      <c r="F7" s="282"/>
      <c r="G7" s="282"/>
      <c r="H7" s="282"/>
      <c r="I7" s="283"/>
      <c r="J7" s="228"/>
      <c r="K7" s="228"/>
      <c r="L7" s="284"/>
      <c r="M7" s="228"/>
      <c r="N7" s="228"/>
      <c r="O7" s="7"/>
    </row>
    <row r="8" spans="1:15" ht="21">
      <c r="A8" s="222"/>
      <c r="B8" s="228"/>
      <c r="C8" s="225"/>
      <c r="D8" s="282"/>
      <c r="E8" s="282"/>
      <c r="F8" s="282"/>
      <c r="G8" s="282"/>
      <c r="H8" s="282"/>
      <c r="I8" s="283"/>
      <c r="J8" s="228"/>
      <c r="K8" s="228"/>
      <c r="L8" s="284"/>
      <c r="M8" s="228"/>
      <c r="N8" s="228"/>
      <c r="O8" s="7"/>
    </row>
    <row r="9" spans="1:15" ht="21">
      <c r="A9" s="222"/>
      <c r="B9" s="228"/>
      <c r="C9" s="225"/>
      <c r="D9" s="282"/>
      <c r="E9" s="282"/>
      <c r="F9" s="282"/>
      <c r="G9" s="282"/>
      <c r="H9" s="282"/>
      <c r="I9" s="283"/>
      <c r="J9" s="228"/>
      <c r="K9" s="228"/>
      <c r="L9" s="284"/>
      <c r="M9" s="228"/>
      <c r="N9" s="228"/>
      <c r="O9" s="7"/>
    </row>
    <row r="10" spans="1:15" ht="21">
      <c r="A10" s="223"/>
      <c r="B10" s="229"/>
      <c r="C10" s="226"/>
      <c r="D10" s="276"/>
      <c r="E10" s="276"/>
      <c r="F10" s="276"/>
      <c r="G10" s="276"/>
      <c r="H10" s="276"/>
      <c r="I10" s="277"/>
      <c r="J10" s="229"/>
      <c r="K10" s="229"/>
      <c r="L10" s="269"/>
      <c r="M10" s="229"/>
      <c r="N10" s="229"/>
      <c r="O10" s="7"/>
    </row>
    <row r="11" spans="1:15" ht="21">
      <c r="A11" s="8">
        <v>1</v>
      </c>
      <c r="B11" s="9">
        <v>2</v>
      </c>
      <c r="C11" s="278">
        <v>3</v>
      </c>
      <c r="D11" s="285"/>
      <c r="E11" s="285"/>
      <c r="F11" s="285"/>
      <c r="G11" s="285"/>
      <c r="H11" s="285"/>
      <c r="I11" s="286"/>
      <c r="J11" s="9">
        <v>4</v>
      </c>
      <c r="K11" s="10">
        <v>5</v>
      </c>
      <c r="L11" s="11">
        <v>6</v>
      </c>
      <c r="M11" s="10">
        <v>7</v>
      </c>
      <c r="N11" s="9">
        <v>8</v>
      </c>
      <c r="O11" s="7"/>
    </row>
    <row r="12" spans="1:15" ht="21">
      <c r="A12" s="8"/>
      <c r="B12" s="9"/>
      <c r="C12" s="258" t="s">
        <v>9</v>
      </c>
      <c r="D12" s="259"/>
      <c r="E12" s="259"/>
      <c r="F12" s="259"/>
      <c r="G12" s="259"/>
      <c r="H12" s="259"/>
      <c r="I12" s="260"/>
      <c r="J12" s="9"/>
      <c r="K12" s="10"/>
      <c r="L12" s="11"/>
      <c r="M12" s="10"/>
      <c r="N12" s="9"/>
      <c r="O12" s="7"/>
    </row>
    <row r="13" spans="1:15" ht="21">
      <c r="A13" s="8"/>
      <c r="B13" s="9"/>
      <c r="C13" s="258" t="s">
        <v>10</v>
      </c>
      <c r="D13" s="259"/>
      <c r="E13" s="259"/>
      <c r="F13" s="259"/>
      <c r="G13" s="259"/>
      <c r="H13" s="259"/>
      <c r="I13" s="260"/>
      <c r="J13" s="9"/>
      <c r="K13" s="10"/>
      <c r="L13" s="11"/>
      <c r="M13" s="10"/>
      <c r="N13" s="9"/>
      <c r="O13" s="7"/>
    </row>
    <row r="14" spans="1:15" ht="21">
      <c r="A14" s="8">
        <v>1</v>
      </c>
      <c r="B14" s="9" t="s">
        <v>11</v>
      </c>
      <c r="C14" s="278" t="s">
        <v>12</v>
      </c>
      <c r="D14" s="279"/>
      <c r="E14" s="279"/>
      <c r="F14" s="279"/>
      <c r="G14" s="279"/>
      <c r="H14" s="279"/>
      <c r="I14" s="280"/>
      <c r="J14" s="12">
        <f>Sheet9!M33</f>
        <v>0</v>
      </c>
      <c r="K14" s="10"/>
      <c r="L14" s="11"/>
      <c r="M14" s="10"/>
      <c r="N14" s="12">
        <f>J14</f>
        <v>0</v>
      </c>
      <c r="O14" s="7"/>
    </row>
    <row r="15" spans="1:15" ht="21">
      <c r="A15" s="8"/>
      <c r="B15" s="9"/>
      <c r="C15" s="258" t="s">
        <v>13</v>
      </c>
      <c r="D15" s="259"/>
      <c r="E15" s="259"/>
      <c r="F15" s="259"/>
      <c r="G15" s="259"/>
      <c r="H15" s="259"/>
      <c r="I15" s="260"/>
      <c r="J15" s="12">
        <f>J14</f>
        <v>0</v>
      </c>
      <c r="K15" s="10"/>
      <c r="L15" s="11"/>
      <c r="M15" s="10"/>
      <c r="N15" s="12">
        <f>N14</f>
        <v>0</v>
      </c>
      <c r="O15" s="7"/>
    </row>
    <row r="16" spans="1:15" ht="21">
      <c r="A16" s="8"/>
      <c r="B16" s="9"/>
      <c r="C16" s="258" t="s">
        <v>14</v>
      </c>
      <c r="D16" s="259"/>
      <c r="E16" s="259"/>
      <c r="F16" s="259"/>
      <c r="G16" s="259"/>
      <c r="H16" s="259"/>
      <c r="I16" s="260"/>
      <c r="J16" s="9"/>
      <c r="K16" s="10"/>
      <c r="L16" s="11"/>
      <c r="M16" s="10"/>
      <c r="N16" s="9"/>
      <c r="O16" s="7"/>
    </row>
    <row r="17" spans="1:15" ht="21">
      <c r="A17" s="8"/>
      <c r="B17" s="9"/>
      <c r="C17" s="258" t="s">
        <v>15</v>
      </c>
      <c r="D17" s="259"/>
      <c r="E17" s="259"/>
      <c r="F17" s="259"/>
      <c r="G17" s="259"/>
      <c r="H17" s="259"/>
      <c r="I17" s="260"/>
      <c r="J17" s="9"/>
      <c r="K17" s="10"/>
      <c r="L17" s="11"/>
      <c r="M17" s="10"/>
      <c r="N17" s="9"/>
      <c r="O17" s="7"/>
    </row>
    <row r="18" spans="1:15" ht="21">
      <c r="A18" s="8">
        <v>2</v>
      </c>
      <c r="B18" s="9" t="s">
        <v>16</v>
      </c>
      <c r="C18" s="278" t="s">
        <v>17</v>
      </c>
      <c r="D18" s="279"/>
      <c r="E18" s="279"/>
      <c r="F18" s="279"/>
      <c r="G18" s="279"/>
      <c r="H18" s="279"/>
      <c r="I18" s="280"/>
      <c r="J18" s="12">
        <f>Sheet10!M83</f>
        <v>0</v>
      </c>
      <c r="K18" s="10"/>
      <c r="L18" s="11"/>
      <c r="M18" s="10"/>
      <c r="N18" s="12">
        <f>J18</f>
        <v>0</v>
      </c>
      <c r="O18" s="7"/>
    </row>
    <row r="19" spans="1:15" ht="21">
      <c r="A19" s="8">
        <v>3</v>
      </c>
      <c r="B19" s="9" t="s">
        <v>18</v>
      </c>
      <c r="C19" s="278" t="s">
        <v>19</v>
      </c>
      <c r="D19" s="279"/>
      <c r="E19" s="279"/>
      <c r="F19" s="279"/>
      <c r="G19" s="279"/>
      <c r="H19" s="279"/>
      <c r="I19" s="280"/>
      <c r="J19" s="12">
        <v>0</v>
      </c>
      <c r="K19" s="10"/>
      <c r="L19" s="11"/>
      <c r="M19" s="10"/>
      <c r="N19" s="12">
        <f>J19</f>
        <v>0</v>
      </c>
      <c r="O19" s="7"/>
    </row>
    <row r="20" spans="1:15" ht="21">
      <c r="A20" s="8"/>
      <c r="B20" s="9"/>
      <c r="C20" s="258" t="s">
        <v>20</v>
      </c>
      <c r="D20" s="259"/>
      <c r="E20" s="259"/>
      <c r="F20" s="259"/>
      <c r="G20" s="259"/>
      <c r="H20" s="259"/>
      <c r="I20" s="260"/>
      <c r="J20" s="12">
        <f>SUM(J18:J19)</f>
        <v>0</v>
      </c>
      <c r="K20" s="10"/>
      <c r="L20" s="11"/>
      <c r="M20" s="10"/>
      <c r="N20" s="12">
        <f>SUM(N18:N19)</f>
        <v>0</v>
      </c>
      <c r="O20" s="7"/>
    </row>
    <row r="21" spans="1:15" ht="21">
      <c r="A21" s="8"/>
      <c r="B21" s="9"/>
      <c r="C21" s="258" t="s">
        <v>21</v>
      </c>
      <c r="D21" s="259"/>
      <c r="E21" s="259"/>
      <c r="F21" s="259"/>
      <c r="G21" s="259"/>
      <c r="H21" s="259"/>
      <c r="I21" s="260"/>
      <c r="J21" s="9"/>
      <c r="K21" s="10"/>
      <c r="L21" s="11"/>
      <c r="M21" s="10"/>
      <c r="N21" s="9"/>
      <c r="O21" s="7"/>
    </row>
    <row r="22" spans="1:15" ht="21">
      <c r="A22" s="8"/>
      <c r="B22" s="9"/>
      <c r="C22" s="258" t="s">
        <v>22</v>
      </c>
      <c r="D22" s="259"/>
      <c r="E22" s="259"/>
      <c r="F22" s="259"/>
      <c r="G22" s="259"/>
      <c r="H22" s="259"/>
      <c r="I22" s="260"/>
      <c r="J22" s="9"/>
      <c r="K22" s="10"/>
      <c r="L22" s="11"/>
      <c r="M22" s="10"/>
      <c r="N22" s="9"/>
      <c r="O22" s="7"/>
    </row>
    <row r="23" spans="1:15" ht="21">
      <c r="A23" s="8">
        <v>4</v>
      </c>
      <c r="B23" s="9" t="s">
        <v>23</v>
      </c>
      <c r="C23" s="278" t="s">
        <v>24</v>
      </c>
      <c r="D23" s="279"/>
      <c r="E23" s="279"/>
      <c r="F23" s="279"/>
      <c r="G23" s="279"/>
      <c r="H23" s="279"/>
      <c r="I23" s="280"/>
      <c r="J23" s="12">
        <f>Sheet5!M57</f>
        <v>0</v>
      </c>
      <c r="K23" s="10"/>
      <c r="L23" s="11"/>
      <c r="M23" s="10"/>
      <c r="N23" s="12">
        <f>J23</f>
        <v>0</v>
      </c>
      <c r="O23" s="7"/>
    </row>
    <row r="24" spans="1:15" ht="31.5" customHeight="1">
      <c r="A24" s="13">
        <v>5</v>
      </c>
      <c r="B24" s="9" t="s">
        <v>25</v>
      </c>
      <c r="C24" s="264" t="s">
        <v>26</v>
      </c>
      <c r="D24" s="265"/>
      <c r="E24" s="265"/>
      <c r="F24" s="265"/>
      <c r="G24" s="265"/>
      <c r="H24" s="265"/>
      <c r="I24" s="266"/>
      <c r="J24" s="14">
        <v>0</v>
      </c>
      <c r="K24" s="14"/>
      <c r="L24" s="14"/>
      <c r="M24" s="14"/>
      <c r="N24" s="14">
        <f>J24</f>
        <v>0</v>
      </c>
      <c r="O24" s="7"/>
    </row>
    <row r="25" spans="1:15" ht="21">
      <c r="A25" s="13"/>
      <c r="B25" s="13"/>
      <c r="C25" s="258" t="s">
        <v>27</v>
      </c>
      <c r="D25" s="259"/>
      <c r="E25" s="259"/>
      <c r="F25" s="259"/>
      <c r="G25" s="259"/>
      <c r="H25" s="259"/>
      <c r="I25" s="260"/>
      <c r="J25" s="14">
        <f>SUM(J23:J24)</f>
        <v>0</v>
      </c>
      <c r="K25" s="14"/>
      <c r="L25" s="14"/>
      <c r="M25" s="14"/>
      <c r="N25" s="14">
        <f>SUM(N23:N24)</f>
        <v>0</v>
      </c>
      <c r="O25" s="15"/>
    </row>
    <row r="26" spans="1:15" ht="21" customHeight="1">
      <c r="A26" s="13"/>
      <c r="B26" s="13"/>
      <c r="C26" s="261" t="s">
        <v>28</v>
      </c>
      <c r="D26" s="262"/>
      <c r="E26" s="262"/>
      <c r="F26" s="262"/>
      <c r="G26" s="262"/>
      <c r="H26" s="262"/>
      <c r="I26" s="263"/>
      <c r="J26" s="14">
        <f>J15+J20+J25</f>
        <v>0</v>
      </c>
      <c r="K26" s="14"/>
      <c r="L26" s="14"/>
      <c r="M26" s="14"/>
      <c r="N26" s="14">
        <f>N15+N20+N25</f>
        <v>0</v>
      </c>
      <c r="O26" s="15"/>
    </row>
    <row r="27" spans="1:15" ht="21" customHeight="1">
      <c r="A27" s="13">
        <v>6</v>
      </c>
      <c r="B27" s="16"/>
      <c r="C27" s="264" t="s">
        <v>29</v>
      </c>
      <c r="D27" s="265"/>
      <c r="E27" s="265"/>
      <c r="F27" s="265"/>
      <c r="G27" s="265"/>
      <c r="H27" s="265"/>
      <c r="I27" s="266"/>
      <c r="J27" s="14"/>
      <c r="K27" s="14"/>
      <c r="L27" s="14"/>
      <c r="M27" s="14">
        <f>N26*3%</f>
        <v>0</v>
      </c>
      <c r="N27" s="14">
        <f>M27</f>
        <v>0</v>
      </c>
      <c r="O27" s="7"/>
    </row>
    <row r="28" spans="1:15" ht="21">
      <c r="A28" s="13"/>
      <c r="B28" s="16"/>
      <c r="C28" s="267" t="s">
        <v>30</v>
      </c>
      <c r="D28" s="267"/>
      <c r="E28" s="267"/>
      <c r="F28" s="267"/>
      <c r="G28" s="267"/>
      <c r="H28" s="267"/>
      <c r="I28" s="267"/>
      <c r="J28" s="14">
        <f>J26</f>
        <v>0</v>
      </c>
      <c r="K28" s="14"/>
      <c r="L28" s="14"/>
      <c r="M28" s="14">
        <f>M27</f>
        <v>0</v>
      </c>
      <c r="N28" s="14">
        <f>N26+N27</f>
        <v>0</v>
      </c>
      <c r="O28" s="7"/>
    </row>
    <row r="29" spans="1:15" ht="21" customHeight="1">
      <c r="A29" s="13">
        <v>7</v>
      </c>
      <c r="B29" s="16"/>
      <c r="C29" s="264" t="s">
        <v>31</v>
      </c>
      <c r="D29" s="265"/>
      <c r="E29" s="265"/>
      <c r="F29" s="265"/>
      <c r="G29" s="265"/>
      <c r="H29" s="265"/>
      <c r="I29" s="266"/>
      <c r="J29" s="14"/>
      <c r="K29" s="14"/>
      <c r="L29" s="14"/>
      <c r="M29" s="14">
        <f>N28*18%</f>
        <v>0</v>
      </c>
      <c r="N29" s="14">
        <f>M29</f>
        <v>0</v>
      </c>
      <c r="O29" s="7"/>
    </row>
    <row r="30" spans="1:15" ht="21" customHeight="1">
      <c r="A30" s="272"/>
      <c r="B30" s="272"/>
      <c r="C30" s="224" t="s">
        <v>32</v>
      </c>
      <c r="D30" s="274"/>
      <c r="E30" s="274"/>
      <c r="F30" s="274"/>
      <c r="G30" s="274"/>
      <c r="H30" s="274"/>
      <c r="I30" s="275"/>
      <c r="J30" s="268">
        <f>J28</f>
        <v>0</v>
      </c>
      <c r="K30" s="270"/>
      <c r="L30" s="270"/>
      <c r="M30" s="270">
        <f>M28+M29</f>
        <v>0</v>
      </c>
      <c r="N30" s="287">
        <f>N28+N29</f>
        <v>0</v>
      </c>
      <c r="O30" s="7"/>
    </row>
    <row r="31" spans="1:15" ht="21">
      <c r="A31" s="273"/>
      <c r="B31" s="273"/>
      <c r="C31" s="226"/>
      <c r="D31" s="276"/>
      <c r="E31" s="276"/>
      <c r="F31" s="276"/>
      <c r="G31" s="276"/>
      <c r="H31" s="276"/>
      <c r="I31" s="277"/>
      <c r="J31" s="269"/>
      <c r="K31" s="271"/>
      <c r="L31" s="271"/>
      <c r="M31" s="271"/>
      <c r="N31" s="288"/>
      <c r="O31" s="7"/>
    </row>
    <row r="32" spans="1:15">
      <c r="A32" s="121"/>
      <c r="B32" s="122"/>
      <c r="C32" s="123"/>
      <c r="D32" s="124"/>
      <c r="E32" s="124"/>
      <c r="F32" s="124"/>
      <c r="G32" s="124"/>
      <c r="H32" s="124"/>
      <c r="I32" s="124"/>
      <c r="J32" s="125"/>
      <c r="K32" s="124"/>
      <c r="L32" s="124"/>
      <c r="M32" s="125"/>
      <c r="N32" s="125"/>
    </row>
    <row r="33" spans="1:15">
      <c r="A33" s="230"/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</row>
    <row r="34" spans="1:15">
      <c r="A34" s="219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</row>
    <row r="35" spans="1:15">
      <c r="A35" s="218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</row>
    <row r="36" spans="1:15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</row>
    <row r="37" spans="1:15">
      <c r="A37" s="218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19"/>
    </row>
    <row r="38" spans="1:15">
      <c r="A38" s="126"/>
      <c r="B38" s="126"/>
      <c r="C38" s="127"/>
      <c r="D38" s="126"/>
      <c r="E38" s="126"/>
      <c r="F38" s="126"/>
      <c r="G38" s="126"/>
      <c r="H38" s="126"/>
      <c r="I38" s="126"/>
      <c r="J38" s="126"/>
      <c r="K38" s="126"/>
      <c r="L38" s="126"/>
      <c r="M38" s="128"/>
      <c r="N38" s="129"/>
    </row>
    <row r="39" spans="1:15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</row>
    <row r="40" spans="1:15">
      <c r="A40" s="130"/>
      <c r="B40" s="130"/>
      <c r="C40" s="131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2"/>
    </row>
    <row r="41" spans="1:15">
      <c r="A41" s="130"/>
      <c r="B41" s="130"/>
      <c r="C41" s="131"/>
      <c r="D41" s="130"/>
      <c r="E41" s="130"/>
      <c r="F41" s="130"/>
      <c r="G41" s="130"/>
      <c r="H41" s="130"/>
      <c r="I41" s="130"/>
      <c r="J41" s="130"/>
      <c r="K41" s="130"/>
      <c r="L41" s="132"/>
      <c r="M41" s="130"/>
      <c r="N41" s="132"/>
    </row>
    <row r="42" spans="1:15">
      <c r="A42" s="130"/>
      <c r="B42" s="130"/>
      <c r="C42" s="131"/>
      <c r="D42" s="130"/>
      <c r="E42" s="130"/>
      <c r="F42" s="130"/>
      <c r="G42" s="130"/>
      <c r="H42" s="130"/>
      <c r="I42" s="130"/>
      <c r="J42" s="130"/>
      <c r="K42" s="130"/>
      <c r="L42" s="132"/>
      <c r="M42" s="130"/>
      <c r="N42" s="130"/>
    </row>
    <row r="43" spans="1:15">
      <c r="A43" s="130"/>
      <c r="B43" s="130"/>
      <c r="C43" s="131"/>
      <c r="D43" s="130"/>
      <c r="E43" s="130"/>
      <c r="F43" s="130"/>
      <c r="G43" s="130"/>
      <c r="H43" s="130"/>
      <c r="I43" s="130"/>
      <c r="J43" s="130"/>
      <c r="K43" s="130"/>
      <c r="L43" s="132"/>
      <c r="M43" s="132"/>
      <c r="N43" s="130"/>
    </row>
    <row r="44" spans="1:15">
      <c r="A44" s="130"/>
      <c r="B44" s="130"/>
      <c r="C44" s="131"/>
      <c r="D44" s="130"/>
      <c r="E44" s="130"/>
      <c r="F44" s="130"/>
      <c r="G44" s="130"/>
      <c r="H44" s="130"/>
      <c r="I44" s="130"/>
      <c r="J44" s="130"/>
      <c r="K44" s="130"/>
      <c r="L44" s="132"/>
      <c r="M44" s="130"/>
      <c r="N44" s="130"/>
    </row>
  </sheetData>
  <mergeCells count="43">
    <mergeCell ref="C16:I16"/>
    <mergeCell ref="A2:N2"/>
    <mergeCell ref="A4:A10"/>
    <mergeCell ref="B4:B10"/>
    <mergeCell ref="C4:I10"/>
    <mergeCell ref="J4:M5"/>
    <mergeCell ref="N4:N10"/>
    <mergeCell ref="J6:J10"/>
    <mergeCell ref="K6:K10"/>
    <mergeCell ref="L6:L10"/>
    <mergeCell ref="M6:M10"/>
    <mergeCell ref="C11:I11"/>
    <mergeCell ref="C12:I12"/>
    <mergeCell ref="C13:I13"/>
    <mergeCell ref="C14:I14"/>
    <mergeCell ref="C15:I15"/>
    <mergeCell ref="C28:I28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  <mergeCell ref="C27:I27"/>
    <mergeCell ref="C29:I29"/>
    <mergeCell ref="A30:A31"/>
    <mergeCell ref="B30:B31"/>
    <mergeCell ref="C30:I31"/>
    <mergeCell ref="J30:J31"/>
    <mergeCell ref="A36:N36"/>
    <mergeCell ref="A37:N37"/>
    <mergeCell ref="A39:N39"/>
    <mergeCell ref="L30:L31"/>
    <mergeCell ref="M30:M31"/>
    <mergeCell ref="N30:N31"/>
    <mergeCell ref="A33:N33"/>
    <mergeCell ref="A34:N34"/>
    <mergeCell ref="A35:N35"/>
    <mergeCell ref="K30:K3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გაერთიანებული</vt:lpstr>
      <vt:lpstr>კანალიზაცია ნაკრები</vt:lpstr>
      <vt:lpstr>04 ჩიხის კანალიზაცია</vt:lpstr>
      <vt:lpstr>05 ქუჩის და 04 ჩიხის კანალიზაცი</vt:lpstr>
      <vt:lpstr>მთლიანი ასფალტი</vt:lpstr>
      <vt:lpstr>გამსახურდიას 04 ჩიხი</vt:lpstr>
      <vt:lpstr>Sheet4</vt:lpstr>
      <vt:lpstr>Sheet7</vt:lpstr>
      <vt:lpstr>05 ქუჩა და 02 ჩიხი</vt:lpstr>
      <vt:lpstr>Sheet9</vt:lpstr>
      <vt:lpstr>Sheet10</vt:lpstr>
      <vt:lpstr>Sheet5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temuri</dc:creator>
  <cp:lastModifiedBy>meria</cp:lastModifiedBy>
  <cp:lastPrinted>2018-03-26T08:49:18Z</cp:lastPrinted>
  <dcterms:created xsi:type="dcterms:W3CDTF">2017-12-26T08:28:19Z</dcterms:created>
  <dcterms:modified xsi:type="dcterms:W3CDTF">2018-03-26T08:51:04Z</dcterms:modified>
</cp:coreProperties>
</file>