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95" windowWidth="18015" windowHeight="11580"/>
  </bookViews>
  <sheets>
    <sheet name="ქვეში-ახრისი" sheetId="8" r:id="rId1"/>
  </sheets>
  <definedNames>
    <definedName name="_xlnm.Print_Area" localSheetId="0">'ქვეში-ახრისი'!$A$1:$F$231</definedName>
    <definedName name="_xlnm.Print_Titles" localSheetId="0">'ქვეში-ახრისი'!$7:$7</definedName>
  </definedNames>
  <calcPr calcId="124519"/>
</workbook>
</file>

<file path=xl/calcChain.xml><?xml version="1.0" encoding="utf-8"?>
<calcChain xmlns="http://schemas.openxmlformats.org/spreadsheetml/2006/main">
  <c r="E216" i="8"/>
  <c r="F216" s="1"/>
  <c r="E215"/>
  <c r="F215" s="1"/>
  <c r="E214"/>
  <c r="F214" s="1"/>
  <c r="E213"/>
  <c r="F213" s="1"/>
  <c r="F212"/>
  <c r="F223"/>
  <c r="E227"/>
  <c r="F227" s="1"/>
  <c r="E226"/>
  <c r="F226" s="1"/>
  <c r="E225"/>
  <c r="F225" s="1"/>
  <c r="E224"/>
  <c r="F224" s="1"/>
  <c r="E207"/>
  <c r="F207" s="1"/>
  <c r="E206"/>
  <c r="F206" s="1"/>
  <c r="E200"/>
  <c r="F200" s="1"/>
  <c r="E199"/>
  <c r="F199" s="1"/>
  <c r="E202"/>
  <c r="F202" s="1"/>
  <c r="F191"/>
  <c r="F195"/>
  <c r="E179"/>
  <c r="F179" s="1"/>
  <c r="E178"/>
  <c r="F178" s="1"/>
  <c r="F181"/>
  <c r="F182"/>
  <c r="F183"/>
  <c r="F184"/>
  <c r="F185"/>
  <c r="F187"/>
  <c r="F186"/>
  <c r="E171"/>
  <c r="F171" s="1"/>
  <c r="E170"/>
  <c r="F170" s="1"/>
  <c r="E163"/>
  <c r="F163" s="1"/>
  <c r="E162"/>
  <c r="F162" s="1"/>
  <c r="E155"/>
  <c r="F155" s="1"/>
  <c r="E154"/>
  <c r="F154" s="1"/>
  <c r="E145"/>
  <c r="F145" s="1"/>
  <c r="E144"/>
  <c r="F144" s="1"/>
  <c r="F140"/>
  <c r="E138"/>
  <c r="F138" s="1"/>
  <c r="E137"/>
  <c r="F137" s="1"/>
  <c r="E130"/>
  <c r="F130" s="1"/>
  <c r="E129"/>
  <c r="F129" s="1"/>
  <c r="E128"/>
  <c r="F128" s="1"/>
  <c r="E124"/>
  <c r="F124" s="1"/>
  <c r="E126"/>
  <c r="F126" s="1"/>
  <c r="E125"/>
  <c r="F125" s="1"/>
  <c r="E112"/>
  <c r="F112" s="1"/>
  <c r="E111"/>
  <c r="F111" s="1"/>
  <c r="E110"/>
  <c r="F110" s="1"/>
  <c r="E109"/>
  <c r="F109" s="1"/>
  <c r="E101"/>
  <c r="E100"/>
  <c r="E99"/>
  <c r="E98"/>
  <c r="F115"/>
  <c r="F96"/>
  <c r="F104" s="1"/>
  <c r="E93"/>
  <c r="F93" s="1"/>
  <c r="E91"/>
  <c r="F91" s="1"/>
  <c r="E90"/>
  <c r="F90" s="1"/>
  <c r="E88"/>
  <c r="E89"/>
  <c r="E87"/>
  <c r="F87" s="1"/>
  <c r="F83"/>
  <c r="F81"/>
  <c r="E78"/>
  <c r="F78" s="1"/>
  <c r="E77"/>
  <c r="F77" s="1"/>
  <c r="E75"/>
  <c r="F75" s="1"/>
  <c r="E74"/>
  <c r="F74" s="1"/>
  <c r="E73"/>
  <c r="E72"/>
  <c r="E70"/>
  <c r="F70" s="1"/>
  <c r="F62"/>
  <c r="E61"/>
  <c r="F61" s="1"/>
  <c r="E60"/>
  <c r="F60" s="1"/>
  <c r="E51"/>
  <c r="F51" s="1"/>
  <c r="E58"/>
  <c r="F58" s="1"/>
  <c r="E57"/>
  <c r="F57" s="1"/>
  <c r="E56"/>
  <c r="F56" s="1"/>
  <c r="E55"/>
  <c r="F55" s="1"/>
  <c r="E54"/>
  <c r="F54" s="1"/>
  <c r="E53"/>
  <c r="F53" s="1"/>
  <c r="E52"/>
  <c r="F52" s="1"/>
  <c r="E45"/>
  <c r="E44"/>
  <c r="E43"/>
  <c r="E42"/>
  <c r="F40"/>
  <c r="F41" s="1"/>
  <c r="E25"/>
  <c r="F25" s="1"/>
  <c r="E19"/>
  <c r="F19" s="1"/>
  <c r="E18"/>
  <c r="F18" s="1"/>
  <c r="E27"/>
  <c r="E26"/>
  <c r="F26" s="1"/>
  <c r="E21"/>
  <c r="E20"/>
  <c r="E32"/>
  <c r="F32" s="1"/>
  <c r="E16"/>
  <c r="F16" s="1"/>
  <c r="E15"/>
  <c r="F15" s="1"/>
  <c r="E14"/>
  <c r="F14" s="1"/>
  <c r="E13"/>
  <c r="F13" s="1"/>
  <c r="F230"/>
  <c r="F94"/>
  <c r="F86"/>
  <c r="F71"/>
  <c r="F219"/>
  <c r="F209"/>
  <c r="F205"/>
  <c r="F203"/>
  <c r="F198"/>
  <c r="F190"/>
  <c r="F177"/>
  <c r="F174"/>
  <c r="F173"/>
  <c r="F169"/>
  <c r="F166"/>
  <c r="F165"/>
  <c r="F161"/>
  <c r="F158"/>
  <c r="F157"/>
  <c r="F153"/>
  <c r="F150"/>
  <c r="F148"/>
  <c r="F143"/>
  <c r="F136"/>
  <c r="F133"/>
  <c r="F132"/>
  <c r="F121"/>
  <c r="F119"/>
  <c r="F108"/>
  <c r="F37"/>
  <c r="F35"/>
  <c r="F30"/>
  <c r="F24"/>
  <c r="F20"/>
  <c r="F10"/>
  <c r="F67"/>
  <c r="F65"/>
  <c r="F192"/>
  <c r="F99" l="1"/>
  <c r="F73"/>
  <c r="F101"/>
  <c r="F72"/>
  <c r="F88"/>
  <c r="F89"/>
  <c r="F100"/>
  <c r="F97"/>
  <c r="F98"/>
  <c r="F43"/>
  <c r="F44"/>
  <c r="F103"/>
  <c r="F27"/>
  <c r="F63"/>
  <c r="F21"/>
  <c r="F42"/>
  <c r="F48"/>
  <c r="F45"/>
  <c r="F47"/>
  <c r="F49" l="1"/>
</calcChain>
</file>

<file path=xl/sharedStrings.xml><?xml version="1.0" encoding="utf-8"?>
<sst xmlns="http://schemas.openxmlformats.org/spreadsheetml/2006/main" count="551" uniqueCount="186">
  <si>
    <t>lari</t>
  </si>
  <si>
    <t xml:space="preserve">Tavi 3. sagzao samosi   </t>
  </si>
  <si>
    <t>t</t>
  </si>
  <si>
    <t xml:space="preserve">Tavi 1. teritoriis aTviseba da mosamzadebeli samuSaoebi </t>
  </si>
  <si>
    <t>Tavi 2. miwis vakisi</t>
  </si>
  <si>
    <t>trasis aRdgena da damagreba</t>
  </si>
  <si>
    <t>km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</si>
  <si>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</si>
  <si>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</si>
  <si>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</si>
  <si>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</si>
  <si>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</si>
  <si>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</si>
  <si>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>kac/sT</t>
  </si>
  <si>
    <t>m/s</t>
  </si>
  <si>
    <t>tn</t>
  </si>
  <si>
    <t>m3</t>
  </si>
  <si>
    <t>Sromis danaxarji</t>
  </si>
  <si>
    <t>mosarwyavi manqana 6000 l</t>
  </si>
  <si>
    <t>materialuri resursebi</t>
  </si>
  <si>
    <t>wyali</t>
  </si>
  <si>
    <t>avtogudronatori 3500l</t>
  </si>
  <si>
    <t>asfaltis damgebi</t>
  </si>
  <si>
    <t>sxva manqanebi</t>
  </si>
  <si>
    <t>asfaltobetoni</t>
  </si>
  <si>
    <t>sxva masalebi</t>
  </si>
  <si>
    <t>m2</t>
  </si>
  <si>
    <t>qvis namtvrevebis manawilebeli manqana</t>
  </si>
  <si>
    <t>kvleva-Ziebis krebuli gv. 557     cxr-17</t>
  </si>
  <si>
    <t>memanqaneebis Sromis danaxarji</t>
  </si>
  <si>
    <t>muSa-mSeneblebis Sromis danaxarji</t>
  </si>
  <si>
    <t>satkepni sagzao 16 t</t>
  </si>
  <si>
    <t>bitumi</t>
  </si>
  <si>
    <t>srf-2016, I kv.</t>
  </si>
  <si>
    <t>100m3</t>
  </si>
  <si>
    <t xml:space="preserve">1-166-3  miy.    </t>
  </si>
  <si>
    <t>1000m3</t>
  </si>
  <si>
    <t>eqskavatori CamCis tevadobiT 0,65 m3</t>
  </si>
  <si>
    <t>damuSavebuli gruntis datvirTva xeliT a/TviTmclelze</t>
  </si>
  <si>
    <t xml:space="preserve">qviSa-xreSovani narevi </t>
  </si>
  <si>
    <t>Tavi 4. xelovnuri nagebobebi</t>
  </si>
  <si>
    <t>qviSa-xreSovani narevi</t>
  </si>
  <si>
    <t>amwe muxluxa svlaze tvirTamweobiT 16 tn-mde</t>
  </si>
  <si>
    <t>man/sT</t>
  </si>
  <si>
    <t>100m2</t>
  </si>
  <si>
    <r>
      <t xml:space="preserve">safaris zeda fenis mowyoba wvirlmarcvlovani RorRovani, mkvrivi a/betonis cxeli nareviT tipi b marka II sisqiT 4 sm </t>
    </r>
    <r>
      <rPr>
        <sz val="10"/>
        <color indexed="8"/>
        <rFont val="Arial"/>
        <family val="2"/>
      </rPr>
      <t>K-0.0974</t>
    </r>
  </si>
  <si>
    <r>
      <t>m</t>
    </r>
    <r>
      <rPr>
        <vertAlign val="superscript"/>
        <sz val="12"/>
        <color indexed="8"/>
        <rFont val="AcadNusx"/>
      </rPr>
      <t>3</t>
    </r>
  </si>
  <si>
    <t xml:space="preserve">Segrovebuli masis datvirTva eqskavatoriT CamCis moculobiT 0.25 m3 </t>
  </si>
  <si>
    <t>eqskavatori CamCis tevadobiT 0,25 m3</t>
  </si>
  <si>
    <t>goris municipalitetis sof. qveSis gzidan saTemo-cicagianTkari-axrisis damakavSirebeli gzis reabilitacia</t>
  </si>
  <si>
    <t>transportireba nayarSi 3km-ze (330X2.2=726tn)</t>
  </si>
  <si>
    <t>III kat. gruntis damuSaveba eqskavatoriT CamCis moculobiT 0.65 m3 a/m datvirTviT</t>
  </si>
  <si>
    <t xml:space="preserve">1-164-3        </t>
  </si>
  <si>
    <t xml:space="preserve">III kategoriis gruntis damuSaveba xeliT </t>
  </si>
  <si>
    <t>transportireba nayarSi 3km-ze (4920X1.85=9102tn)</t>
  </si>
  <si>
    <t>transportireba nayarSi 3km-ze (500X1.85=925tn)</t>
  </si>
  <si>
    <t>arsebuli kiuvetebis gawmenda danaleqi qanebisagan xeliT</t>
  </si>
  <si>
    <t>transportireba nayarSi 3km-ze (78X1.85=144.3tn)</t>
  </si>
  <si>
    <r>
      <t>Txevadi bitumis mosxma safuZvlis zeda fenaze (0.7 l</t>
    </r>
    <r>
      <rPr>
        <b/>
        <sz val="12"/>
        <rFont val="AcadNusx"/>
      </rPr>
      <t>/</t>
    </r>
    <r>
      <rPr>
        <b/>
        <sz val="12"/>
        <color indexed="8"/>
        <rFont val="AcadNusx"/>
      </rPr>
      <t xml:space="preserve"> </t>
    </r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2-ze)</t>
    </r>
  </si>
  <si>
    <r>
      <t>Txevadi bitumis mosxma safaris qveda fenis mTel farTze (0.35 l</t>
    </r>
    <r>
      <rPr>
        <b/>
        <sz val="12"/>
        <rFont val="AcadNusx"/>
      </rPr>
      <t>/</t>
    </r>
    <r>
      <rPr>
        <b/>
        <sz val="12"/>
        <color indexed="8"/>
        <rFont val="AcadNusx"/>
      </rPr>
      <t xml:space="preserve"> </t>
    </r>
    <r>
      <rPr>
        <sz val="12"/>
        <color indexed="8"/>
        <rFont val="AcadNusx"/>
      </rPr>
      <t>m</t>
    </r>
    <r>
      <rPr>
        <vertAlign val="superscript"/>
        <sz val="12"/>
        <color indexed="8"/>
        <rFont val="AcadNusx"/>
      </rPr>
      <t>2-ze)</t>
    </r>
  </si>
  <si>
    <t>mierTebis mowyoba qviSa-xreSovani nareviT saerTo sigrZiT 400 grZ.m/1320 m2</t>
  </si>
  <si>
    <t>safaris mowyoba qviSa-xreSovani narevisagan sisqiT RerZze 10 sm</t>
  </si>
  <si>
    <t>arsebuli milebis pk 0+06,pk 2+86, pk 5+60, pk 16+50, pk 27+28, pk 38+20, pk 55+64 gawmenda danaleqi qanebisagan xeliT</t>
  </si>
  <si>
    <t>transportireba nayarSi 3km-ze (35X1.85=64.8tn)</t>
  </si>
  <si>
    <t>m</t>
  </si>
  <si>
    <r>
      <t>liTonis milis mowyoba</t>
    </r>
    <r>
      <rPr>
        <b/>
        <sz val="10"/>
        <color indexed="8"/>
        <rFont val="Sylfaen"/>
        <family val="1"/>
      </rPr>
      <t xml:space="preserve"> </t>
    </r>
    <r>
      <rPr>
        <sz val="12"/>
        <color indexed="8"/>
        <rFont val="Sylfaen"/>
        <family val="1"/>
      </rPr>
      <t>d- 325 მმ პკ 41+92 სისქით 9 მმ (70.1X14)</t>
    </r>
  </si>
  <si>
    <t>foladis mili d-325/9 mm</t>
  </si>
  <si>
    <t>10m3</t>
  </si>
  <si>
    <t>qviSa-xreSovani narevis mowyoba milebis qveS</t>
  </si>
  <si>
    <t>transportireba nayarSi 3km-ze (104X1.85=192.4tn)</t>
  </si>
  <si>
    <t>transportireba nayarSi 3km-ze (10X1.85=18.5tn)</t>
  </si>
  <si>
    <r>
      <t>liTonis milis</t>
    </r>
    <r>
      <rPr>
        <b/>
        <sz val="10"/>
        <color indexed="8"/>
        <rFont val="Sylfaen"/>
        <family val="1"/>
      </rPr>
      <t xml:space="preserve"> </t>
    </r>
    <r>
      <rPr>
        <sz val="12"/>
        <color indexed="8"/>
        <rFont val="Sylfaen"/>
        <family val="1"/>
      </rPr>
      <t xml:space="preserve">d-425 </t>
    </r>
    <r>
      <rPr>
        <sz val="12"/>
        <color indexed="8"/>
        <rFont val="AcadNusx"/>
      </rPr>
      <t xml:space="preserve">mm </t>
    </r>
    <r>
      <rPr>
        <sz val="12"/>
        <color indexed="8"/>
        <rFont val="Sylfaen"/>
        <family val="1"/>
      </rPr>
      <t xml:space="preserve">სისქით 10 მმ  </t>
    </r>
    <r>
      <rPr>
        <sz val="12"/>
        <color indexed="8"/>
        <rFont val="AcadNusx"/>
      </rPr>
      <t xml:space="preserve">mowyoba pk 44+70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 xml:space="preserve">-8m, pk 56+54 mierTebaze marcxniv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 xml:space="preserve">-6 grZ.m. da pk 57+82-ze mierTebaze marcxniv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>-6 grZ.m. saerTo sigrZiT 20 grZ.m.</t>
    </r>
  </si>
  <si>
    <t>foladis mili d-425/10 mm</t>
  </si>
  <si>
    <r>
      <t>liTonis milis</t>
    </r>
    <r>
      <rPr>
        <b/>
        <sz val="10"/>
        <color indexed="8"/>
        <rFont val="Sylfaen"/>
        <family val="1"/>
      </rPr>
      <t xml:space="preserve"> </t>
    </r>
    <r>
      <rPr>
        <sz val="12"/>
        <color indexed="8"/>
        <rFont val="Sylfaen"/>
        <family val="1"/>
      </rPr>
      <t xml:space="preserve">d-530 </t>
    </r>
    <r>
      <rPr>
        <sz val="12"/>
        <color indexed="8"/>
        <rFont val="AcadNusx"/>
      </rPr>
      <t xml:space="preserve">mm sisqiT 12 </t>
    </r>
    <r>
      <rPr>
        <sz val="12"/>
        <color indexed="8"/>
        <rFont val="Sylfaen"/>
        <family val="1"/>
      </rPr>
      <t>მ</t>
    </r>
    <r>
      <rPr>
        <sz val="12"/>
        <color indexed="8"/>
        <rFont val="AcadNusx"/>
      </rPr>
      <t xml:space="preserve">m pk 6+94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 xml:space="preserve">-8m, pk 12+44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 xml:space="preserve">-10m, pk 16+56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 xml:space="preserve">-10m, pk 20+84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 xml:space="preserve">-8m, pk 27+18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 xml:space="preserve">-8m, pk 43+80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 xml:space="preserve">-8m,  pk 44+16 </t>
    </r>
    <r>
      <rPr>
        <sz val="12"/>
        <color indexed="8"/>
        <rFont val="Sylfaen"/>
        <family val="1"/>
      </rPr>
      <t>L</t>
    </r>
    <r>
      <rPr>
        <sz val="12"/>
        <color indexed="8"/>
        <rFont val="AcadNusx"/>
      </rPr>
      <t>-8m   saerTo sigrZiT 60 grZ.m.</t>
    </r>
  </si>
  <si>
    <t>foladis mili d-530/12 mm</t>
  </si>
  <si>
    <r>
      <t xml:space="preserve">liTonis milis mowyoba pk45+00-ze </t>
    </r>
    <r>
      <rPr>
        <sz val="12"/>
        <color indexed="8"/>
        <rFont val="Times New Roman"/>
        <family val="1"/>
        <charset val="204"/>
      </rPr>
      <t>d</t>
    </r>
    <r>
      <rPr>
        <sz val="12"/>
        <color indexed="8"/>
        <rFont val="LitNusx"/>
      </rPr>
      <t xml:space="preserve">=1020/10 mm  </t>
    </r>
  </si>
  <si>
    <t>foladis mili d-1020/10 mm</t>
  </si>
  <si>
    <r>
      <t xml:space="preserve">saTavisebis mowyoba monoliTuri betoniT </t>
    </r>
    <r>
      <rPr>
        <sz val="12"/>
        <rFont val="Arial"/>
        <family val="2"/>
      </rPr>
      <t>B-22.5; W-6; F-200</t>
    </r>
  </si>
  <si>
    <r>
      <t xml:space="preserve">betoni </t>
    </r>
    <r>
      <rPr>
        <sz val="12"/>
        <rFont val="Arial"/>
        <family val="2"/>
      </rPr>
      <t>B-22.5</t>
    </r>
  </si>
  <si>
    <t>c</t>
  </si>
  <si>
    <t xml:space="preserve">specprofilis anakrebi rk/betonis parapetebis mowyoba </t>
  </si>
  <si>
    <t>specprofilis parapeti</t>
  </si>
  <si>
    <t>parapetis SeRebva emalis saRebaviT 2-jer</t>
  </si>
  <si>
    <t>emali</t>
  </si>
  <si>
    <t>100 m3</t>
  </si>
  <si>
    <t>milebze risbermis mowyoba</t>
  </si>
  <si>
    <t>qva</t>
  </si>
  <si>
    <t>gzis vakisis aRdgena karieridan Semotanili qviSa-xreSovani nareviT</t>
  </si>
  <si>
    <t xml:space="preserve">a/betonis safaris moxsna meqanizmiT </t>
  </si>
  <si>
    <t>arsebuli milebis demontaJi da gatana nayarSi</t>
  </si>
  <si>
    <t>safaris qveda fenis mowyoba msxvilmarcvlovani forovan-RorRovani a/betoniT sisqiT 6 sm (0.1395 tn/m2)</t>
  </si>
  <si>
    <t>Tavi 5. ezoSi Sesasvlelebis mowyoba</t>
  </si>
  <si>
    <r>
      <t>ezoebSi Sesasvlelebis mowyoba qviSa-xreSovani nareviT (73</t>
    </r>
    <r>
      <rPr>
        <sz val="12"/>
        <color indexed="8"/>
        <rFont val="AcadNusx"/>
      </rPr>
      <t>X12X</t>
    </r>
    <r>
      <rPr>
        <sz val="12"/>
        <color indexed="8"/>
        <rFont val="Sylfaen"/>
        <family val="1"/>
      </rPr>
      <t>0.15</t>
    </r>
    <r>
      <rPr>
        <sz val="12"/>
        <color indexed="8"/>
        <rFont val="AcadNusx"/>
      </rPr>
      <t>X</t>
    </r>
    <r>
      <rPr>
        <sz val="12"/>
        <color indexed="8"/>
        <rFont val="Sylfaen"/>
        <family val="1"/>
      </rPr>
      <t>1.22</t>
    </r>
    <r>
      <rPr>
        <sz val="12"/>
        <color indexed="8"/>
        <rFont val="AcadNusx"/>
      </rPr>
      <t>)</t>
    </r>
  </si>
  <si>
    <t>qviSa-xreSovani narevis transportireba 15km-dan (161X1.6=257.6tn)</t>
  </si>
  <si>
    <t>avtogreideri saSvalo tipis 99 kvt (135 cx.Z.)</t>
  </si>
  <si>
    <t>sangrevi CaquCi pnevmatiuri</t>
  </si>
  <si>
    <t>27-18-4
tq. n. cx.3
p.3.14
k=0.85</t>
  </si>
  <si>
    <t>14-327</t>
  </si>
  <si>
    <t>14-201</t>
  </si>
  <si>
    <t xml:space="preserve">buldozeri 59 kvt 80 cx. Z </t>
  </si>
  <si>
    <t xml:space="preserve">buldozeri 79 kvt 108 cx. Z </t>
  </si>
  <si>
    <t>14-125</t>
  </si>
  <si>
    <t>14-141</t>
  </si>
  <si>
    <t>14-142</t>
  </si>
  <si>
    <t>14-119</t>
  </si>
  <si>
    <t>1-18-6
tq. n. cx.3
p.3.214
k=0.99</t>
  </si>
  <si>
    <t>1-17-15
tq. n. cx.3
p.3.214
k=0.99</t>
  </si>
  <si>
    <t>srf-2016, IV kv.</t>
  </si>
  <si>
    <t>27-14-2
tq. n. cx.3
p.3.14
k=0.85</t>
  </si>
  <si>
    <t>safuZvlis Semasworeblad qviSa-xreSovani narevi saSualod 10 sm (30858X0.1)</t>
  </si>
  <si>
    <t>14-228</t>
  </si>
  <si>
    <t>14-221</t>
  </si>
  <si>
    <t>qviSa-xreSovani narevis transportireba 22-20=2 km-dan (3764.68X1.6=6023.4 tn)</t>
  </si>
  <si>
    <t>srf-2017, IV kv.</t>
  </si>
  <si>
    <t>srf-2017, IV kv.
4.1-224</t>
  </si>
  <si>
    <t>27-22-1
tq. n. cx.3
p.3.14
k=0.85</t>
  </si>
  <si>
    <t>avtogreideri 99 kvt 135 cx.Z.</t>
  </si>
  <si>
    <t>satkepni sagzao TviTmavali gluvi 8 t</t>
  </si>
  <si>
    <t>satkepni sagzao TviTmavali gluvi 13 t</t>
  </si>
  <si>
    <t>14-219</t>
  </si>
  <si>
    <t>14-220</t>
  </si>
  <si>
    <t>14-229</t>
  </si>
  <si>
    <t>RorRi bunebrivi qvis samSeneblo samuSaoebisaTvis 1200 markis 10-20 mm fraqciis</t>
  </si>
  <si>
    <t>RorRi bunebrivi qvis samSeneblo samuSaoebisaTvis 1200 markis 40-70 mm fraqciis</t>
  </si>
  <si>
    <t>safuZvlis zeda fenis mowyoba fraqciuli RorRiT 0-40 mm sisqiT 10 sm</t>
  </si>
  <si>
    <t>srf-2017, IV kv.
14-257</t>
  </si>
  <si>
    <t>srf-2017, IV kv.
14-259</t>
  </si>
  <si>
    <t>RorRis transportireba 22-20=2 km-dan (427.92+3965.39)X1.6=7029.30 tn)</t>
  </si>
  <si>
    <t>4.1-537</t>
  </si>
  <si>
    <t>14-198</t>
  </si>
  <si>
    <t>bitumis transportireba 22-20=2 km-dan</t>
  </si>
  <si>
    <t>sndaw
IV-2-82
27-63-1</t>
  </si>
  <si>
    <t>27-53-4   27-54-4
tq. n. cx.3
p.3.14
k=0.85</t>
  </si>
  <si>
    <t>14-231</t>
  </si>
  <si>
    <t>asfaltis transportireba 22-20=2 km-dan</t>
  </si>
  <si>
    <t>27-53-2
tq. n.
cx.3
p.3.14
k=0.85</t>
  </si>
  <si>
    <t>4.1-522</t>
  </si>
  <si>
    <t>4.1-524</t>
  </si>
  <si>
    <t>27-14-2
tq. n.
cx.3
p.3.14
k=0.85</t>
  </si>
  <si>
    <t>misayreli gverdulebis mowyoba qviSa-xreSovani nareviT (pk 0+00-dan pk 58+26-mde) sul 5826 m. 5826X0.15=873.9</t>
  </si>
  <si>
    <t>qviSa-xreSovani narevis transportireba 22-20=2 km-dan (1066X1.6=1705.6tn)</t>
  </si>
  <si>
    <t>qviSa-xreSovani narevis transportireba 22-20=2 km-dan (163.6X1.6=261.8tn)</t>
  </si>
  <si>
    <t>22-8-8  miy.
saet. naw.
p.2.4 k=0.6
teqk.n.
p.3.4
k=0.98</t>
  </si>
  <si>
    <t>2.1-110</t>
  </si>
  <si>
    <t xml:space="preserve">milis transportireba 22-20=2km-dan </t>
  </si>
  <si>
    <t>qviSa-xreSovani narevis transportireba 22-20=2km-dan (7X1.6=11.2tn)</t>
  </si>
  <si>
    <t>22-8-8
teqk.n.
p.3.4
k=0.98</t>
  </si>
  <si>
    <t>23-1-3
teqk.n.
p.3.4
k=0.9</t>
  </si>
  <si>
    <t>1-17-15
teqk.n.
p.3.214
k=0.99</t>
  </si>
  <si>
    <t>eqskavatori CamCis tevadobiT 0,5 m3</t>
  </si>
  <si>
    <t>III kat. gruntis damuSaveba eqskavatoriT CamCis moculobiT 0.5 m3 a/m datvirTviT</t>
  </si>
  <si>
    <t>srf-2014, IV kv.</t>
  </si>
  <si>
    <t>2.1-114</t>
  </si>
  <si>
    <t>22-8-10
teqk.n.
p.3.4
k=0.98</t>
  </si>
  <si>
    <t>22-8-11
teqk.n.
p.3.4
k=0.98</t>
  </si>
  <si>
    <t>2.1-118</t>
  </si>
  <si>
    <t>22-8-16
teqk.n.
p.3.4
k=0.98</t>
  </si>
  <si>
    <t>2.1-125</t>
  </si>
  <si>
    <t>amwe muxluxa svlaze tvirTamweobiT 25 tn-mde</t>
  </si>
  <si>
    <t>xis morebi</t>
  </si>
  <si>
    <t>Zelakebi Camoganuli</t>
  </si>
  <si>
    <t>daxerxili ficari sisqiT 32-40 mm II xarisxis</t>
  </si>
  <si>
    <t>daxerxili ficari sisqiT 32-40 mm III xarisxis</t>
  </si>
  <si>
    <t>samSeneblo WanWikebi qanCiT</t>
  </si>
  <si>
    <t>30-7-1
teqk.n.
p.3.4
k=0.98</t>
  </si>
  <si>
    <t>14-71</t>
  </si>
  <si>
    <t>4.1-343</t>
  </si>
  <si>
    <t>5.1-7</t>
  </si>
  <si>
    <t>5.1-37</t>
  </si>
  <si>
    <t>5.1-13</t>
  </si>
  <si>
    <t>5.1-22</t>
  </si>
  <si>
    <t>1.10-16</t>
  </si>
  <si>
    <t>betonis transportireba 22-20=2 km-dan (22.85X2.4=54.84tn)</t>
  </si>
  <si>
    <t>30-48-2 1982 w.</t>
  </si>
  <si>
    <t>amwe saavtomobilo svlaze 6.3 t</t>
  </si>
  <si>
    <t>anakrebi parapetebis transportireba 22 km-dan (4.62X2.4=11.1tn)</t>
  </si>
  <si>
    <t>14-43</t>
  </si>
  <si>
    <t>15-167-6
tq.n. p1.35
k=0.99</t>
  </si>
  <si>
    <t>4.2-32</t>
  </si>
  <si>
    <t>qvis transportireba 22-20=2 km-dan (14.35X2.4=34.3tn)</t>
  </si>
  <si>
    <t>4.1-228</t>
  </si>
  <si>
    <t>42-4-1 miy.
teqk.n.
p.3.4
k=0.98</t>
  </si>
  <si>
    <t>14-57</t>
  </si>
  <si>
    <t>27-14-2
teqk.n.
p.3.14
k=0.85</t>
  </si>
  <si>
    <t>qviSa-xreSovani narevis transportireba 22-20=2km-dan (52X1.6=83.2tn)</t>
  </si>
  <si>
    <t>moculobaTa uwyisi</t>
  </si>
</sst>
</file>

<file path=xl/styles.xml><?xml version="1.0" encoding="utf-8"?>
<styleSheet xmlns="http://schemas.openxmlformats.org/spreadsheetml/2006/main">
  <numFmts count="5">
    <numFmt numFmtId="164" formatCode="#,###.00;[Red]\-#,###.00;\-\ ;\ \-\ "/>
    <numFmt numFmtId="165" formatCode="0.000"/>
    <numFmt numFmtId="166" formatCode="0.0000"/>
    <numFmt numFmtId="167" formatCode="0.00000"/>
    <numFmt numFmtId="168" formatCode="0.0"/>
  </numFmts>
  <fonts count="22">
    <font>
      <sz val="11"/>
      <color indexed="8"/>
      <name val="Calibri"/>
      <family val="2"/>
    </font>
    <font>
      <sz val="12"/>
      <name val="AcadNusx"/>
    </font>
    <font>
      <b/>
      <sz val="12"/>
      <name val="AcadNusx"/>
    </font>
    <font>
      <sz val="9"/>
      <color indexed="8"/>
      <name val="Arial"/>
      <family val="2"/>
      <charset val="204"/>
    </font>
    <font>
      <sz val="10"/>
      <name val="Arial"/>
      <family val="2"/>
    </font>
    <font>
      <b/>
      <sz val="14"/>
      <name val="AcadNusx"/>
    </font>
    <font>
      <sz val="11"/>
      <name val="AcadNusx"/>
    </font>
    <font>
      <sz val="11"/>
      <name val="Arial"/>
      <family val="2"/>
    </font>
    <font>
      <sz val="12"/>
      <color indexed="8"/>
      <name val="AcadNusx"/>
    </font>
    <font>
      <sz val="8"/>
      <name val="Calibri"/>
      <family val="2"/>
    </font>
    <font>
      <vertAlign val="superscript"/>
      <sz val="12"/>
      <color indexed="8"/>
      <name val="AcadNusx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 Cyr"/>
      <charset val="204"/>
    </font>
    <font>
      <sz val="9"/>
      <color indexed="8"/>
      <name val="Arial"/>
      <family val="2"/>
    </font>
    <font>
      <b/>
      <sz val="12"/>
      <color indexed="8"/>
      <name val="AcadNusx"/>
    </font>
    <font>
      <sz val="10"/>
      <color indexed="8"/>
      <name val="Arial"/>
      <family val="2"/>
    </font>
    <font>
      <b/>
      <sz val="10"/>
      <color indexed="8"/>
      <name val="Sylfaen"/>
      <family val="1"/>
    </font>
    <font>
      <sz val="12"/>
      <color indexed="8"/>
      <name val="Sylfaen"/>
      <family val="1"/>
    </font>
    <font>
      <sz val="12"/>
      <color indexed="8"/>
      <name val="Times New Roman"/>
      <family val="1"/>
      <charset val="204"/>
    </font>
    <font>
      <sz val="12"/>
      <color indexed="8"/>
      <name val="LitNusx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1" fillId="0" borderId="0"/>
    <xf numFmtId="0" fontId="13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1" xfId="4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" fillId="2" borderId="1" xfId="4" applyNumberFormat="1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0" xfId="1" applyFont="1" applyFill="1"/>
    <xf numFmtId="0" fontId="12" fillId="2" borderId="0" xfId="1" applyFont="1" applyFill="1" applyBorder="1" applyAlignment="1">
      <alignment horizontal="center" vertical="top"/>
    </xf>
    <xf numFmtId="49" fontId="2" fillId="2" borderId="0" xfId="1" applyNumberFormat="1" applyFont="1" applyFill="1" applyBorder="1" applyAlignment="1">
      <alignment horizontal="left" vertical="top"/>
    </xf>
    <xf numFmtId="4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49" fontId="1" fillId="2" borderId="0" xfId="1" applyNumberFormat="1" applyFont="1" applyFill="1" applyBorder="1" applyAlignment="1">
      <alignment horizontal="center" vertical="top" wrapText="1"/>
    </xf>
    <xf numFmtId="0" fontId="1" fillId="2" borderId="0" xfId="1" applyFont="1" applyFill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0" fontId="12" fillId="2" borderId="1" xfId="1" applyFont="1" applyFill="1" applyBorder="1" applyAlignment="1">
      <alignment horizontal="center" vertical="top"/>
    </xf>
    <xf numFmtId="49" fontId="1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top"/>
    </xf>
    <xf numFmtId="49" fontId="1" fillId="2" borderId="3" xfId="1" applyNumberFormat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164" fontId="14" fillId="2" borderId="3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 wrapText="1"/>
    </xf>
    <xf numFmtId="166" fontId="12" fillId="2" borderId="1" xfId="4" applyNumberFormat="1" applyFont="1" applyFill="1" applyBorder="1" applyAlignment="1">
      <alignment horizontal="center" vertical="center"/>
    </xf>
    <xf numFmtId="2" fontId="12" fillId="2" borderId="1" xfId="4" applyNumberFormat="1" applyFont="1" applyFill="1" applyBorder="1" applyAlignment="1">
      <alignment horizontal="center" vertical="center"/>
    </xf>
    <xf numFmtId="167" fontId="12" fillId="2" borderId="1" xfId="4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top" wrapText="1"/>
    </xf>
    <xf numFmtId="49" fontId="5" fillId="2" borderId="0" xfId="1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vertical="center"/>
    </xf>
  </cellXfs>
  <cellStyles count="5">
    <cellStyle name="Normal" xfId="0" builtinId="0"/>
    <cellStyle name="Normal 2" xfId="1"/>
    <cellStyle name="Normal 2 2" xfId="2"/>
    <cellStyle name="Normal 3" xfId="3"/>
    <cellStyle name="Обычный_დემონტაჟი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view="pageBreakPreview" topLeftCell="A220" zoomScaleSheetLayoutView="100" workbookViewId="0">
      <selection activeCell="A232" sqref="A232:XFD241"/>
    </sheetView>
  </sheetViews>
  <sheetFormatPr defaultRowHeight="16.5"/>
  <cols>
    <col min="1" max="1" width="4.42578125" style="24" customWidth="1"/>
    <col min="2" max="2" width="11" style="29" customWidth="1"/>
    <col min="3" max="3" width="44" style="30" customWidth="1"/>
    <col min="4" max="4" width="9.28515625" style="31" bestFit="1" customWidth="1"/>
    <col min="5" max="5" width="10.7109375" style="28" customWidth="1"/>
    <col min="6" max="6" width="12.140625" style="28" bestFit="1" customWidth="1"/>
    <col min="7" max="16384" width="9.140625" style="23"/>
  </cols>
  <sheetData>
    <row r="1" spans="1:11" ht="21">
      <c r="A1" s="63" t="s">
        <v>185</v>
      </c>
      <c r="B1" s="63"/>
      <c r="C1" s="63"/>
      <c r="D1" s="63"/>
      <c r="E1" s="63"/>
      <c r="F1" s="63"/>
    </row>
    <row r="2" spans="1:11" ht="42.75" customHeight="1">
      <c r="A2" s="64" t="s">
        <v>49</v>
      </c>
      <c r="B2" s="63"/>
      <c r="C2" s="63"/>
      <c r="D2" s="63"/>
      <c r="E2" s="63"/>
      <c r="F2" s="63"/>
    </row>
    <row r="3" spans="1:11">
      <c r="B3" s="25"/>
      <c r="C3" s="67"/>
      <c r="D3" s="67"/>
      <c r="E3" s="26"/>
      <c r="F3" s="27"/>
    </row>
    <row r="5" spans="1:11" s="33" customFormat="1" ht="15.75" customHeight="1">
      <c r="A5" s="65" t="s">
        <v>7</v>
      </c>
      <c r="B5" s="66" t="s">
        <v>8</v>
      </c>
      <c r="C5" s="66" t="s">
        <v>9</v>
      </c>
      <c r="D5" s="66" t="s">
        <v>10</v>
      </c>
      <c r="E5" s="66" t="s">
        <v>11</v>
      </c>
      <c r="F5" s="66" t="s">
        <v>12</v>
      </c>
      <c r="G5" s="32"/>
      <c r="H5" s="32"/>
      <c r="I5" s="32"/>
      <c r="J5" s="32"/>
      <c r="K5" s="32"/>
    </row>
    <row r="6" spans="1:11" s="33" customFormat="1" ht="26.25" customHeight="1">
      <c r="A6" s="65"/>
      <c r="B6" s="66"/>
      <c r="C6" s="66"/>
      <c r="D6" s="66"/>
      <c r="E6" s="66"/>
      <c r="F6" s="66"/>
    </row>
    <row r="7" spans="1:11">
      <c r="A7" s="22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</row>
    <row r="8" spans="1:11" ht="33">
      <c r="A8" s="34"/>
      <c r="B8" s="35"/>
      <c r="C8" s="8" t="s">
        <v>3</v>
      </c>
      <c r="D8" s="36"/>
      <c r="E8" s="36"/>
      <c r="F8" s="36"/>
    </row>
    <row r="9" spans="1:11" ht="78.75">
      <c r="A9" s="22">
        <v>1</v>
      </c>
      <c r="B9" s="37" t="s">
        <v>28</v>
      </c>
      <c r="C9" s="38" t="s">
        <v>5</v>
      </c>
      <c r="D9" s="10" t="s">
        <v>6</v>
      </c>
      <c r="E9" s="11"/>
      <c r="F9" s="39">
        <v>5.8259999999999996</v>
      </c>
    </row>
    <row r="10" spans="1:11" ht="17.25" thickBot="1">
      <c r="A10" s="22"/>
      <c r="B10" s="21"/>
      <c r="C10" s="1" t="s">
        <v>17</v>
      </c>
      <c r="D10" s="20" t="s">
        <v>13</v>
      </c>
      <c r="E10" s="3">
        <v>93.22</v>
      </c>
      <c r="F10" s="3">
        <f>F9*E10</f>
        <v>543.09971999999993</v>
      </c>
    </row>
    <row r="11" spans="1:11">
      <c r="A11" s="40"/>
      <c r="B11" s="41"/>
      <c r="C11" s="42" t="s">
        <v>4</v>
      </c>
      <c r="D11" s="43"/>
      <c r="E11" s="44"/>
      <c r="F11" s="44"/>
    </row>
    <row r="12" spans="1:11" ht="82.5">
      <c r="A12" s="16">
        <v>1</v>
      </c>
      <c r="B12" s="15" t="s">
        <v>96</v>
      </c>
      <c r="C12" s="38" t="s">
        <v>88</v>
      </c>
      <c r="D12" s="45" t="s">
        <v>46</v>
      </c>
      <c r="E12" s="16"/>
      <c r="F12" s="46">
        <v>330</v>
      </c>
    </row>
    <row r="13" spans="1:11" ht="33">
      <c r="A13" s="22"/>
      <c r="B13" s="21"/>
      <c r="C13" s="1" t="s">
        <v>30</v>
      </c>
      <c r="D13" s="20" t="s">
        <v>13</v>
      </c>
      <c r="E13" s="47">
        <f>155*0.01</f>
        <v>1.55</v>
      </c>
      <c r="F13" s="3">
        <f>F12*E13</f>
        <v>511.5</v>
      </c>
    </row>
    <row r="14" spans="1:11">
      <c r="A14" s="16"/>
      <c r="B14" s="15"/>
      <c r="C14" s="1" t="s">
        <v>29</v>
      </c>
      <c r="D14" s="20" t="s">
        <v>13</v>
      </c>
      <c r="E14" s="5">
        <f>1.36*0.01*0.85</f>
        <v>1.1560000000000001E-2</v>
      </c>
      <c r="F14" s="48">
        <f>F12*E14</f>
        <v>3.8148000000000004</v>
      </c>
    </row>
    <row r="15" spans="1:11" ht="33">
      <c r="A15" s="16"/>
      <c r="B15" s="49" t="s">
        <v>98</v>
      </c>
      <c r="C15" s="18" t="s">
        <v>94</v>
      </c>
      <c r="D15" s="17" t="s">
        <v>14</v>
      </c>
      <c r="E15" s="50">
        <f>1.36*0.01*0.85</f>
        <v>1.1560000000000001E-2</v>
      </c>
      <c r="F15" s="48">
        <f>E15*F12</f>
        <v>3.8148000000000004</v>
      </c>
    </row>
    <row r="16" spans="1:11">
      <c r="A16" s="16"/>
      <c r="B16" s="49" t="s">
        <v>97</v>
      </c>
      <c r="C16" s="18" t="s">
        <v>95</v>
      </c>
      <c r="D16" s="17" t="s">
        <v>14</v>
      </c>
      <c r="E16" s="50">
        <f>75*0.01*0.85</f>
        <v>0.63749999999999996</v>
      </c>
      <c r="F16" s="48">
        <f>F12*E16</f>
        <v>210.37499999999997</v>
      </c>
    </row>
    <row r="17" spans="1:6" ht="82.5">
      <c r="A17" s="22">
        <v>2</v>
      </c>
      <c r="B17" s="2" t="s">
        <v>105</v>
      </c>
      <c r="C17" s="1" t="s">
        <v>47</v>
      </c>
      <c r="D17" s="20" t="s">
        <v>16</v>
      </c>
      <c r="E17" s="22"/>
      <c r="F17" s="3">
        <v>330</v>
      </c>
    </row>
    <row r="18" spans="1:6" ht="33">
      <c r="A18" s="22"/>
      <c r="B18" s="21"/>
      <c r="C18" s="1" t="s">
        <v>30</v>
      </c>
      <c r="D18" s="20" t="s">
        <v>13</v>
      </c>
      <c r="E18" s="5">
        <f>0.0376</f>
        <v>3.7600000000000001E-2</v>
      </c>
      <c r="F18" s="3">
        <f>F17*E18</f>
        <v>12.408000000000001</v>
      </c>
    </row>
    <row r="19" spans="1:6">
      <c r="A19" s="22"/>
      <c r="B19" s="21"/>
      <c r="C19" s="1" t="s">
        <v>29</v>
      </c>
      <c r="D19" s="20" t="s">
        <v>13</v>
      </c>
      <c r="E19" s="5">
        <f>0.1078*0.99</f>
        <v>0.10672200000000001</v>
      </c>
      <c r="F19" s="3">
        <f>F17*E19</f>
        <v>35.218260000000001</v>
      </c>
    </row>
    <row r="20" spans="1:6" ht="33">
      <c r="A20" s="22"/>
      <c r="B20" s="21" t="s">
        <v>101</v>
      </c>
      <c r="C20" s="1" t="s">
        <v>48</v>
      </c>
      <c r="D20" s="20" t="s">
        <v>14</v>
      </c>
      <c r="E20" s="5">
        <f>0.0862*0.99</f>
        <v>8.5337999999999997E-2</v>
      </c>
      <c r="F20" s="3">
        <f>F17*E20</f>
        <v>28.161539999999999</v>
      </c>
    </row>
    <row r="21" spans="1:6">
      <c r="A21" s="22"/>
      <c r="B21" s="21" t="s">
        <v>102</v>
      </c>
      <c r="C21" s="18" t="s">
        <v>99</v>
      </c>
      <c r="D21" s="17" t="s">
        <v>14</v>
      </c>
      <c r="E21" s="52">
        <f>21.6*0.001*0.99</f>
        <v>2.1384E-2</v>
      </c>
      <c r="F21" s="48">
        <f>F18*E21</f>
        <v>0.26533267200000005</v>
      </c>
    </row>
    <row r="22" spans="1:6" ht="49.5">
      <c r="A22" s="22">
        <v>3</v>
      </c>
      <c r="B22" s="10" t="s">
        <v>107</v>
      </c>
      <c r="C22" s="38" t="s">
        <v>50</v>
      </c>
      <c r="D22" s="10" t="s">
        <v>15</v>
      </c>
      <c r="E22" s="39"/>
      <c r="F22" s="47">
        <v>726</v>
      </c>
    </row>
    <row r="23" spans="1:6" ht="82.5">
      <c r="A23" s="22">
        <v>4</v>
      </c>
      <c r="B23" s="2" t="s">
        <v>106</v>
      </c>
      <c r="C23" s="1" t="s">
        <v>51</v>
      </c>
      <c r="D23" s="20" t="s">
        <v>36</v>
      </c>
      <c r="E23" s="22"/>
      <c r="F23" s="7">
        <v>4.92</v>
      </c>
    </row>
    <row r="24" spans="1:6" ht="21.75" customHeight="1">
      <c r="A24" s="22"/>
      <c r="B24" s="21"/>
      <c r="C24" s="1" t="s">
        <v>30</v>
      </c>
      <c r="D24" s="20" t="s">
        <v>13</v>
      </c>
      <c r="E24" s="47">
        <v>16.600000000000001</v>
      </c>
      <c r="F24" s="3">
        <f>F23*E24</f>
        <v>81.672000000000011</v>
      </c>
    </row>
    <row r="25" spans="1:6">
      <c r="A25" s="22"/>
      <c r="B25" s="21"/>
      <c r="C25" s="1" t="s">
        <v>29</v>
      </c>
      <c r="D25" s="20" t="s">
        <v>13</v>
      </c>
      <c r="E25" s="47">
        <f>48.1*0.99</f>
        <v>47.619</v>
      </c>
      <c r="F25" s="3">
        <f>F23*E25</f>
        <v>234.28548000000001</v>
      </c>
    </row>
    <row r="26" spans="1:6" ht="33">
      <c r="A26" s="22"/>
      <c r="B26" s="21" t="s">
        <v>104</v>
      </c>
      <c r="C26" s="1" t="s">
        <v>37</v>
      </c>
      <c r="D26" s="20" t="s">
        <v>14</v>
      </c>
      <c r="E26" s="47">
        <f>36.1*0.99</f>
        <v>35.739000000000004</v>
      </c>
      <c r="F26" s="3">
        <f>F23*E26</f>
        <v>175.83588000000003</v>
      </c>
    </row>
    <row r="27" spans="1:6">
      <c r="A27" s="22"/>
      <c r="B27" s="21" t="s">
        <v>103</v>
      </c>
      <c r="C27" s="18" t="s">
        <v>100</v>
      </c>
      <c r="D27" s="17" t="s">
        <v>14</v>
      </c>
      <c r="E27" s="51">
        <f>12*0.99</f>
        <v>11.879999999999999</v>
      </c>
      <c r="F27" s="48">
        <f>F24*E27</f>
        <v>970.26336000000003</v>
      </c>
    </row>
    <row r="28" spans="1:6" ht="49.5">
      <c r="A28" s="22">
        <v>2</v>
      </c>
      <c r="B28" s="10" t="s">
        <v>113</v>
      </c>
      <c r="C28" s="38" t="s">
        <v>54</v>
      </c>
      <c r="D28" s="10" t="s">
        <v>15</v>
      </c>
      <c r="E28" s="11"/>
      <c r="F28" s="47">
        <v>9102</v>
      </c>
    </row>
    <row r="29" spans="1:6" ht="33">
      <c r="A29" s="22">
        <v>3</v>
      </c>
      <c r="B29" s="2" t="s">
        <v>52</v>
      </c>
      <c r="C29" s="1" t="s">
        <v>53</v>
      </c>
      <c r="D29" s="20" t="s">
        <v>16</v>
      </c>
      <c r="E29" s="22"/>
      <c r="F29" s="4">
        <v>500</v>
      </c>
    </row>
    <row r="30" spans="1:6">
      <c r="A30" s="22"/>
      <c r="B30" s="21"/>
      <c r="C30" s="1" t="s">
        <v>17</v>
      </c>
      <c r="D30" s="20" t="s">
        <v>13</v>
      </c>
      <c r="E30" s="22">
        <v>2.48</v>
      </c>
      <c r="F30" s="3">
        <f>F29*E30</f>
        <v>1240</v>
      </c>
    </row>
    <row r="31" spans="1:6" ht="33">
      <c r="A31" s="22">
        <v>4</v>
      </c>
      <c r="B31" s="2" t="s">
        <v>35</v>
      </c>
      <c r="C31" s="1" t="s">
        <v>38</v>
      </c>
      <c r="D31" s="20" t="s">
        <v>16</v>
      </c>
      <c r="E31" s="22"/>
      <c r="F31" s="3">
        <v>500</v>
      </c>
    </row>
    <row r="32" spans="1:6">
      <c r="A32" s="22"/>
      <c r="B32" s="21"/>
      <c r="C32" s="1" t="s">
        <v>17</v>
      </c>
      <c r="D32" s="20" t="s">
        <v>13</v>
      </c>
      <c r="E32" s="5">
        <f>121*0.01</f>
        <v>1.21</v>
      </c>
      <c r="F32" s="3">
        <f>F31*E32</f>
        <v>605</v>
      </c>
    </row>
    <row r="33" spans="1:6" ht="49.5">
      <c r="A33" s="22">
        <v>5</v>
      </c>
      <c r="B33" s="10" t="s">
        <v>113</v>
      </c>
      <c r="C33" s="38" t="s">
        <v>55</v>
      </c>
      <c r="D33" s="10" t="s">
        <v>15</v>
      </c>
      <c r="E33" s="11"/>
      <c r="F33" s="47">
        <v>925</v>
      </c>
    </row>
    <row r="34" spans="1:6" ht="33">
      <c r="A34" s="22">
        <v>6</v>
      </c>
      <c r="B34" s="2" t="s">
        <v>52</v>
      </c>
      <c r="C34" s="1" t="s">
        <v>56</v>
      </c>
      <c r="D34" s="20" t="s">
        <v>16</v>
      </c>
      <c r="E34" s="22"/>
      <c r="F34" s="4">
        <v>78</v>
      </c>
    </row>
    <row r="35" spans="1:6">
      <c r="A35" s="22"/>
      <c r="B35" s="21"/>
      <c r="C35" s="1" t="s">
        <v>17</v>
      </c>
      <c r="D35" s="20" t="s">
        <v>13</v>
      </c>
      <c r="E35" s="22">
        <v>2.48</v>
      </c>
      <c r="F35" s="3">
        <f>F34*E35</f>
        <v>193.44</v>
      </c>
    </row>
    <row r="36" spans="1:6" ht="33">
      <c r="A36" s="22">
        <v>4</v>
      </c>
      <c r="B36" s="2" t="s">
        <v>35</v>
      </c>
      <c r="C36" s="1" t="s">
        <v>38</v>
      </c>
      <c r="D36" s="20" t="s">
        <v>16</v>
      </c>
      <c r="E36" s="22"/>
      <c r="F36" s="3">
        <v>78</v>
      </c>
    </row>
    <row r="37" spans="1:6">
      <c r="A37" s="22"/>
      <c r="B37" s="21"/>
      <c r="C37" s="1" t="s">
        <v>17</v>
      </c>
      <c r="D37" s="20" t="s">
        <v>13</v>
      </c>
      <c r="E37" s="5">
        <v>1.3915</v>
      </c>
      <c r="F37" s="3">
        <f>F36*E37</f>
        <v>108.53699999999999</v>
      </c>
    </row>
    <row r="38" spans="1:6" ht="50.25" thickBot="1">
      <c r="A38" s="53">
        <v>5</v>
      </c>
      <c r="B38" s="10" t="s">
        <v>113</v>
      </c>
      <c r="C38" s="54" t="s">
        <v>57</v>
      </c>
      <c r="D38" s="55" t="s">
        <v>15</v>
      </c>
      <c r="E38" s="56"/>
      <c r="F38" s="57">
        <v>144.30000000000001</v>
      </c>
    </row>
    <row r="39" spans="1:6">
      <c r="A39" s="40"/>
      <c r="B39" s="41"/>
      <c r="C39" s="58" t="s">
        <v>1</v>
      </c>
      <c r="D39" s="59"/>
      <c r="E39" s="60"/>
      <c r="F39" s="44"/>
    </row>
    <row r="40" spans="1:6" ht="82.5">
      <c r="A40" s="22">
        <v>1</v>
      </c>
      <c r="B40" s="2" t="s">
        <v>108</v>
      </c>
      <c r="C40" s="38" t="s">
        <v>109</v>
      </c>
      <c r="D40" s="21" t="s">
        <v>16</v>
      </c>
      <c r="E40" s="3"/>
      <c r="F40" s="3">
        <f>30858*0.1</f>
        <v>3085.8</v>
      </c>
    </row>
    <row r="41" spans="1:6" ht="33">
      <c r="A41" s="22"/>
      <c r="B41" s="21"/>
      <c r="C41" s="1" t="s">
        <v>30</v>
      </c>
      <c r="D41" s="20" t="s">
        <v>13</v>
      </c>
      <c r="E41" s="7">
        <v>0.14399999999999999</v>
      </c>
      <c r="F41" s="3">
        <f>F40*E41</f>
        <v>444.35519999999997</v>
      </c>
    </row>
    <row r="42" spans="1:6">
      <c r="A42" s="22"/>
      <c r="B42" s="21"/>
      <c r="C42" s="1" t="s">
        <v>29</v>
      </c>
      <c r="D42" s="20" t="s">
        <v>13</v>
      </c>
      <c r="E42" s="5">
        <f>0.0438*0.85</f>
        <v>3.7229999999999999E-2</v>
      </c>
      <c r="F42" s="3">
        <f>F40*E42</f>
        <v>114.88433400000001</v>
      </c>
    </row>
    <row r="43" spans="1:6" ht="33">
      <c r="A43" s="22"/>
      <c r="B43" s="49" t="s">
        <v>98</v>
      </c>
      <c r="C43" s="18" t="s">
        <v>94</v>
      </c>
      <c r="D43" s="20" t="s">
        <v>14</v>
      </c>
      <c r="E43" s="5">
        <f>0.0155*0.85</f>
        <v>1.3174999999999999E-2</v>
      </c>
      <c r="F43" s="3">
        <f>F40*E43</f>
        <v>40.655414999999998</v>
      </c>
    </row>
    <row r="44" spans="1:6">
      <c r="A44" s="22"/>
      <c r="B44" s="21" t="s">
        <v>111</v>
      </c>
      <c r="C44" s="1" t="s">
        <v>31</v>
      </c>
      <c r="D44" s="20" t="s">
        <v>14</v>
      </c>
      <c r="E44" s="5">
        <f>0.0164*0.85</f>
        <v>1.3940000000000001E-2</v>
      </c>
      <c r="F44" s="3">
        <f>E44*F40</f>
        <v>43.016052000000009</v>
      </c>
    </row>
    <row r="45" spans="1:6">
      <c r="A45" s="22"/>
      <c r="B45" s="21" t="s">
        <v>110</v>
      </c>
      <c r="C45" s="1" t="s">
        <v>18</v>
      </c>
      <c r="D45" s="20" t="s">
        <v>14</v>
      </c>
      <c r="E45" s="5">
        <f>0.0091*0.85</f>
        <v>7.7350000000000006E-3</v>
      </c>
      <c r="F45" s="3">
        <f>F40*E45</f>
        <v>23.868663000000002</v>
      </c>
    </row>
    <row r="46" spans="1:6">
      <c r="A46" s="22"/>
      <c r="B46" s="21"/>
      <c r="C46" s="21" t="s">
        <v>19</v>
      </c>
      <c r="D46" s="20"/>
      <c r="E46" s="3"/>
      <c r="F46" s="3"/>
    </row>
    <row r="47" spans="1:6" ht="66">
      <c r="A47" s="22"/>
      <c r="B47" s="21" t="s">
        <v>114</v>
      </c>
      <c r="C47" s="1" t="s">
        <v>39</v>
      </c>
      <c r="D47" s="20" t="s">
        <v>16</v>
      </c>
      <c r="E47" s="3">
        <v>1.22</v>
      </c>
      <c r="F47" s="3">
        <f>E47*F40</f>
        <v>3764.6759999999999</v>
      </c>
    </row>
    <row r="48" spans="1:6">
      <c r="A48" s="22"/>
      <c r="B48" s="21"/>
      <c r="C48" s="1" t="s">
        <v>20</v>
      </c>
      <c r="D48" s="20" t="s">
        <v>16</v>
      </c>
      <c r="E48" s="3">
        <v>7.0000000000000007E-2</v>
      </c>
      <c r="F48" s="3">
        <f>F40*E48</f>
        <v>216.00600000000003</v>
      </c>
    </row>
    <row r="49" spans="1:6" ht="49.5">
      <c r="A49" s="22">
        <v>2</v>
      </c>
      <c r="B49" s="10" t="s">
        <v>113</v>
      </c>
      <c r="C49" s="38" t="s">
        <v>112</v>
      </c>
      <c r="D49" s="10" t="s">
        <v>15</v>
      </c>
      <c r="E49" s="11"/>
      <c r="F49" s="47">
        <f>F47*1.6</f>
        <v>6023.4816000000001</v>
      </c>
    </row>
    <row r="50" spans="1:6" ht="82.5">
      <c r="A50" s="22">
        <v>3</v>
      </c>
      <c r="B50" s="2" t="s">
        <v>115</v>
      </c>
      <c r="C50" s="38" t="s">
        <v>124</v>
      </c>
      <c r="D50" s="21" t="s">
        <v>26</v>
      </c>
      <c r="E50" s="3"/>
      <c r="F50" s="3">
        <v>28528</v>
      </c>
    </row>
    <row r="51" spans="1:6" ht="33">
      <c r="A51" s="22"/>
      <c r="B51" s="21"/>
      <c r="C51" s="1" t="s">
        <v>30</v>
      </c>
      <c r="D51" s="20" t="s">
        <v>13</v>
      </c>
      <c r="E51" s="7">
        <f>33*0.001</f>
        <v>3.3000000000000002E-2</v>
      </c>
      <c r="F51" s="3">
        <f>F50*E51</f>
        <v>941.42400000000009</v>
      </c>
    </row>
    <row r="52" spans="1:6">
      <c r="A52" s="22"/>
      <c r="B52" s="21"/>
      <c r="C52" s="1" t="s">
        <v>29</v>
      </c>
      <c r="D52" s="20" t="s">
        <v>13</v>
      </c>
      <c r="E52" s="6">
        <f>0.04038*0.85</f>
        <v>3.4322999999999999E-2</v>
      </c>
      <c r="F52" s="3">
        <f>F50*E52</f>
        <v>979.16654399999993</v>
      </c>
    </row>
    <row r="53" spans="1:6">
      <c r="A53" s="22"/>
      <c r="B53" s="21" t="s">
        <v>103</v>
      </c>
      <c r="C53" s="18" t="s">
        <v>100</v>
      </c>
      <c r="D53" s="17" t="s">
        <v>14</v>
      </c>
      <c r="E53" s="52">
        <f>0.00235*0.85</f>
        <v>1.9975000000000001E-3</v>
      </c>
      <c r="F53" s="48">
        <f>F50*E53</f>
        <v>56.984680000000004</v>
      </c>
    </row>
    <row r="54" spans="1:6">
      <c r="A54" s="22"/>
      <c r="B54" s="21" t="s">
        <v>98</v>
      </c>
      <c r="C54" s="1" t="s">
        <v>116</v>
      </c>
      <c r="D54" s="20" t="s">
        <v>14</v>
      </c>
      <c r="E54" s="6">
        <f>0.00036*0.85</f>
        <v>3.0600000000000001E-4</v>
      </c>
      <c r="F54" s="3">
        <f>F50*E54</f>
        <v>8.7295680000000004</v>
      </c>
    </row>
    <row r="55" spans="1:6" ht="33">
      <c r="A55" s="22"/>
      <c r="B55" s="21" t="s">
        <v>119</v>
      </c>
      <c r="C55" s="1" t="s">
        <v>117</v>
      </c>
      <c r="D55" s="20" t="s">
        <v>14</v>
      </c>
      <c r="E55" s="5">
        <f>0.0106*0.85</f>
        <v>9.0100000000000006E-3</v>
      </c>
      <c r="F55" s="3">
        <f>E55*F50</f>
        <v>257.03728000000001</v>
      </c>
    </row>
    <row r="56" spans="1:6" ht="33">
      <c r="A56" s="22"/>
      <c r="B56" s="21" t="s">
        <v>120</v>
      </c>
      <c r="C56" s="1" t="s">
        <v>118</v>
      </c>
      <c r="D56" s="20" t="s">
        <v>14</v>
      </c>
      <c r="E56" s="5">
        <f>0.0239*0.85</f>
        <v>2.0315E-2</v>
      </c>
      <c r="F56" s="3">
        <f>E56*F50</f>
        <v>579.54632000000004</v>
      </c>
    </row>
    <row r="57" spans="1:6">
      <c r="A57" s="22"/>
      <c r="B57" s="21" t="s">
        <v>110</v>
      </c>
      <c r="C57" s="1" t="s">
        <v>18</v>
      </c>
      <c r="D57" s="20" t="s">
        <v>14</v>
      </c>
      <c r="E57" s="5">
        <f>0.0026*0.85</f>
        <v>2.2099999999999997E-3</v>
      </c>
      <c r="F57" s="3">
        <f>F50*E57</f>
        <v>63.046879999999994</v>
      </c>
    </row>
    <row r="58" spans="1:6" ht="33">
      <c r="A58" s="22"/>
      <c r="B58" s="21" t="s">
        <v>121</v>
      </c>
      <c r="C58" s="1" t="s">
        <v>27</v>
      </c>
      <c r="D58" s="20" t="s">
        <v>14</v>
      </c>
      <c r="E58" s="6">
        <f>0.00057*0.85</f>
        <v>4.8449999999999996E-4</v>
      </c>
      <c r="F58" s="3">
        <f>F50*E58</f>
        <v>13.821815999999998</v>
      </c>
    </row>
    <row r="59" spans="1:6">
      <c r="A59" s="22"/>
      <c r="B59" s="21"/>
      <c r="C59" s="21" t="s">
        <v>19</v>
      </c>
      <c r="D59" s="20"/>
      <c r="E59" s="3"/>
      <c r="F59" s="3"/>
    </row>
    <row r="60" spans="1:6" ht="66">
      <c r="A60" s="22"/>
      <c r="B60" s="10" t="s">
        <v>125</v>
      </c>
      <c r="C60" s="1" t="s">
        <v>122</v>
      </c>
      <c r="D60" s="20" t="s">
        <v>16</v>
      </c>
      <c r="E60" s="7">
        <f>15*0.001</f>
        <v>1.4999999999999999E-2</v>
      </c>
      <c r="F60" s="3">
        <f>F50*E60</f>
        <v>427.91999999999996</v>
      </c>
    </row>
    <row r="61" spans="1:6" ht="66">
      <c r="A61" s="22"/>
      <c r="B61" s="10" t="s">
        <v>126</v>
      </c>
      <c r="C61" s="1" t="s">
        <v>123</v>
      </c>
      <c r="D61" s="20" t="s">
        <v>16</v>
      </c>
      <c r="E61" s="7">
        <f>0.189-10*0.001*5</f>
        <v>0.13900000000000001</v>
      </c>
      <c r="F61" s="3">
        <f>F50*E61</f>
        <v>3965.3920000000003</v>
      </c>
    </row>
    <row r="62" spans="1:6">
      <c r="A62" s="22"/>
      <c r="B62" s="21"/>
      <c r="C62" s="1" t="s">
        <v>20</v>
      </c>
      <c r="D62" s="20" t="s">
        <v>16</v>
      </c>
      <c r="E62" s="7">
        <v>0.03</v>
      </c>
      <c r="F62" s="3">
        <f>F50*E62</f>
        <v>855.83999999999992</v>
      </c>
    </row>
    <row r="63" spans="1:6" ht="49.5">
      <c r="A63" s="22">
        <v>4</v>
      </c>
      <c r="B63" s="10" t="s">
        <v>113</v>
      </c>
      <c r="C63" s="38" t="s">
        <v>127</v>
      </c>
      <c r="D63" s="10" t="s">
        <v>15</v>
      </c>
      <c r="E63" s="39"/>
      <c r="F63" s="47">
        <f>(F60+F61)*1.6</f>
        <v>7029.2992000000004</v>
      </c>
    </row>
    <row r="64" spans="1:6" ht="49.5">
      <c r="A64" s="22">
        <v>5</v>
      </c>
      <c r="B64" s="2" t="s">
        <v>131</v>
      </c>
      <c r="C64" s="38" t="s">
        <v>58</v>
      </c>
      <c r="D64" s="21" t="s">
        <v>15</v>
      </c>
      <c r="E64" s="3"/>
      <c r="F64" s="5">
        <v>17.522400000000001</v>
      </c>
    </row>
    <row r="65" spans="1:6">
      <c r="A65" s="22"/>
      <c r="B65" s="21" t="s">
        <v>129</v>
      </c>
      <c r="C65" s="1" t="s">
        <v>21</v>
      </c>
      <c r="D65" s="20" t="s">
        <v>14</v>
      </c>
      <c r="E65" s="3">
        <v>0.3</v>
      </c>
      <c r="F65" s="3">
        <f>F64*E65</f>
        <v>5.2567200000000005</v>
      </c>
    </row>
    <row r="66" spans="1:6">
      <c r="A66" s="22"/>
      <c r="B66" s="21"/>
      <c r="C66" s="21" t="s">
        <v>19</v>
      </c>
      <c r="D66" s="20"/>
      <c r="E66" s="3"/>
      <c r="F66" s="3"/>
    </row>
    <row r="67" spans="1:6">
      <c r="A67" s="22"/>
      <c r="B67" s="21" t="s">
        <v>128</v>
      </c>
      <c r="C67" s="1" t="s">
        <v>32</v>
      </c>
      <c r="D67" s="20" t="s">
        <v>16</v>
      </c>
      <c r="E67" s="3">
        <v>1.03</v>
      </c>
      <c r="F67" s="3">
        <f>F64*E67</f>
        <v>18.048072000000001</v>
      </c>
    </row>
    <row r="68" spans="1:6" ht="49.5">
      <c r="A68" s="22">
        <v>6</v>
      </c>
      <c r="B68" s="10" t="s">
        <v>113</v>
      </c>
      <c r="C68" s="38" t="s">
        <v>130</v>
      </c>
      <c r="D68" s="10" t="s">
        <v>15</v>
      </c>
      <c r="E68" s="11"/>
      <c r="F68" s="5">
        <v>17.522400000000001</v>
      </c>
    </row>
    <row r="69" spans="1:6" ht="99">
      <c r="A69" s="22">
        <v>7</v>
      </c>
      <c r="B69" s="2" t="s">
        <v>132</v>
      </c>
      <c r="C69" s="38" t="s">
        <v>90</v>
      </c>
      <c r="D69" s="21" t="s">
        <v>26</v>
      </c>
      <c r="E69" s="3"/>
      <c r="F69" s="3">
        <v>25032</v>
      </c>
    </row>
    <row r="70" spans="1:6" ht="33">
      <c r="A70" s="22"/>
      <c r="B70" s="21"/>
      <c r="C70" s="1" t="s">
        <v>30</v>
      </c>
      <c r="D70" s="20" t="s">
        <v>13</v>
      </c>
      <c r="E70" s="6">
        <f>(33.6+0.09*4)*0.001*0.858</f>
        <v>2.9137680000000003E-2</v>
      </c>
      <c r="F70" s="3">
        <f>F69*E70</f>
        <v>729.37440576000006</v>
      </c>
    </row>
    <row r="71" spans="1:6">
      <c r="A71" s="22"/>
      <c r="B71" s="21"/>
      <c r="C71" s="1" t="s">
        <v>29</v>
      </c>
      <c r="D71" s="20" t="s">
        <v>13</v>
      </c>
      <c r="E71" s="6">
        <v>1.7659999999999999E-2</v>
      </c>
      <c r="F71" s="3">
        <f>F69*E71</f>
        <v>442.06511999999998</v>
      </c>
    </row>
    <row r="72" spans="1:6" ht="33">
      <c r="A72" s="22"/>
      <c r="B72" s="21" t="s">
        <v>119</v>
      </c>
      <c r="C72" s="1" t="s">
        <v>117</v>
      </c>
      <c r="D72" s="20" t="s">
        <v>14</v>
      </c>
      <c r="E72" s="5">
        <f>3.47*0.001*0.85</f>
        <v>2.9495000000000003E-3</v>
      </c>
      <c r="F72" s="3">
        <f>E72*F67</f>
        <v>5.3232788364000007E-2</v>
      </c>
    </row>
    <row r="73" spans="1:6" ht="33">
      <c r="A73" s="22"/>
      <c r="B73" s="21" t="s">
        <v>120</v>
      </c>
      <c r="C73" s="1" t="s">
        <v>118</v>
      </c>
      <c r="D73" s="20" t="s">
        <v>14</v>
      </c>
      <c r="E73" s="5">
        <f>10.1*0.001*0.85</f>
        <v>8.5849999999999989E-3</v>
      </c>
      <c r="F73" s="3">
        <f>E73*F67</f>
        <v>0.15494269812</v>
      </c>
    </row>
    <row r="74" spans="1:6">
      <c r="A74" s="22"/>
      <c r="B74" s="21" t="s">
        <v>133</v>
      </c>
      <c r="C74" s="1" t="s">
        <v>22</v>
      </c>
      <c r="D74" s="20" t="s">
        <v>14</v>
      </c>
      <c r="E74" s="5">
        <f>0.0028*0.85</f>
        <v>2.3799999999999997E-3</v>
      </c>
      <c r="F74" s="3">
        <f>E74*F69</f>
        <v>59.576159999999994</v>
      </c>
    </row>
    <row r="75" spans="1:6">
      <c r="A75" s="22"/>
      <c r="B75" s="21"/>
      <c r="C75" s="1" t="s">
        <v>23</v>
      </c>
      <c r="D75" s="20" t="s">
        <v>0</v>
      </c>
      <c r="E75" s="6">
        <f>0.00392*0.85</f>
        <v>3.3319999999999999E-3</v>
      </c>
      <c r="F75" s="3">
        <f>E75*F69</f>
        <v>83.406623999999994</v>
      </c>
    </row>
    <row r="76" spans="1:6">
      <c r="A76" s="22"/>
      <c r="B76" s="21"/>
      <c r="C76" s="21" t="s">
        <v>19</v>
      </c>
      <c r="D76" s="20"/>
      <c r="E76" s="3"/>
      <c r="F76" s="3"/>
    </row>
    <row r="77" spans="1:6">
      <c r="A77" s="22"/>
      <c r="B77" s="21" t="s">
        <v>136</v>
      </c>
      <c r="C77" s="1" t="s">
        <v>24</v>
      </c>
      <c r="D77" s="20" t="s">
        <v>2</v>
      </c>
      <c r="E77" s="5">
        <f>(102+12.7*4)*0.001</f>
        <v>0.15280000000000002</v>
      </c>
      <c r="F77" s="3">
        <f>F69*E77</f>
        <v>3824.8896000000004</v>
      </c>
    </row>
    <row r="78" spans="1:6">
      <c r="A78" s="22"/>
      <c r="B78" s="21"/>
      <c r="C78" s="1" t="s">
        <v>25</v>
      </c>
      <c r="D78" s="20" t="s">
        <v>0</v>
      </c>
      <c r="E78" s="6">
        <f>(25.17+0.04*5)*0.001</f>
        <v>2.537E-2</v>
      </c>
      <c r="F78" s="3">
        <f>F69*E78</f>
        <v>635.06183999999996</v>
      </c>
    </row>
    <row r="79" spans="1:6" ht="49.5">
      <c r="A79" s="22">
        <v>8</v>
      </c>
      <c r="B79" s="10" t="s">
        <v>113</v>
      </c>
      <c r="C79" s="38" t="s">
        <v>134</v>
      </c>
      <c r="D79" s="10" t="s">
        <v>15</v>
      </c>
      <c r="E79" s="11"/>
      <c r="F79" s="47">
        <v>3492</v>
      </c>
    </row>
    <row r="80" spans="1:6" ht="53.25">
      <c r="A80" s="22">
        <v>9</v>
      </c>
      <c r="B80" s="2" t="s">
        <v>131</v>
      </c>
      <c r="C80" s="38" t="s">
        <v>59</v>
      </c>
      <c r="D80" s="21" t="s">
        <v>15</v>
      </c>
      <c r="E80" s="3"/>
      <c r="F80" s="5">
        <v>8.7612000000000005</v>
      </c>
    </row>
    <row r="81" spans="1:6">
      <c r="A81" s="22"/>
      <c r="B81" s="21" t="s">
        <v>129</v>
      </c>
      <c r="C81" s="1" t="s">
        <v>21</v>
      </c>
      <c r="D81" s="20" t="s">
        <v>14</v>
      </c>
      <c r="E81" s="3">
        <v>0.3</v>
      </c>
      <c r="F81" s="3">
        <f>F80*E81</f>
        <v>2.6283600000000003</v>
      </c>
    </row>
    <row r="82" spans="1:6">
      <c r="A82" s="22"/>
      <c r="B82" s="21"/>
      <c r="C82" s="21" t="s">
        <v>19</v>
      </c>
      <c r="D82" s="20"/>
      <c r="E82" s="3"/>
      <c r="F82" s="3"/>
    </row>
    <row r="83" spans="1:6">
      <c r="A83" s="22"/>
      <c r="B83" s="21" t="s">
        <v>128</v>
      </c>
      <c r="C83" s="1" t="s">
        <v>32</v>
      </c>
      <c r="D83" s="20" t="s">
        <v>16</v>
      </c>
      <c r="E83" s="3">
        <v>1.03</v>
      </c>
      <c r="F83" s="3">
        <f>F80*E83</f>
        <v>9.0240360000000006</v>
      </c>
    </row>
    <row r="84" spans="1:6" ht="49.5">
      <c r="A84" s="22">
        <v>10</v>
      </c>
      <c r="B84" s="10" t="s">
        <v>33</v>
      </c>
      <c r="C84" s="38" t="s">
        <v>130</v>
      </c>
      <c r="D84" s="10" t="s">
        <v>15</v>
      </c>
      <c r="E84" s="11"/>
      <c r="F84" s="5">
        <v>8.7612000000000005</v>
      </c>
    </row>
    <row r="85" spans="1:6" ht="82.5">
      <c r="A85" s="22">
        <v>11</v>
      </c>
      <c r="B85" s="2" t="s">
        <v>135</v>
      </c>
      <c r="C85" s="38" t="s">
        <v>45</v>
      </c>
      <c r="D85" s="21" t="s">
        <v>26</v>
      </c>
      <c r="E85" s="13"/>
      <c r="F85" s="3">
        <v>25032</v>
      </c>
    </row>
    <row r="86" spans="1:6" ht="33">
      <c r="A86" s="22"/>
      <c r="B86" s="21"/>
      <c r="C86" s="1" t="s">
        <v>30</v>
      </c>
      <c r="D86" s="20" t="s">
        <v>13</v>
      </c>
      <c r="E86" s="5">
        <v>3.3599999999999998E-2</v>
      </c>
      <c r="F86" s="3">
        <f>F85*E86</f>
        <v>841.0752</v>
      </c>
    </row>
    <row r="87" spans="1:6">
      <c r="A87" s="22"/>
      <c r="B87" s="21"/>
      <c r="C87" s="1" t="s">
        <v>29</v>
      </c>
      <c r="D87" s="20" t="s">
        <v>13</v>
      </c>
      <c r="E87" s="6">
        <f>0.01766*0.85</f>
        <v>1.5010999999999998E-2</v>
      </c>
      <c r="F87" s="3">
        <f>F85*E87</f>
        <v>375.75535199999996</v>
      </c>
    </row>
    <row r="88" spans="1:6" ht="33">
      <c r="A88" s="22"/>
      <c r="B88" s="21" t="s">
        <v>119</v>
      </c>
      <c r="C88" s="1" t="s">
        <v>117</v>
      </c>
      <c r="D88" s="20" t="s">
        <v>14</v>
      </c>
      <c r="E88" s="5">
        <f>3.47*0.001*0.85</f>
        <v>2.9495000000000003E-3</v>
      </c>
      <c r="F88" s="3">
        <f>E88*F83</f>
        <v>2.6616394182000003E-2</v>
      </c>
    </row>
    <row r="89" spans="1:6" ht="33">
      <c r="A89" s="22"/>
      <c r="B89" s="21" t="s">
        <v>120</v>
      </c>
      <c r="C89" s="1" t="s">
        <v>118</v>
      </c>
      <c r="D89" s="20" t="s">
        <v>14</v>
      </c>
      <c r="E89" s="5">
        <f>10.1*0.001*0.85</f>
        <v>8.5849999999999989E-3</v>
      </c>
      <c r="F89" s="3">
        <f>E89*F83</f>
        <v>7.747134906E-2</v>
      </c>
    </row>
    <row r="90" spans="1:6">
      <c r="A90" s="22"/>
      <c r="B90" s="21" t="s">
        <v>133</v>
      </c>
      <c r="C90" s="1" t="s">
        <v>22</v>
      </c>
      <c r="D90" s="20" t="s">
        <v>14</v>
      </c>
      <c r="E90" s="5">
        <f>0.0028*0.85</f>
        <v>2.3799999999999997E-3</v>
      </c>
      <c r="F90" s="3">
        <f>E90*F85</f>
        <v>59.576159999999994</v>
      </c>
    </row>
    <row r="91" spans="1:6">
      <c r="A91" s="22"/>
      <c r="B91" s="21"/>
      <c r="C91" s="1" t="s">
        <v>23</v>
      </c>
      <c r="D91" s="20" t="s">
        <v>0</v>
      </c>
      <c r="E91" s="6">
        <f>0.00392*0.85</f>
        <v>3.3319999999999999E-3</v>
      </c>
      <c r="F91" s="3">
        <f>E91*F85</f>
        <v>83.406623999999994</v>
      </c>
    </row>
    <row r="92" spans="1:6">
      <c r="A92" s="22"/>
      <c r="B92" s="21"/>
      <c r="C92" s="21" t="s">
        <v>19</v>
      </c>
      <c r="D92" s="20"/>
      <c r="E92" s="3"/>
      <c r="F92" s="3"/>
    </row>
    <row r="93" spans="1:6">
      <c r="A93" s="22"/>
      <c r="B93" s="21" t="s">
        <v>137</v>
      </c>
      <c r="C93" s="1" t="s">
        <v>24</v>
      </c>
      <c r="D93" s="20" t="s">
        <v>2</v>
      </c>
      <c r="E93" s="5">
        <f>102*0.001</f>
        <v>0.10200000000000001</v>
      </c>
      <c r="F93" s="3">
        <f>F85*E93</f>
        <v>2553.2640000000001</v>
      </c>
    </row>
    <row r="94" spans="1:6">
      <c r="A94" s="22"/>
      <c r="B94" s="21"/>
      <c r="C94" s="1" t="s">
        <v>25</v>
      </c>
      <c r="D94" s="20" t="s">
        <v>0</v>
      </c>
      <c r="E94" s="6">
        <v>2.5170000000000001E-2</v>
      </c>
      <c r="F94" s="3">
        <f>F85*E94</f>
        <v>630.05544000000009</v>
      </c>
    </row>
    <row r="95" spans="1:6" ht="49.5">
      <c r="A95" s="22">
        <v>12</v>
      </c>
      <c r="B95" s="10" t="s">
        <v>113</v>
      </c>
      <c r="C95" s="38" t="s">
        <v>134</v>
      </c>
      <c r="D95" s="10" t="s">
        <v>15</v>
      </c>
      <c r="E95" s="11"/>
      <c r="F95" s="47">
        <v>2438.1</v>
      </c>
    </row>
    <row r="96" spans="1:6" ht="82.5">
      <c r="A96" s="22">
        <v>13</v>
      </c>
      <c r="B96" s="2" t="s">
        <v>138</v>
      </c>
      <c r="C96" s="61" t="s">
        <v>139</v>
      </c>
      <c r="D96" s="21" t="s">
        <v>16</v>
      </c>
      <c r="E96" s="3"/>
      <c r="F96" s="3">
        <f>5826*0.15</f>
        <v>873.9</v>
      </c>
    </row>
    <row r="97" spans="1:6" ht="16.5" customHeight="1">
      <c r="A97" s="22"/>
      <c r="B97" s="21"/>
      <c r="C97" s="1" t="s">
        <v>30</v>
      </c>
      <c r="D97" s="20" t="s">
        <v>13</v>
      </c>
      <c r="E97" s="7">
        <v>0.14399999999999999</v>
      </c>
      <c r="F97" s="3">
        <f>F96*E97</f>
        <v>125.84159999999999</v>
      </c>
    </row>
    <row r="98" spans="1:6">
      <c r="A98" s="22"/>
      <c r="B98" s="21"/>
      <c r="C98" s="1" t="s">
        <v>29</v>
      </c>
      <c r="D98" s="20" t="s">
        <v>13</v>
      </c>
      <c r="E98" s="5">
        <f>0.0438*0.85</f>
        <v>3.7229999999999999E-2</v>
      </c>
      <c r="F98" s="3">
        <f>F96*E98</f>
        <v>32.535297</v>
      </c>
    </row>
    <row r="99" spans="1:6" ht="33">
      <c r="A99" s="22"/>
      <c r="B99" s="49" t="s">
        <v>98</v>
      </c>
      <c r="C99" s="18" t="s">
        <v>94</v>
      </c>
      <c r="D99" s="20" t="s">
        <v>14</v>
      </c>
      <c r="E99" s="5">
        <f>0.0155*0.85</f>
        <v>1.3174999999999999E-2</v>
      </c>
      <c r="F99" s="3">
        <f>F96*E99</f>
        <v>11.513632499999998</v>
      </c>
    </row>
    <row r="100" spans="1:6">
      <c r="A100" s="22"/>
      <c r="B100" s="21" t="s">
        <v>111</v>
      </c>
      <c r="C100" s="1" t="s">
        <v>31</v>
      </c>
      <c r="D100" s="20" t="s">
        <v>14</v>
      </c>
      <c r="E100" s="5">
        <f>0.0164*0.85</f>
        <v>1.3940000000000001E-2</v>
      </c>
      <c r="F100" s="3">
        <f>E100*F96</f>
        <v>12.182166</v>
      </c>
    </row>
    <row r="101" spans="1:6">
      <c r="A101" s="22"/>
      <c r="B101" s="21" t="s">
        <v>110</v>
      </c>
      <c r="C101" s="1" t="s">
        <v>18</v>
      </c>
      <c r="D101" s="20" t="s">
        <v>14</v>
      </c>
      <c r="E101" s="5">
        <f>0.0091*0.85</f>
        <v>7.7350000000000006E-3</v>
      </c>
      <c r="F101" s="3">
        <f>F96*E101</f>
        <v>6.7596164999999999</v>
      </c>
    </row>
    <row r="102" spans="1:6">
      <c r="A102" s="22"/>
      <c r="B102" s="21"/>
      <c r="C102" s="21" t="s">
        <v>19</v>
      </c>
      <c r="D102" s="20"/>
      <c r="E102" s="3"/>
      <c r="F102" s="3"/>
    </row>
    <row r="103" spans="1:6" ht="66">
      <c r="A103" s="22"/>
      <c r="B103" s="21" t="s">
        <v>114</v>
      </c>
      <c r="C103" s="1" t="s">
        <v>39</v>
      </c>
      <c r="D103" s="20" t="s">
        <v>16</v>
      </c>
      <c r="E103" s="3">
        <v>1.22</v>
      </c>
      <c r="F103" s="3">
        <f>E103*F96</f>
        <v>1066.1579999999999</v>
      </c>
    </row>
    <row r="104" spans="1:6">
      <c r="A104" s="22"/>
      <c r="B104" s="21"/>
      <c r="C104" s="1" t="s">
        <v>20</v>
      </c>
      <c r="D104" s="20" t="s">
        <v>16</v>
      </c>
      <c r="E104" s="3">
        <v>7.0000000000000007E-2</v>
      </c>
      <c r="F104" s="3">
        <f>F96*E104</f>
        <v>61.173000000000002</v>
      </c>
    </row>
    <row r="105" spans="1:6" ht="49.5">
      <c r="A105" s="22">
        <v>14</v>
      </c>
      <c r="B105" s="10" t="s">
        <v>113</v>
      </c>
      <c r="C105" s="38" t="s">
        <v>140</v>
      </c>
      <c r="D105" s="10" t="s">
        <v>15</v>
      </c>
      <c r="E105" s="11"/>
      <c r="F105" s="47">
        <v>1705.6</v>
      </c>
    </row>
    <row r="106" spans="1:6" ht="49.5">
      <c r="A106" s="22"/>
      <c r="B106" s="10"/>
      <c r="C106" s="8" t="s">
        <v>60</v>
      </c>
      <c r="D106" s="20"/>
      <c r="E106" s="13"/>
      <c r="F106" s="13"/>
    </row>
    <row r="107" spans="1:6" ht="82.5">
      <c r="A107" s="22">
        <v>1</v>
      </c>
      <c r="B107" s="2" t="s">
        <v>138</v>
      </c>
      <c r="C107" s="38" t="s">
        <v>61</v>
      </c>
      <c r="D107" s="21" t="s">
        <v>16</v>
      </c>
      <c r="E107" s="3"/>
      <c r="F107" s="3">
        <v>163.6</v>
      </c>
    </row>
    <row r="108" spans="1:6" ht="33">
      <c r="A108" s="22"/>
      <c r="B108" s="21"/>
      <c r="C108" s="1" t="s">
        <v>30</v>
      </c>
      <c r="D108" s="20" t="s">
        <v>13</v>
      </c>
      <c r="E108" s="7">
        <v>0.14399999999999999</v>
      </c>
      <c r="F108" s="3">
        <f>F107*E108</f>
        <v>23.558399999999999</v>
      </c>
    </row>
    <row r="109" spans="1:6">
      <c r="A109" s="22"/>
      <c r="B109" s="21"/>
      <c r="C109" s="1" t="s">
        <v>29</v>
      </c>
      <c r="D109" s="20" t="s">
        <v>13</v>
      </c>
      <c r="E109" s="5">
        <f>0.0438*0.85</f>
        <v>3.7229999999999999E-2</v>
      </c>
      <c r="F109" s="3">
        <f>F107*E109</f>
        <v>6.0908279999999992</v>
      </c>
    </row>
    <row r="110" spans="1:6" ht="33">
      <c r="A110" s="22"/>
      <c r="B110" s="49" t="s">
        <v>98</v>
      </c>
      <c r="C110" s="18" t="s">
        <v>94</v>
      </c>
      <c r="D110" s="20" t="s">
        <v>14</v>
      </c>
      <c r="E110" s="5">
        <f>0.0155*0.85</f>
        <v>1.3174999999999999E-2</v>
      </c>
      <c r="F110" s="3">
        <f>F107*E110</f>
        <v>2.15543</v>
      </c>
    </row>
    <row r="111" spans="1:6">
      <c r="A111" s="22"/>
      <c r="B111" s="21" t="s">
        <v>111</v>
      </c>
      <c r="C111" s="1" t="s">
        <v>31</v>
      </c>
      <c r="D111" s="20" t="s">
        <v>14</v>
      </c>
      <c r="E111" s="5">
        <f>0.0164*0.85</f>
        <v>1.3940000000000001E-2</v>
      </c>
      <c r="F111" s="3">
        <f>E111*F107</f>
        <v>2.2805840000000002</v>
      </c>
    </row>
    <row r="112" spans="1:6">
      <c r="A112" s="22"/>
      <c r="B112" s="21" t="s">
        <v>110</v>
      </c>
      <c r="C112" s="1" t="s">
        <v>18</v>
      </c>
      <c r="D112" s="20" t="s">
        <v>14</v>
      </c>
      <c r="E112" s="5">
        <f>0.0091*0.85</f>
        <v>7.7350000000000006E-3</v>
      </c>
      <c r="F112" s="3">
        <f>F107*E112</f>
        <v>1.2654460000000001</v>
      </c>
    </row>
    <row r="113" spans="1:6">
      <c r="A113" s="22"/>
      <c r="B113" s="21"/>
      <c r="C113" s="21" t="s">
        <v>19</v>
      </c>
      <c r="D113" s="20"/>
      <c r="E113" s="3"/>
      <c r="F113" s="3"/>
    </row>
    <row r="114" spans="1:6" ht="66">
      <c r="A114" s="22"/>
      <c r="B114" s="21" t="s">
        <v>114</v>
      </c>
      <c r="C114" s="1" t="s">
        <v>39</v>
      </c>
      <c r="D114" s="20" t="s">
        <v>16</v>
      </c>
      <c r="E114" s="3"/>
      <c r="F114" s="3">
        <v>163.6</v>
      </c>
    </row>
    <row r="115" spans="1:6">
      <c r="A115" s="22"/>
      <c r="B115" s="21"/>
      <c r="C115" s="1" t="s">
        <v>20</v>
      </c>
      <c r="D115" s="20" t="s">
        <v>16</v>
      </c>
      <c r="E115" s="3">
        <v>7.0000000000000007E-2</v>
      </c>
      <c r="F115" s="3">
        <f>F107*E115</f>
        <v>11.452</v>
      </c>
    </row>
    <row r="116" spans="1:6" ht="49.5">
      <c r="A116" s="22">
        <v>2</v>
      </c>
      <c r="B116" s="10" t="s">
        <v>113</v>
      </c>
      <c r="C116" s="38" t="s">
        <v>141</v>
      </c>
      <c r="D116" s="10" t="s">
        <v>15</v>
      </c>
      <c r="E116" s="11"/>
      <c r="F116" s="47">
        <v>261.8</v>
      </c>
    </row>
    <row r="117" spans="1:6">
      <c r="A117" s="22"/>
      <c r="B117" s="10"/>
      <c r="C117" s="8" t="s">
        <v>40</v>
      </c>
      <c r="D117" s="10"/>
      <c r="E117" s="11"/>
      <c r="F117" s="12"/>
    </row>
    <row r="118" spans="1:6" ht="66">
      <c r="A118" s="22">
        <v>1</v>
      </c>
      <c r="B118" s="2" t="s">
        <v>52</v>
      </c>
      <c r="C118" s="38" t="s">
        <v>62</v>
      </c>
      <c r="D118" s="20" t="s">
        <v>16</v>
      </c>
      <c r="E118" s="22"/>
      <c r="F118" s="4">
        <v>35</v>
      </c>
    </row>
    <row r="119" spans="1:6">
      <c r="A119" s="22"/>
      <c r="B119" s="21"/>
      <c r="C119" s="1" t="s">
        <v>17</v>
      </c>
      <c r="D119" s="20" t="s">
        <v>13</v>
      </c>
      <c r="E119" s="22">
        <v>2.48</v>
      </c>
      <c r="F119" s="3">
        <f>F118*E119</f>
        <v>86.8</v>
      </c>
    </row>
    <row r="120" spans="1:6" ht="33">
      <c r="A120" s="22">
        <v>2</v>
      </c>
      <c r="B120" s="2" t="s">
        <v>35</v>
      </c>
      <c r="C120" s="1" t="s">
        <v>38</v>
      </c>
      <c r="D120" s="20" t="s">
        <v>16</v>
      </c>
      <c r="E120" s="22"/>
      <c r="F120" s="3">
        <v>35</v>
      </c>
    </row>
    <row r="121" spans="1:6">
      <c r="A121" s="22"/>
      <c r="B121" s="21"/>
      <c r="C121" s="1" t="s">
        <v>17</v>
      </c>
      <c r="D121" s="20" t="s">
        <v>13</v>
      </c>
      <c r="E121" s="5">
        <v>1.3915</v>
      </c>
      <c r="F121" s="3">
        <f>F120*E121</f>
        <v>48.702500000000001</v>
      </c>
    </row>
    <row r="122" spans="1:6" ht="49.5">
      <c r="A122" s="22">
        <v>3</v>
      </c>
      <c r="B122" s="10" t="s">
        <v>113</v>
      </c>
      <c r="C122" s="38" t="s">
        <v>63</v>
      </c>
      <c r="D122" s="10" t="s">
        <v>15</v>
      </c>
      <c r="E122" s="11"/>
      <c r="F122" s="47">
        <v>64.8</v>
      </c>
    </row>
    <row r="123" spans="1:6" ht="148.5">
      <c r="A123" s="22">
        <v>4</v>
      </c>
      <c r="B123" s="15" t="s">
        <v>142</v>
      </c>
      <c r="C123" s="1" t="s">
        <v>89</v>
      </c>
      <c r="D123" s="20" t="s">
        <v>6</v>
      </c>
      <c r="E123" s="20"/>
      <c r="F123" s="39">
        <v>4.2999999999999997E-2</v>
      </c>
    </row>
    <row r="124" spans="1:6" ht="33">
      <c r="A124" s="20"/>
      <c r="B124" s="21"/>
      <c r="C124" s="1" t="s">
        <v>30</v>
      </c>
      <c r="D124" s="20" t="s">
        <v>13</v>
      </c>
      <c r="E124" s="47">
        <f>504*0.6</f>
        <v>302.39999999999998</v>
      </c>
      <c r="F124" s="47">
        <f>F123*E124</f>
        <v>13.003199999999998</v>
      </c>
    </row>
    <row r="125" spans="1:6">
      <c r="A125" s="20"/>
      <c r="B125" s="21"/>
      <c r="C125" s="1" t="s">
        <v>29</v>
      </c>
      <c r="D125" s="20" t="s">
        <v>13</v>
      </c>
      <c r="E125" s="47">
        <f>158.5*0.98*0.6</f>
        <v>93.197999999999993</v>
      </c>
      <c r="F125" s="47">
        <f>F123*E125</f>
        <v>4.0075139999999996</v>
      </c>
    </row>
    <row r="126" spans="1:6">
      <c r="A126" s="20"/>
      <c r="B126" s="21"/>
      <c r="C126" s="18" t="s">
        <v>23</v>
      </c>
      <c r="D126" s="17" t="s">
        <v>0</v>
      </c>
      <c r="E126" s="47">
        <f>480.77*0.98*0.6</f>
        <v>282.69275999999996</v>
      </c>
      <c r="F126" s="47">
        <f>F123*E126</f>
        <v>12.155788679999997</v>
      </c>
    </row>
    <row r="127" spans="1:6" ht="66">
      <c r="A127" s="22">
        <v>5</v>
      </c>
      <c r="B127" s="15" t="s">
        <v>146</v>
      </c>
      <c r="C127" s="1" t="s">
        <v>65</v>
      </c>
      <c r="D127" s="20" t="s">
        <v>6</v>
      </c>
      <c r="E127" s="20"/>
      <c r="F127" s="39">
        <v>1.4E-2</v>
      </c>
    </row>
    <row r="128" spans="1:6" ht="33">
      <c r="A128" s="20"/>
      <c r="B128" s="21"/>
      <c r="C128" s="1" t="s">
        <v>30</v>
      </c>
      <c r="D128" s="20" t="s">
        <v>13</v>
      </c>
      <c r="E128" s="47">
        <f>504</f>
        <v>504</v>
      </c>
      <c r="F128" s="47">
        <f>F127*E128</f>
        <v>7.056</v>
      </c>
    </row>
    <row r="129" spans="1:6">
      <c r="A129" s="20"/>
      <c r="B129" s="21"/>
      <c r="C129" s="1" t="s">
        <v>29</v>
      </c>
      <c r="D129" s="20" t="s">
        <v>13</v>
      </c>
      <c r="E129" s="47">
        <f>158.5*0.98</f>
        <v>155.32999999999998</v>
      </c>
      <c r="F129" s="47">
        <f>F127*E129</f>
        <v>2.17462</v>
      </c>
    </row>
    <row r="130" spans="1:6">
      <c r="A130" s="20"/>
      <c r="B130" s="21"/>
      <c r="C130" s="18" t="s">
        <v>23</v>
      </c>
      <c r="D130" s="17" t="s">
        <v>0</v>
      </c>
      <c r="E130" s="47">
        <f>480.77*0.98</f>
        <v>471.15459999999996</v>
      </c>
      <c r="F130" s="47">
        <f>F127*E130</f>
        <v>6.5961643999999993</v>
      </c>
    </row>
    <row r="131" spans="1:6">
      <c r="A131" s="20"/>
      <c r="B131" s="21"/>
      <c r="C131" s="21" t="s">
        <v>19</v>
      </c>
      <c r="D131" s="20"/>
      <c r="E131" s="47"/>
      <c r="F131" s="47"/>
    </row>
    <row r="132" spans="1:6">
      <c r="A132" s="20"/>
      <c r="B132" s="21" t="s">
        <v>143</v>
      </c>
      <c r="C132" s="1" t="s">
        <v>66</v>
      </c>
      <c r="D132" s="20" t="s">
        <v>64</v>
      </c>
      <c r="E132" s="47">
        <v>1004</v>
      </c>
      <c r="F132" s="47">
        <f>F127*E132</f>
        <v>14.056000000000001</v>
      </c>
    </row>
    <row r="133" spans="1:6">
      <c r="A133" s="20"/>
      <c r="B133" s="21"/>
      <c r="C133" s="1" t="s">
        <v>25</v>
      </c>
      <c r="D133" s="20" t="s">
        <v>0</v>
      </c>
      <c r="E133" s="47">
        <v>173.1</v>
      </c>
      <c r="F133" s="47">
        <f>F127*E133</f>
        <v>2.4234</v>
      </c>
    </row>
    <row r="134" spans="1:6" ht="49.5">
      <c r="A134" s="22">
        <v>6</v>
      </c>
      <c r="B134" s="10" t="s">
        <v>113</v>
      </c>
      <c r="C134" s="38" t="s">
        <v>144</v>
      </c>
      <c r="D134" s="10" t="s">
        <v>15</v>
      </c>
      <c r="E134" s="11"/>
      <c r="F134" s="39">
        <v>0.98199999999999998</v>
      </c>
    </row>
    <row r="135" spans="1:6" ht="66">
      <c r="A135" s="22">
        <v>7</v>
      </c>
      <c r="B135" s="15" t="s">
        <v>147</v>
      </c>
      <c r="C135" s="1" t="s">
        <v>68</v>
      </c>
      <c r="D135" s="20" t="s">
        <v>67</v>
      </c>
      <c r="E135" s="20"/>
      <c r="F135" s="47">
        <v>0.7</v>
      </c>
    </row>
    <row r="136" spans="1:6" ht="33">
      <c r="A136" s="20"/>
      <c r="B136" s="21"/>
      <c r="C136" s="1" t="s">
        <v>30</v>
      </c>
      <c r="D136" s="20" t="s">
        <v>13</v>
      </c>
      <c r="E136" s="47">
        <v>10.199999999999999</v>
      </c>
      <c r="F136" s="47">
        <f>F135*E136</f>
        <v>7.1399999999999988</v>
      </c>
    </row>
    <row r="137" spans="1:6">
      <c r="A137" s="20"/>
      <c r="B137" s="21"/>
      <c r="C137" s="1" t="s">
        <v>29</v>
      </c>
      <c r="D137" s="20" t="s">
        <v>13</v>
      </c>
      <c r="E137" s="47">
        <f>2.79*0.9</f>
        <v>2.5110000000000001</v>
      </c>
      <c r="F137" s="47">
        <f>F135*E137</f>
        <v>1.7577</v>
      </c>
    </row>
    <row r="138" spans="1:6">
      <c r="A138" s="20"/>
      <c r="B138" s="21"/>
      <c r="C138" s="1" t="s">
        <v>23</v>
      </c>
      <c r="D138" s="20" t="s">
        <v>0</v>
      </c>
      <c r="E138" s="47">
        <f>8.46*0.9</f>
        <v>7.6140000000000008</v>
      </c>
      <c r="F138" s="47">
        <f>F135*E138</f>
        <v>5.3298000000000005</v>
      </c>
    </row>
    <row r="139" spans="1:6">
      <c r="A139" s="20"/>
      <c r="B139" s="21"/>
      <c r="C139" s="21" t="s">
        <v>19</v>
      </c>
      <c r="D139" s="20"/>
      <c r="E139" s="47"/>
      <c r="F139" s="47"/>
    </row>
    <row r="140" spans="1:6" ht="66">
      <c r="A140" s="20"/>
      <c r="B140" s="21" t="s">
        <v>114</v>
      </c>
      <c r="C140" s="1" t="s">
        <v>41</v>
      </c>
      <c r="D140" s="20" t="s">
        <v>16</v>
      </c>
      <c r="E140" s="47">
        <v>12.5</v>
      </c>
      <c r="F140" s="47">
        <f>F135*E140</f>
        <v>8.75</v>
      </c>
    </row>
    <row r="141" spans="1:6" ht="49.5">
      <c r="A141" s="22">
        <v>8</v>
      </c>
      <c r="B141" s="10" t="s">
        <v>113</v>
      </c>
      <c r="C141" s="38" t="s">
        <v>145</v>
      </c>
      <c r="D141" s="10" t="s">
        <v>15</v>
      </c>
      <c r="E141" s="11"/>
      <c r="F141" s="47">
        <v>11.2</v>
      </c>
    </row>
    <row r="142" spans="1:6" ht="66">
      <c r="A142" s="22">
        <v>9</v>
      </c>
      <c r="B142" s="2" t="s">
        <v>148</v>
      </c>
      <c r="C142" s="1" t="s">
        <v>150</v>
      </c>
      <c r="D142" s="20" t="s">
        <v>36</v>
      </c>
      <c r="E142" s="22"/>
      <c r="F142" s="7">
        <v>0.104</v>
      </c>
    </row>
    <row r="143" spans="1:6" ht="33">
      <c r="A143" s="22"/>
      <c r="B143" s="21"/>
      <c r="C143" s="1" t="s">
        <v>30</v>
      </c>
      <c r="D143" s="20" t="s">
        <v>13</v>
      </c>
      <c r="E143" s="47">
        <v>16.600000000000001</v>
      </c>
      <c r="F143" s="3">
        <f>F142*E143</f>
        <v>1.7264000000000002</v>
      </c>
    </row>
    <row r="144" spans="1:6">
      <c r="A144" s="22"/>
      <c r="B144" s="21"/>
      <c r="C144" s="1" t="s">
        <v>29</v>
      </c>
      <c r="D144" s="20" t="s">
        <v>13</v>
      </c>
      <c r="E144" s="47">
        <f>48.1*0.99</f>
        <v>47.619</v>
      </c>
      <c r="F144" s="3">
        <f>F142*E144</f>
        <v>4.9523760000000001</v>
      </c>
    </row>
    <row r="145" spans="1:6" ht="33">
      <c r="A145" s="22"/>
      <c r="B145" s="21"/>
      <c r="C145" s="1" t="s">
        <v>149</v>
      </c>
      <c r="D145" s="20" t="s">
        <v>14</v>
      </c>
      <c r="E145" s="47">
        <f>36.1*0.99</f>
        <v>35.739000000000004</v>
      </c>
      <c r="F145" s="3">
        <f>F142*E145</f>
        <v>3.7168560000000004</v>
      </c>
    </row>
    <row r="146" spans="1:6" ht="49.5">
      <c r="A146" s="22">
        <v>10</v>
      </c>
      <c r="B146" s="10" t="s">
        <v>151</v>
      </c>
      <c r="C146" s="38" t="s">
        <v>69</v>
      </c>
      <c r="D146" s="10" t="s">
        <v>15</v>
      </c>
      <c r="E146" s="11"/>
      <c r="F146" s="47">
        <v>192.4</v>
      </c>
    </row>
    <row r="147" spans="1:6" ht="33">
      <c r="A147" s="22">
        <v>11</v>
      </c>
      <c r="B147" s="2" t="s">
        <v>52</v>
      </c>
      <c r="C147" s="1" t="s">
        <v>53</v>
      </c>
      <c r="D147" s="20" t="s">
        <v>16</v>
      </c>
      <c r="E147" s="22"/>
      <c r="F147" s="4">
        <v>10</v>
      </c>
    </row>
    <row r="148" spans="1:6">
      <c r="A148" s="22"/>
      <c r="B148" s="21"/>
      <c r="C148" s="1" t="s">
        <v>17</v>
      </c>
      <c r="D148" s="20" t="s">
        <v>13</v>
      </c>
      <c r="E148" s="22">
        <v>2.48</v>
      </c>
      <c r="F148" s="3">
        <f>F147*E148</f>
        <v>24.8</v>
      </c>
    </row>
    <row r="149" spans="1:6" ht="33">
      <c r="A149" s="22">
        <v>12</v>
      </c>
      <c r="B149" s="2" t="s">
        <v>35</v>
      </c>
      <c r="C149" s="1" t="s">
        <v>38</v>
      </c>
      <c r="D149" s="20" t="s">
        <v>16</v>
      </c>
      <c r="E149" s="22"/>
      <c r="F149" s="3">
        <v>10</v>
      </c>
    </row>
    <row r="150" spans="1:6">
      <c r="A150" s="22"/>
      <c r="B150" s="21"/>
      <c r="C150" s="1" t="s">
        <v>17</v>
      </c>
      <c r="D150" s="20" t="s">
        <v>13</v>
      </c>
      <c r="E150" s="5">
        <v>1.3915</v>
      </c>
      <c r="F150" s="3">
        <f>F149*E150</f>
        <v>13.914999999999999</v>
      </c>
    </row>
    <row r="151" spans="1:6" ht="49.5">
      <c r="A151" s="22">
        <v>13</v>
      </c>
      <c r="B151" s="10" t="s">
        <v>113</v>
      </c>
      <c r="C151" s="38" t="s">
        <v>70</v>
      </c>
      <c r="D151" s="10" t="s">
        <v>15</v>
      </c>
      <c r="E151" s="11"/>
      <c r="F151" s="47">
        <v>18.5</v>
      </c>
    </row>
    <row r="152" spans="1:6" ht="88.5">
      <c r="A152" s="22">
        <v>14</v>
      </c>
      <c r="B152" s="15" t="s">
        <v>153</v>
      </c>
      <c r="C152" s="38" t="s">
        <v>71</v>
      </c>
      <c r="D152" s="20" t="s">
        <v>6</v>
      </c>
      <c r="E152" s="20"/>
      <c r="F152" s="39">
        <v>0.02</v>
      </c>
    </row>
    <row r="153" spans="1:6" ht="33">
      <c r="A153" s="20"/>
      <c r="B153" s="21"/>
      <c r="C153" s="1" t="s">
        <v>30</v>
      </c>
      <c r="D153" s="20" t="s">
        <v>13</v>
      </c>
      <c r="E153" s="47">
        <v>662</v>
      </c>
      <c r="F153" s="47">
        <f>F152*E153</f>
        <v>13.24</v>
      </c>
    </row>
    <row r="154" spans="1:6">
      <c r="A154" s="20"/>
      <c r="B154" s="21"/>
      <c r="C154" s="1" t="s">
        <v>29</v>
      </c>
      <c r="D154" s="20" t="s">
        <v>13</v>
      </c>
      <c r="E154" s="47">
        <f>213.34*0.98</f>
        <v>209.07319999999999</v>
      </c>
      <c r="F154" s="47">
        <f>F152*E154</f>
        <v>4.1814640000000001</v>
      </c>
    </row>
    <row r="155" spans="1:6">
      <c r="A155" s="20"/>
      <c r="B155" s="21"/>
      <c r="C155" s="18" t="s">
        <v>23</v>
      </c>
      <c r="D155" s="17" t="s">
        <v>0</v>
      </c>
      <c r="E155" s="47">
        <f>647.14*0.98</f>
        <v>634.19719999999995</v>
      </c>
      <c r="F155" s="47">
        <f>F152*E155</f>
        <v>12.683943999999999</v>
      </c>
    </row>
    <row r="156" spans="1:6">
      <c r="A156" s="20"/>
      <c r="B156" s="21"/>
      <c r="C156" s="21" t="s">
        <v>19</v>
      </c>
      <c r="D156" s="20"/>
      <c r="E156" s="47"/>
      <c r="F156" s="47"/>
    </row>
    <row r="157" spans="1:6">
      <c r="A157" s="20"/>
      <c r="B157" s="21" t="s">
        <v>152</v>
      </c>
      <c r="C157" s="1" t="s">
        <v>72</v>
      </c>
      <c r="D157" s="20" t="s">
        <v>64</v>
      </c>
      <c r="E157" s="47">
        <v>1004</v>
      </c>
      <c r="F157" s="47">
        <f>F152*E157</f>
        <v>20.080000000000002</v>
      </c>
    </row>
    <row r="158" spans="1:6">
      <c r="A158" s="20"/>
      <c r="B158" s="21"/>
      <c r="C158" s="1" t="s">
        <v>25</v>
      </c>
      <c r="D158" s="20" t="s">
        <v>0</v>
      </c>
      <c r="E158" s="47">
        <v>212.66</v>
      </c>
      <c r="F158" s="47">
        <f>F152*E158</f>
        <v>4.2531999999999996</v>
      </c>
    </row>
    <row r="159" spans="1:6" ht="49.5">
      <c r="A159" s="22">
        <v>15</v>
      </c>
      <c r="B159" s="10" t="s">
        <v>113</v>
      </c>
      <c r="C159" s="38" t="s">
        <v>144</v>
      </c>
      <c r="D159" s="10" t="s">
        <v>15</v>
      </c>
      <c r="E159" s="11"/>
      <c r="F159" s="39">
        <v>2.056</v>
      </c>
    </row>
    <row r="160" spans="1:6" ht="88.5">
      <c r="A160" s="22">
        <v>16</v>
      </c>
      <c r="B160" s="15" t="s">
        <v>154</v>
      </c>
      <c r="C160" s="38" t="s">
        <v>73</v>
      </c>
      <c r="D160" s="20" t="s">
        <v>6</v>
      </c>
      <c r="E160" s="20"/>
      <c r="F160" s="39">
        <v>0.06</v>
      </c>
    </row>
    <row r="161" spans="1:6" ht="33">
      <c r="A161" s="20"/>
      <c r="B161" s="21"/>
      <c r="C161" s="1" t="s">
        <v>30</v>
      </c>
      <c r="D161" s="20" t="s">
        <v>13</v>
      </c>
      <c r="E161" s="47">
        <v>857</v>
      </c>
      <c r="F161" s="47">
        <f>F160*E161</f>
        <v>51.419999999999995</v>
      </c>
    </row>
    <row r="162" spans="1:6">
      <c r="A162" s="20"/>
      <c r="B162" s="21"/>
      <c r="C162" s="1" t="s">
        <v>29</v>
      </c>
      <c r="D162" s="20" t="s">
        <v>13</v>
      </c>
      <c r="E162" s="47">
        <f>271.21*0.98</f>
        <v>265.78579999999999</v>
      </c>
      <c r="F162" s="47">
        <f>F160*E162</f>
        <v>15.947147999999999</v>
      </c>
    </row>
    <row r="163" spans="1:6">
      <c r="A163" s="20"/>
      <c r="B163" s="21"/>
      <c r="C163" s="18" t="s">
        <v>23</v>
      </c>
      <c r="D163" s="17" t="s">
        <v>0</v>
      </c>
      <c r="E163" s="47">
        <f>822.68*0.98</f>
        <v>806.2263999999999</v>
      </c>
      <c r="F163" s="47">
        <f>F160*E163</f>
        <v>48.373583999999994</v>
      </c>
    </row>
    <row r="164" spans="1:6">
      <c r="A164" s="20"/>
      <c r="B164" s="21"/>
      <c r="C164" s="21" t="s">
        <v>19</v>
      </c>
      <c r="D164" s="20"/>
      <c r="E164" s="47"/>
      <c r="F164" s="47"/>
    </row>
    <row r="165" spans="1:6">
      <c r="A165" s="20"/>
      <c r="B165" s="21" t="s">
        <v>155</v>
      </c>
      <c r="C165" s="1" t="s">
        <v>74</v>
      </c>
      <c r="D165" s="20" t="s">
        <v>64</v>
      </c>
      <c r="E165" s="47">
        <v>1004</v>
      </c>
      <c r="F165" s="47">
        <f>F160*E165</f>
        <v>60.239999999999995</v>
      </c>
    </row>
    <row r="166" spans="1:6">
      <c r="A166" s="20"/>
      <c r="B166" s="21"/>
      <c r="C166" s="1" t="s">
        <v>25</v>
      </c>
      <c r="D166" s="20" t="s">
        <v>0</v>
      </c>
      <c r="E166" s="47">
        <v>235.35</v>
      </c>
      <c r="F166" s="47">
        <f>F160*E166</f>
        <v>14.120999999999999</v>
      </c>
    </row>
    <row r="167" spans="1:6" ht="49.5">
      <c r="A167" s="22">
        <v>17</v>
      </c>
      <c r="B167" s="10" t="s">
        <v>113</v>
      </c>
      <c r="C167" s="38" t="s">
        <v>144</v>
      </c>
      <c r="D167" s="10" t="s">
        <v>15</v>
      </c>
      <c r="E167" s="11"/>
      <c r="F167" s="39">
        <v>9.2880000000000003</v>
      </c>
    </row>
    <row r="168" spans="1:6" ht="66">
      <c r="A168" s="22">
        <v>18</v>
      </c>
      <c r="B168" s="15" t="s">
        <v>156</v>
      </c>
      <c r="C168" s="1" t="s">
        <v>75</v>
      </c>
      <c r="D168" s="20" t="s">
        <v>6</v>
      </c>
      <c r="E168" s="20"/>
      <c r="F168" s="39">
        <v>0.01</v>
      </c>
    </row>
    <row r="169" spans="1:6" ht="33">
      <c r="A169" s="20"/>
      <c r="B169" s="21"/>
      <c r="C169" s="1" t="s">
        <v>30</v>
      </c>
      <c r="D169" s="20" t="s">
        <v>13</v>
      </c>
      <c r="E169" s="47">
        <v>1800</v>
      </c>
      <c r="F169" s="47">
        <f>F168*E169</f>
        <v>18</v>
      </c>
    </row>
    <row r="170" spans="1:6">
      <c r="A170" s="20"/>
      <c r="B170" s="21"/>
      <c r="C170" s="1" t="s">
        <v>29</v>
      </c>
      <c r="D170" s="20" t="s">
        <v>13</v>
      </c>
      <c r="E170" s="47">
        <f>757.93*0.98</f>
        <v>742.77139999999997</v>
      </c>
      <c r="F170" s="47">
        <f>F168*E170</f>
        <v>7.4277139999999999</v>
      </c>
    </row>
    <row r="171" spans="1:6">
      <c r="A171" s="20"/>
      <c r="B171" s="21"/>
      <c r="C171" s="18" t="s">
        <v>23</v>
      </c>
      <c r="D171" s="17" t="s">
        <v>0</v>
      </c>
      <c r="E171" s="47">
        <f>2299.05*0.98</f>
        <v>2253.069</v>
      </c>
      <c r="F171" s="47">
        <f>F168*E171</f>
        <v>22.53069</v>
      </c>
    </row>
    <row r="172" spans="1:6">
      <c r="A172" s="20"/>
      <c r="B172" s="21"/>
      <c r="C172" s="21" t="s">
        <v>19</v>
      </c>
      <c r="D172" s="20"/>
      <c r="E172" s="47"/>
      <c r="F172" s="47"/>
    </row>
    <row r="173" spans="1:6">
      <c r="A173" s="20"/>
      <c r="B173" s="21" t="s">
        <v>157</v>
      </c>
      <c r="C173" s="1" t="s">
        <v>76</v>
      </c>
      <c r="D173" s="20" t="s">
        <v>64</v>
      </c>
      <c r="E173" s="47">
        <v>1004</v>
      </c>
      <c r="F173" s="47">
        <f>F168*E173</f>
        <v>10.040000000000001</v>
      </c>
    </row>
    <row r="174" spans="1:6">
      <c r="A174" s="20"/>
      <c r="B174" s="21"/>
      <c r="C174" s="1" t="s">
        <v>25</v>
      </c>
      <c r="D174" s="20" t="s">
        <v>0</v>
      </c>
      <c r="E174" s="47">
        <v>327.98</v>
      </c>
      <c r="F174" s="47">
        <f>F168*E174</f>
        <v>3.2798000000000003</v>
      </c>
    </row>
    <row r="175" spans="1:6" ht="49.5">
      <c r="A175" s="22">
        <v>19</v>
      </c>
      <c r="B175" s="10" t="s">
        <v>113</v>
      </c>
      <c r="C175" s="38" t="s">
        <v>144</v>
      </c>
      <c r="D175" s="10" t="s">
        <v>15</v>
      </c>
      <c r="E175" s="11"/>
      <c r="F175" s="39">
        <v>2.4900000000000002</v>
      </c>
    </row>
    <row r="176" spans="1:6" ht="66">
      <c r="A176" s="22">
        <v>20</v>
      </c>
      <c r="B176" s="9" t="s">
        <v>164</v>
      </c>
      <c r="C176" s="1" t="s">
        <v>77</v>
      </c>
      <c r="D176" s="20" t="s">
        <v>34</v>
      </c>
      <c r="E176" s="20"/>
      <c r="F176" s="39">
        <v>0.224</v>
      </c>
    </row>
    <row r="177" spans="1:6" ht="33">
      <c r="A177" s="20"/>
      <c r="B177" s="21"/>
      <c r="C177" s="1" t="s">
        <v>30</v>
      </c>
      <c r="D177" s="20" t="s">
        <v>13</v>
      </c>
      <c r="E177" s="47">
        <v>255</v>
      </c>
      <c r="F177" s="47">
        <f>F176*E177</f>
        <v>57.120000000000005</v>
      </c>
    </row>
    <row r="178" spans="1:6">
      <c r="A178" s="20"/>
      <c r="B178" s="21"/>
      <c r="C178" s="1" t="s">
        <v>29</v>
      </c>
      <c r="D178" s="20" t="s">
        <v>13</v>
      </c>
      <c r="E178" s="47">
        <f>43.4*0.95</f>
        <v>41.23</v>
      </c>
      <c r="F178" s="47">
        <f>F176*E178</f>
        <v>9.2355199999999993</v>
      </c>
    </row>
    <row r="179" spans="1:6" ht="33">
      <c r="A179" s="20"/>
      <c r="B179" s="21" t="s">
        <v>165</v>
      </c>
      <c r="C179" s="18" t="s">
        <v>158</v>
      </c>
      <c r="D179" s="17" t="s">
        <v>43</v>
      </c>
      <c r="E179" s="47">
        <f>43.4*0.95</f>
        <v>41.23</v>
      </c>
      <c r="F179" s="47">
        <f>F176*E179</f>
        <v>9.2355199999999993</v>
      </c>
    </row>
    <row r="180" spans="1:6">
      <c r="A180" s="20"/>
      <c r="B180" s="21"/>
      <c r="C180" s="21" t="s">
        <v>19</v>
      </c>
      <c r="D180" s="20"/>
      <c r="E180" s="47"/>
      <c r="F180" s="47"/>
    </row>
    <row r="181" spans="1:6">
      <c r="A181" s="20"/>
      <c r="B181" s="21" t="s">
        <v>166</v>
      </c>
      <c r="C181" s="1" t="s">
        <v>78</v>
      </c>
      <c r="D181" s="20" t="s">
        <v>16</v>
      </c>
      <c r="E181" s="47">
        <v>102</v>
      </c>
      <c r="F181" s="47">
        <f>F176*E181</f>
        <v>22.847999999999999</v>
      </c>
    </row>
    <row r="182" spans="1:6">
      <c r="A182" s="20"/>
      <c r="B182" s="21" t="s">
        <v>167</v>
      </c>
      <c r="C182" s="1" t="s">
        <v>159</v>
      </c>
      <c r="D182" s="20" t="s">
        <v>16</v>
      </c>
      <c r="E182" s="47">
        <v>0.97</v>
      </c>
      <c r="F182" s="47">
        <f>E182*F176</f>
        <v>0.21728</v>
      </c>
    </row>
    <row r="183" spans="1:6">
      <c r="A183" s="20"/>
      <c r="B183" s="21" t="s">
        <v>168</v>
      </c>
      <c r="C183" s="1" t="s">
        <v>160</v>
      </c>
      <c r="D183" s="20" t="s">
        <v>16</v>
      </c>
      <c r="E183" s="47">
        <v>1.1399999999999999</v>
      </c>
      <c r="F183" s="47">
        <f>E183*F176</f>
        <v>0.25535999999999998</v>
      </c>
    </row>
    <row r="184" spans="1:6" ht="33">
      <c r="A184" s="20"/>
      <c r="B184" s="21" t="s">
        <v>169</v>
      </c>
      <c r="C184" s="1" t="s">
        <v>161</v>
      </c>
      <c r="D184" s="20" t="s">
        <v>16</v>
      </c>
      <c r="E184" s="47">
        <v>1.37</v>
      </c>
      <c r="F184" s="47">
        <f>F176*E184</f>
        <v>0.30688000000000004</v>
      </c>
    </row>
    <row r="185" spans="1:6" ht="33">
      <c r="A185" s="20"/>
      <c r="B185" s="21" t="s">
        <v>170</v>
      </c>
      <c r="C185" s="1" t="s">
        <v>162</v>
      </c>
      <c r="D185" s="20" t="s">
        <v>16</v>
      </c>
      <c r="E185" s="47">
        <v>0.22</v>
      </c>
      <c r="F185" s="47">
        <f>F176*E185</f>
        <v>4.9280000000000004E-2</v>
      </c>
    </row>
    <row r="186" spans="1:6">
      <c r="A186" s="20"/>
      <c r="B186" s="21" t="s">
        <v>171</v>
      </c>
      <c r="C186" s="1" t="s">
        <v>163</v>
      </c>
      <c r="D186" s="20" t="s">
        <v>15</v>
      </c>
      <c r="E186" s="39">
        <v>2.5000000000000001E-2</v>
      </c>
      <c r="F186" s="39">
        <f>E186*F176</f>
        <v>5.6000000000000008E-3</v>
      </c>
    </row>
    <row r="187" spans="1:6">
      <c r="A187" s="20"/>
      <c r="B187" s="21"/>
      <c r="C187" s="1" t="s">
        <v>25</v>
      </c>
      <c r="D187" s="20" t="s">
        <v>0</v>
      </c>
      <c r="E187" s="47">
        <v>76.260000000000005</v>
      </c>
      <c r="F187" s="47">
        <f>F176*E187</f>
        <v>17.082240000000002</v>
      </c>
    </row>
    <row r="188" spans="1:6" ht="49.5">
      <c r="A188" s="22">
        <v>21</v>
      </c>
      <c r="B188" s="10" t="s">
        <v>113</v>
      </c>
      <c r="C188" s="38" t="s">
        <v>172</v>
      </c>
      <c r="D188" s="10" t="s">
        <v>15</v>
      </c>
      <c r="E188" s="11"/>
      <c r="F188" s="47">
        <v>54.84</v>
      </c>
    </row>
    <row r="189" spans="1:6" ht="33">
      <c r="A189" s="22">
        <v>22</v>
      </c>
      <c r="B189" s="9" t="s">
        <v>173</v>
      </c>
      <c r="C189" s="1" t="s">
        <v>80</v>
      </c>
      <c r="D189" s="21" t="s">
        <v>16</v>
      </c>
      <c r="E189" s="13"/>
      <c r="F189" s="62">
        <v>4.62</v>
      </c>
    </row>
    <row r="190" spans="1:6">
      <c r="A190" s="20"/>
      <c r="B190" s="21"/>
      <c r="C190" s="1" t="s">
        <v>17</v>
      </c>
      <c r="D190" s="20" t="s">
        <v>13</v>
      </c>
      <c r="E190" s="47">
        <v>36.9</v>
      </c>
      <c r="F190" s="47">
        <f>F189*E190</f>
        <v>170.47800000000001</v>
      </c>
    </row>
    <row r="191" spans="1:6">
      <c r="A191" s="20"/>
      <c r="B191" s="21" t="s">
        <v>176</v>
      </c>
      <c r="C191" s="18" t="s">
        <v>174</v>
      </c>
      <c r="D191" s="17" t="s">
        <v>43</v>
      </c>
      <c r="E191" s="47">
        <v>7.3</v>
      </c>
      <c r="F191" s="47">
        <f>F189*E191</f>
        <v>33.725999999999999</v>
      </c>
    </row>
    <row r="192" spans="1:6">
      <c r="A192" s="20"/>
      <c r="B192" s="21"/>
      <c r="C192" s="1" t="s">
        <v>23</v>
      </c>
      <c r="D192" s="20" t="s">
        <v>0</v>
      </c>
      <c r="E192" s="47">
        <v>2.7</v>
      </c>
      <c r="F192" s="47">
        <f>E192*F189</f>
        <v>12.474000000000002</v>
      </c>
    </row>
    <row r="193" spans="1:6">
      <c r="A193" s="14"/>
      <c r="B193" s="14"/>
      <c r="C193" s="21" t="s">
        <v>19</v>
      </c>
      <c r="D193" s="20"/>
      <c r="E193" s="47"/>
      <c r="F193" s="47"/>
    </row>
    <row r="194" spans="1:6">
      <c r="A194" s="14"/>
      <c r="B194" s="14"/>
      <c r="C194" s="1" t="s">
        <v>81</v>
      </c>
      <c r="D194" s="20" t="s">
        <v>79</v>
      </c>
      <c r="E194" s="47"/>
      <c r="F194" s="47">
        <v>6</v>
      </c>
    </row>
    <row r="195" spans="1:6">
      <c r="A195" s="20"/>
      <c r="B195" s="21"/>
      <c r="C195" s="1" t="s">
        <v>25</v>
      </c>
      <c r="D195" s="20" t="s">
        <v>0</v>
      </c>
      <c r="E195" s="47">
        <v>29.4</v>
      </c>
      <c r="F195" s="47">
        <f>F189*E195</f>
        <v>135.828</v>
      </c>
    </row>
    <row r="196" spans="1:6" ht="49.5">
      <c r="A196" s="22">
        <v>23</v>
      </c>
      <c r="B196" s="10" t="s">
        <v>113</v>
      </c>
      <c r="C196" s="38" t="s">
        <v>175</v>
      </c>
      <c r="D196" s="10" t="s">
        <v>15</v>
      </c>
      <c r="E196" s="11"/>
      <c r="F196" s="47">
        <v>11.1</v>
      </c>
    </row>
    <row r="197" spans="1:6" ht="66">
      <c r="A197" s="22">
        <v>24</v>
      </c>
      <c r="B197" s="9" t="s">
        <v>177</v>
      </c>
      <c r="C197" s="1" t="s">
        <v>82</v>
      </c>
      <c r="D197" s="20" t="s">
        <v>44</v>
      </c>
      <c r="E197" s="20"/>
      <c r="F197" s="47">
        <v>0.54</v>
      </c>
    </row>
    <row r="198" spans="1:6" ht="33">
      <c r="A198" s="20"/>
      <c r="B198" s="21"/>
      <c r="C198" s="1" t="s">
        <v>30</v>
      </c>
      <c r="D198" s="20" t="s">
        <v>13</v>
      </c>
      <c r="E198" s="47">
        <v>73.099999999999994</v>
      </c>
      <c r="F198" s="47">
        <f>F197*E198</f>
        <v>39.473999999999997</v>
      </c>
    </row>
    <row r="199" spans="1:6">
      <c r="A199" s="20"/>
      <c r="B199" s="21"/>
      <c r="C199" s="1" t="s">
        <v>29</v>
      </c>
      <c r="D199" s="20" t="s">
        <v>13</v>
      </c>
      <c r="E199" s="47">
        <f>0.39*0.99</f>
        <v>0.3861</v>
      </c>
      <c r="F199" s="47">
        <f>F197*E199</f>
        <v>0.20849400000000001</v>
      </c>
    </row>
    <row r="200" spans="1:6">
      <c r="A200" s="20"/>
      <c r="B200" s="21"/>
      <c r="C200" s="18" t="s">
        <v>23</v>
      </c>
      <c r="D200" s="17" t="s">
        <v>0</v>
      </c>
      <c r="E200" s="47">
        <f>1.18*0.99</f>
        <v>1.1681999999999999</v>
      </c>
      <c r="F200" s="47">
        <f>F197*E200</f>
        <v>0.63082799999999994</v>
      </c>
    </row>
    <row r="201" spans="1:6">
      <c r="A201" s="14"/>
      <c r="B201" s="14"/>
      <c r="C201" s="21" t="s">
        <v>19</v>
      </c>
      <c r="D201" s="20"/>
      <c r="E201" s="47"/>
      <c r="F201" s="47"/>
    </row>
    <row r="202" spans="1:6">
      <c r="A202" s="14"/>
      <c r="B202" s="20" t="s">
        <v>178</v>
      </c>
      <c r="C202" s="1" t="s">
        <v>83</v>
      </c>
      <c r="D202" s="20" t="s">
        <v>15</v>
      </c>
      <c r="E202" s="62">
        <f>0.0183+0.079+0.0119+0.0075+0.0001</f>
        <v>0.1168</v>
      </c>
      <c r="F202" s="47">
        <f>F197*E202</f>
        <v>6.3072000000000003E-2</v>
      </c>
    </row>
    <row r="203" spans="1:6">
      <c r="A203" s="14"/>
      <c r="B203" s="14"/>
      <c r="C203" s="1" t="s">
        <v>25</v>
      </c>
      <c r="D203" s="20" t="s">
        <v>0</v>
      </c>
      <c r="E203" s="47">
        <v>1.98</v>
      </c>
      <c r="F203" s="47">
        <f>F197*E203</f>
        <v>1.0692000000000002</v>
      </c>
    </row>
    <row r="204" spans="1:6" ht="82.5">
      <c r="A204" s="22">
        <v>25</v>
      </c>
      <c r="B204" s="9" t="s">
        <v>181</v>
      </c>
      <c r="C204" s="1" t="s">
        <v>85</v>
      </c>
      <c r="D204" s="21" t="s">
        <v>84</v>
      </c>
      <c r="E204" s="13"/>
      <c r="F204" s="39">
        <v>0.14299999999999999</v>
      </c>
    </row>
    <row r="205" spans="1:6" ht="33">
      <c r="A205" s="20"/>
      <c r="B205" s="21"/>
      <c r="C205" s="1" t="s">
        <v>30</v>
      </c>
      <c r="D205" s="20" t="s">
        <v>13</v>
      </c>
      <c r="E205" s="47">
        <v>270</v>
      </c>
      <c r="F205" s="47">
        <f>F204*E205</f>
        <v>38.61</v>
      </c>
    </row>
    <row r="206" spans="1:6">
      <c r="A206" s="20"/>
      <c r="B206" s="21"/>
      <c r="C206" s="1" t="s">
        <v>29</v>
      </c>
      <c r="D206" s="20" t="s">
        <v>13</v>
      </c>
      <c r="E206" s="47">
        <f>5.25*0.96</f>
        <v>5.04</v>
      </c>
      <c r="F206" s="47">
        <f>F204*E206</f>
        <v>0.72071999999999992</v>
      </c>
    </row>
    <row r="207" spans="1:6" ht="33">
      <c r="A207" s="20"/>
      <c r="B207" s="21" t="s">
        <v>182</v>
      </c>
      <c r="C207" s="18" t="s">
        <v>42</v>
      </c>
      <c r="D207" s="17" t="s">
        <v>43</v>
      </c>
      <c r="E207" s="47">
        <f>5.25*0.96</f>
        <v>5.04</v>
      </c>
      <c r="F207" s="47">
        <f>F204*E207</f>
        <v>0.72071999999999992</v>
      </c>
    </row>
    <row r="208" spans="1:6">
      <c r="A208" s="20"/>
      <c r="B208" s="21"/>
      <c r="C208" s="21" t="s">
        <v>19</v>
      </c>
      <c r="D208" s="20"/>
      <c r="E208" s="47"/>
      <c r="F208" s="47"/>
    </row>
    <row r="209" spans="1:6">
      <c r="A209" s="20"/>
      <c r="B209" s="21" t="s">
        <v>180</v>
      </c>
      <c r="C209" s="1" t="s">
        <v>86</v>
      </c>
      <c r="D209" s="20" t="s">
        <v>16</v>
      </c>
      <c r="E209" s="47">
        <v>103</v>
      </c>
      <c r="F209" s="47">
        <f>F204*E209</f>
        <v>14.728999999999999</v>
      </c>
    </row>
    <row r="210" spans="1:6" ht="49.5">
      <c r="A210" s="22">
        <v>26</v>
      </c>
      <c r="B210" s="10" t="s">
        <v>33</v>
      </c>
      <c r="C210" s="38" t="s">
        <v>179</v>
      </c>
      <c r="D210" s="10" t="s">
        <v>15</v>
      </c>
      <c r="E210" s="11"/>
      <c r="F210" s="47">
        <v>34.299999999999997</v>
      </c>
    </row>
    <row r="211" spans="1:6" ht="66">
      <c r="A211" s="22">
        <v>27</v>
      </c>
      <c r="B211" s="2" t="s">
        <v>183</v>
      </c>
      <c r="C211" s="38" t="s">
        <v>87</v>
      </c>
      <c r="D211" s="21" t="s">
        <v>16</v>
      </c>
      <c r="E211" s="3"/>
      <c r="F211" s="3">
        <v>52</v>
      </c>
    </row>
    <row r="212" spans="1:6" ht="16.5" customHeight="1">
      <c r="A212" s="22"/>
      <c r="B212" s="21"/>
      <c r="C212" s="1" t="s">
        <v>30</v>
      </c>
      <c r="D212" s="20" t="s">
        <v>13</v>
      </c>
      <c r="E212" s="7">
        <v>0.14399999999999999</v>
      </c>
      <c r="F212" s="3">
        <f>F211*E212</f>
        <v>7.4879999999999995</v>
      </c>
    </row>
    <row r="213" spans="1:6">
      <c r="A213" s="22"/>
      <c r="B213" s="21"/>
      <c r="C213" s="1" t="s">
        <v>29</v>
      </c>
      <c r="D213" s="20" t="s">
        <v>13</v>
      </c>
      <c r="E213" s="5">
        <f>0.0438*0.85</f>
        <v>3.7229999999999999E-2</v>
      </c>
      <c r="F213" s="3">
        <f>F211*E213</f>
        <v>1.9359599999999999</v>
      </c>
    </row>
    <row r="214" spans="1:6" ht="33">
      <c r="A214" s="22"/>
      <c r="B214" s="49" t="s">
        <v>98</v>
      </c>
      <c r="C214" s="18" t="s">
        <v>94</v>
      </c>
      <c r="D214" s="20" t="s">
        <v>14</v>
      </c>
      <c r="E214" s="5">
        <f>0.0155*0.85</f>
        <v>1.3174999999999999E-2</v>
      </c>
      <c r="F214" s="3">
        <f>F211*E214</f>
        <v>0.68509999999999993</v>
      </c>
    </row>
    <row r="215" spans="1:6">
      <c r="A215" s="22"/>
      <c r="B215" s="21" t="s">
        <v>111</v>
      </c>
      <c r="C215" s="1" t="s">
        <v>31</v>
      </c>
      <c r="D215" s="20" t="s">
        <v>14</v>
      </c>
      <c r="E215" s="5">
        <f>0.0164*0.85</f>
        <v>1.3940000000000001E-2</v>
      </c>
      <c r="F215" s="3">
        <f>E215*F211</f>
        <v>0.72488000000000008</v>
      </c>
    </row>
    <row r="216" spans="1:6">
      <c r="A216" s="22"/>
      <c r="B216" s="21" t="s">
        <v>110</v>
      </c>
      <c r="C216" s="1" t="s">
        <v>18</v>
      </c>
      <c r="D216" s="20" t="s">
        <v>14</v>
      </c>
      <c r="E216" s="5">
        <f>0.0091*0.85</f>
        <v>7.7350000000000006E-3</v>
      </c>
      <c r="F216" s="3">
        <f>F211*E216</f>
        <v>0.40222000000000002</v>
      </c>
    </row>
    <row r="217" spans="1:6">
      <c r="A217" s="22"/>
      <c r="B217" s="21"/>
      <c r="C217" s="21" t="s">
        <v>19</v>
      </c>
      <c r="D217" s="20"/>
      <c r="E217" s="3"/>
      <c r="F217" s="3"/>
    </row>
    <row r="218" spans="1:6" ht="66">
      <c r="A218" s="22"/>
      <c r="B218" s="21" t="s">
        <v>114</v>
      </c>
      <c r="C218" s="1" t="s">
        <v>39</v>
      </c>
      <c r="D218" s="20" t="s">
        <v>16</v>
      </c>
      <c r="E218" s="3"/>
      <c r="F218" s="3">
        <v>52</v>
      </c>
    </row>
    <row r="219" spans="1:6">
      <c r="A219" s="22"/>
      <c r="B219" s="21"/>
      <c r="C219" s="1" t="s">
        <v>20</v>
      </c>
      <c r="D219" s="20" t="s">
        <v>16</v>
      </c>
      <c r="E219" s="3">
        <v>7.0000000000000007E-2</v>
      </c>
      <c r="F219" s="3">
        <f>F211*E219</f>
        <v>3.6400000000000006</v>
      </c>
    </row>
    <row r="220" spans="1:6" ht="49.5">
      <c r="A220" s="22">
        <v>28</v>
      </c>
      <c r="B220" s="10" t="s">
        <v>113</v>
      </c>
      <c r="C220" s="38" t="s">
        <v>184</v>
      </c>
      <c r="D220" s="10" t="s">
        <v>15</v>
      </c>
      <c r="E220" s="11"/>
      <c r="F220" s="47">
        <v>83.2</v>
      </c>
    </row>
    <row r="221" spans="1:6" ht="33">
      <c r="A221" s="22"/>
      <c r="B221" s="10"/>
      <c r="C221" s="8" t="s">
        <v>91</v>
      </c>
      <c r="D221" s="10"/>
      <c r="E221" s="11"/>
      <c r="F221" s="12"/>
    </row>
    <row r="222" spans="1:6" ht="66">
      <c r="A222" s="22">
        <v>1</v>
      </c>
      <c r="B222" s="2" t="s">
        <v>183</v>
      </c>
      <c r="C222" s="38" t="s">
        <v>92</v>
      </c>
      <c r="D222" s="21" t="s">
        <v>16</v>
      </c>
      <c r="E222" s="3"/>
      <c r="F222" s="3">
        <v>161</v>
      </c>
    </row>
    <row r="223" spans="1:6" ht="16.5" customHeight="1">
      <c r="A223" s="22"/>
      <c r="B223" s="21"/>
      <c r="C223" s="1" t="s">
        <v>30</v>
      </c>
      <c r="D223" s="20" t="s">
        <v>13</v>
      </c>
      <c r="E223" s="7">
        <v>0.14399999999999999</v>
      </c>
      <c r="F223" s="3">
        <f>F222*E223</f>
        <v>23.183999999999997</v>
      </c>
    </row>
    <row r="224" spans="1:6">
      <c r="A224" s="22"/>
      <c r="B224" s="21"/>
      <c r="C224" s="1" t="s">
        <v>29</v>
      </c>
      <c r="D224" s="20" t="s">
        <v>13</v>
      </c>
      <c r="E224" s="5">
        <f>0.0438*0.85</f>
        <v>3.7229999999999999E-2</v>
      </c>
      <c r="F224" s="3">
        <f>F222*E224</f>
        <v>5.9940299999999995</v>
      </c>
    </row>
    <row r="225" spans="1:6" ht="33">
      <c r="A225" s="22"/>
      <c r="B225" s="49" t="s">
        <v>98</v>
      </c>
      <c r="C225" s="18" t="s">
        <v>94</v>
      </c>
      <c r="D225" s="20" t="s">
        <v>14</v>
      </c>
      <c r="E225" s="5">
        <f>0.0155*0.85</f>
        <v>1.3174999999999999E-2</v>
      </c>
      <c r="F225" s="3">
        <f>F222*E225</f>
        <v>2.121175</v>
      </c>
    </row>
    <row r="226" spans="1:6">
      <c r="A226" s="22"/>
      <c r="B226" s="21" t="s">
        <v>111</v>
      </c>
      <c r="C226" s="1" t="s">
        <v>31</v>
      </c>
      <c r="D226" s="20" t="s">
        <v>14</v>
      </c>
      <c r="E226" s="5">
        <f>0.0164*0.85</f>
        <v>1.3940000000000001E-2</v>
      </c>
      <c r="F226" s="3">
        <f>E226*F222</f>
        <v>2.2443400000000002</v>
      </c>
    </row>
    <row r="227" spans="1:6">
      <c r="A227" s="22"/>
      <c r="B227" s="21" t="s">
        <v>110</v>
      </c>
      <c r="C227" s="1" t="s">
        <v>18</v>
      </c>
      <c r="D227" s="20" t="s">
        <v>14</v>
      </c>
      <c r="E227" s="5">
        <f>0.0091*0.85</f>
        <v>7.7350000000000006E-3</v>
      </c>
      <c r="F227" s="3">
        <f>F222*E227</f>
        <v>1.2453350000000001</v>
      </c>
    </row>
    <row r="228" spans="1:6">
      <c r="A228" s="22"/>
      <c r="B228" s="21"/>
      <c r="C228" s="21" t="s">
        <v>19</v>
      </c>
      <c r="D228" s="20"/>
      <c r="E228" s="3"/>
      <c r="F228" s="3"/>
    </row>
    <row r="229" spans="1:6" ht="49.5">
      <c r="A229" s="22"/>
      <c r="B229" s="10" t="s">
        <v>113</v>
      </c>
      <c r="C229" s="1" t="s">
        <v>39</v>
      </c>
      <c r="D229" s="20" t="s">
        <v>16</v>
      </c>
      <c r="E229" s="3"/>
      <c r="F229" s="3">
        <v>161</v>
      </c>
    </row>
    <row r="230" spans="1:6">
      <c r="A230" s="22"/>
      <c r="B230" s="21"/>
      <c r="C230" s="1" t="s">
        <v>20</v>
      </c>
      <c r="D230" s="20" t="s">
        <v>16</v>
      </c>
      <c r="E230" s="3">
        <v>7.0000000000000007E-2</v>
      </c>
      <c r="F230" s="3">
        <f>F222*E230</f>
        <v>11.270000000000001</v>
      </c>
    </row>
    <row r="231" spans="1:6" ht="24.75" hidden="1" customHeight="1">
      <c r="A231" s="22">
        <v>2</v>
      </c>
      <c r="B231" s="10" t="s">
        <v>113</v>
      </c>
      <c r="C231" s="38" t="s">
        <v>93</v>
      </c>
      <c r="D231" s="10" t="s">
        <v>15</v>
      </c>
      <c r="E231" s="11"/>
      <c r="F231" s="47">
        <v>257.60000000000002</v>
      </c>
    </row>
  </sheetData>
  <mergeCells count="9">
    <mergeCell ref="A1:F1"/>
    <mergeCell ref="A2:F2"/>
    <mergeCell ref="A5:A6"/>
    <mergeCell ref="B5:B6"/>
    <mergeCell ref="C5:C6"/>
    <mergeCell ref="D5:D6"/>
    <mergeCell ref="F5:F6"/>
    <mergeCell ref="E5:E6"/>
    <mergeCell ref="C3:D3"/>
  </mergeCells>
  <phoneticPr fontId="9" type="noConversion"/>
  <pageMargins left="0.17" right="0.17" top="0.31" bottom="0.4" header="0.18" footer="0.17"/>
  <pageSetup scale="70" fitToWidth="0" fitToHeight="0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ქვეში-ახრისი</vt:lpstr>
      <vt:lpstr>'ქვეში-ახრისი'!Print_Area</vt:lpstr>
      <vt:lpstr>'ქვეში-ახრისი'!Print_Titles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win7</cp:lastModifiedBy>
  <cp:lastPrinted>2018-01-17T16:36:10Z</cp:lastPrinted>
  <dcterms:created xsi:type="dcterms:W3CDTF">2011-10-05T13:08:43Z</dcterms:created>
  <dcterms:modified xsi:type="dcterms:W3CDTF">2018-02-05T14:57:29Z</dcterms:modified>
</cp:coreProperties>
</file>